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726"/>
  <workbookPr defaultThemeVersion="166925"/>
  <mc:AlternateContent xmlns:mc="http://schemas.openxmlformats.org/markup-compatibility/2006">
    <mc:Choice Requires="x15">
      <x15ac:absPath xmlns:x15ac="http://schemas.microsoft.com/office/spreadsheetml/2010/11/ac" url="E:\Open\APBDesa\APBDesa 2024\"/>
    </mc:Choice>
  </mc:AlternateContent>
  <xr:revisionPtr revIDLastSave="0" documentId="13_ncr:1_{FC9844B5-94E6-4748-A5D3-4F0A7DF13A25}" xr6:coauthVersionLast="47" xr6:coauthVersionMax="47" xr10:uidLastSave="{00000000-0000-0000-0000-000000000000}"/>
  <bookViews>
    <workbookView xWindow="-120" yWindow="-120" windowWidth="20730" windowHeight="11160" firstSheet="5" activeTab="9" xr2:uid="{00000000-000D-0000-FFFF-FFFF00000000}"/>
  </bookViews>
  <sheets>
    <sheet name="BID I" sheetId="1" r:id="rId1"/>
    <sheet name="BID II" sheetId="3" r:id="rId2"/>
    <sheet name="BID III" sheetId="5" r:id="rId3"/>
    <sheet name="BID IV" sheetId="2" r:id="rId4"/>
    <sheet name="BID V" sheetId="29" r:id="rId5"/>
    <sheet name="Hitungan" sheetId="30" r:id="rId6"/>
    <sheet name="Penjabaran APBDesa" sheetId="31" r:id="rId7"/>
    <sheet name="Rekap Perdes" sheetId="33" r:id="rId8"/>
    <sheet name=" RKA Seluruh" sheetId="34" r:id="rId9"/>
    <sheet name="RAK SIp" sheetId="35" r:id="rId10"/>
    <sheet name="APBDesa" sheetId="32" r:id="rId11"/>
    <sheet name="RKP2024" sheetId="21" r:id="rId12"/>
    <sheet name="DU RKP" sheetId="9" r:id="rId13"/>
    <sheet name="Prioritas Penggunaan DD 2024" sheetId="22" r:id="rId14"/>
    <sheet name="Prioritas Kegiatan Bidang I" sheetId="23" r:id="rId15"/>
    <sheet name="Sheet1" sheetId="27" r:id="rId16"/>
    <sheet name="Sheet2" sheetId="28" r:id="rId17"/>
    <sheet name="Prioritas Kegiatan Bidang II" sheetId="24" r:id="rId18"/>
    <sheet name="Priortias BID III" sheetId="25" r:id="rId19"/>
    <sheet name="Prioritas BID IV" sheetId="26" r:id="rId20"/>
    <sheet name="Rencana Pembiayaan Desa" sheetId="15" r:id="rId21"/>
    <sheet name="Usulan dana desa bid kesehatan" sheetId="18" r:id="rId22"/>
    <sheet name="Daftar Prioritas" sheetId="8" r:id="rId23"/>
    <sheet name="Daftar Usulan SDGs VI B" sheetId="11" r:id="rId24"/>
    <sheet name="Kerja Sama Antar Desa VI.C" sheetId="12" r:id="rId25"/>
    <sheet name="LPPK" sheetId="13" r:id="rId26"/>
    <sheet name="Kerja Sama Pihak Ke 3 VI.D" sheetId="14" r:id="rId27"/>
  </sheets>
  <externalReferences>
    <externalReference r:id="rId28"/>
    <externalReference r:id="rId29"/>
    <externalReference r:id="rId30"/>
  </externalReferences>
  <definedNames>
    <definedName name="_xlnm._FilterDatabase" localSheetId="8" hidden="1">' RKA Seluruh'!$A$6:$X$1060</definedName>
    <definedName name="_xlnm._FilterDatabase" localSheetId="10" hidden="1">APBDesa!$A$37:$I$280</definedName>
    <definedName name="_xlnm._FilterDatabase" localSheetId="6" hidden="1">'Penjabaran APBDesa'!$A$46:$L$1076</definedName>
    <definedName name="_xlnm._FilterDatabase" localSheetId="9" hidden="1">'RAK SIp'!$A$12:$X$1066</definedName>
    <definedName name="_Hlk492709840" localSheetId="15">Sheet1!$A$1</definedName>
    <definedName name="_xlnm.Print_Area" localSheetId="0">'BID I'!$A$104:$G$285</definedName>
    <definedName name="_xlnm.Print_Area" localSheetId="1">'BID II'!$A$1539:$G$1575</definedName>
    <definedName name="_xlnm.Print_Area" localSheetId="2">'BID III'!$A$218:$G$292</definedName>
    <definedName name="_xlnm.Print_Area" localSheetId="3">'BID IV'!$A$3:$G$41</definedName>
    <definedName name="_xlnm.Print_Area" localSheetId="22">'Daftar Prioritas'!$A$1:$M$140</definedName>
    <definedName name="_xlnm.Print_Area" localSheetId="12">'DU RKP'!$A$1:$J$35</definedName>
    <definedName name="_xlnm.Print_Area" localSheetId="6">'Penjabaran APBDesa'!$A$15:$L$1076</definedName>
    <definedName name="_xlnm.Print_Area" localSheetId="19">'Prioritas BID IV'!$A$1:$N$27</definedName>
    <definedName name="_xlnm.Print_Area" localSheetId="14">'Prioritas Kegiatan Bidang I'!$A$1:$N$47</definedName>
    <definedName name="_xlnm.Print_Area" localSheetId="17">'Prioritas Kegiatan Bidang II'!$A$1:$N$55</definedName>
    <definedName name="_xlnm.Print_Area" localSheetId="18">'Priortias BID III'!$A$1:$N$37</definedName>
    <definedName name="_xlnm.Print_Area" localSheetId="9">'RAK SIp'!$A$1:$X$1074</definedName>
    <definedName name="_xlnm.Print_Area" localSheetId="7">'Rekap Perdes'!$B$1:$F$27</definedName>
    <definedName name="_xlnm.Print_Area" localSheetId="20">'Rencana Pembiayaan Desa'!$A$1:$J$127</definedName>
    <definedName name="_xlnm.Print_Area" localSheetId="11">'RKP2024'!$A$1:$N$142</definedName>
    <definedName name="_xlnm.Print_Area" localSheetId="21">'Usulan dana desa bid kesehatan'!$A$1:$N$26</definedName>
    <definedName name="_xlnm.Print_Titles" localSheetId="6">'Penjabaran APBDesa'!$19:$21</definedName>
    <definedName name="_xlnm.Print_Titles" localSheetId="19">'Prioritas BID IV'!$10:$11</definedName>
    <definedName name="_xlnm.Print_Titles" localSheetId="14">'Prioritas Kegiatan Bidang I'!$10:$12</definedName>
    <definedName name="_xlnm.Print_Titles" localSheetId="17">'Prioritas Kegiatan Bidang II'!$10:$12</definedName>
    <definedName name="_xlnm.Print_Titles" localSheetId="13">'Prioritas Penggunaan DD 2024'!$8:$9</definedName>
    <definedName name="_xlnm.Print_Titles" localSheetId="18">'Priortias BID III'!$10:$12</definedName>
    <definedName name="_xlnm.Print_Titles" localSheetId="9">'RAK SIp'!$9:$11</definedName>
    <definedName name="_xlnm.Print_Titles" localSheetId="21">'Usulan dana desa bid kesehatan'!$4:$5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045" i="35" l="1"/>
  <c r="Y1048" i="35"/>
  <c r="X1066" i="35"/>
  <c r="X1065" i="35"/>
  <c r="X1064" i="35"/>
  <c r="X1063" i="35"/>
  <c r="I1063" i="35"/>
  <c r="I1066" i="35" s="1"/>
  <c r="X1062" i="35"/>
  <c r="X1061" i="35"/>
  <c r="X1060" i="35"/>
  <c r="X1059" i="35"/>
  <c r="I1059" i="35"/>
  <c r="X1058" i="35"/>
  <c r="X1057" i="35"/>
  <c r="X1056" i="35"/>
  <c r="X1055" i="35"/>
  <c r="X1054" i="35"/>
  <c r="X1053" i="35"/>
  <c r="X1052" i="35"/>
  <c r="X1051" i="35"/>
  <c r="X1050" i="35"/>
  <c r="X1049" i="35"/>
  <c r="X1048" i="35"/>
  <c r="I1048" i="35"/>
  <c r="H1048" i="35"/>
  <c r="X1047" i="35"/>
  <c r="Y1047" i="35" s="1"/>
  <c r="H1047" i="35"/>
  <c r="X1046" i="35"/>
  <c r="Y1046" i="35" s="1"/>
  <c r="H1046" i="35"/>
  <c r="X1045" i="35"/>
  <c r="I1045" i="35"/>
  <c r="I1043" i="35" s="1"/>
  <c r="H1045" i="35"/>
  <c r="X1044" i="35"/>
  <c r="Y1044" i="35" s="1"/>
  <c r="H1044" i="35"/>
  <c r="X1043" i="35"/>
  <c r="Y1043" i="35" s="1"/>
  <c r="H1043" i="35"/>
  <c r="X1042" i="35"/>
  <c r="Y1042" i="35" s="1"/>
  <c r="I1042" i="35"/>
  <c r="H1042" i="35"/>
  <c r="X1041" i="35"/>
  <c r="Y1041" i="35" s="1"/>
  <c r="H1041" i="35"/>
  <c r="X1040" i="35"/>
  <c r="Y1040" i="35" s="1"/>
  <c r="I1040" i="35"/>
  <c r="H1040" i="35"/>
  <c r="X1039" i="35"/>
  <c r="Y1039" i="35" s="1"/>
  <c r="I1039" i="35"/>
  <c r="H1039" i="35"/>
  <c r="X1038" i="35"/>
  <c r="Y1038" i="35" s="1"/>
  <c r="H1038" i="35"/>
  <c r="X1037" i="35"/>
  <c r="Y1037" i="35" s="1"/>
  <c r="I1037" i="35"/>
  <c r="H1037" i="35"/>
  <c r="X1036" i="35"/>
  <c r="Y1036" i="35" s="1"/>
  <c r="I1036" i="35"/>
  <c r="I1033" i="35" s="1"/>
  <c r="H1036" i="35"/>
  <c r="X1035" i="35"/>
  <c r="Y1035" i="35" s="1"/>
  <c r="H1035" i="35"/>
  <c r="X1034" i="35"/>
  <c r="Y1034" i="35" s="1"/>
  <c r="H1034" i="35"/>
  <c r="X1033" i="35"/>
  <c r="Y1033" i="35" s="1"/>
  <c r="H1033" i="35"/>
  <c r="X1032" i="35"/>
  <c r="Y1032" i="35" s="1"/>
  <c r="I1032" i="35"/>
  <c r="H1032" i="35"/>
  <c r="X1031" i="35"/>
  <c r="Y1031" i="35" s="1"/>
  <c r="H1031" i="35"/>
  <c r="X1030" i="35"/>
  <c r="Y1030" i="35" s="1"/>
  <c r="I1030" i="35"/>
  <c r="H1030" i="35"/>
  <c r="X1029" i="35"/>
  <c r="Y1029" i="35" s="1"/>
  <c r="I1029" i="35"/>
  <c r="H1029" i="35"/>
  <c r="X1028" i="35"/>
  <c r="I1028" i="35"/>
  <c r="I1025" i="35" s="1"/>
  <c r="H1028" i="35"/>
  <c r="X1027" i="35"/>
  <c r="Y1027" i="35" s="1"/>
  <c r="H1027" i="35"/>
  <c r="X1026" i="35"/>
  <c r="Y1026" i="35" s="1"/>
  <c r="H1026" i="35"/>
  <c r="X1025" i="35"/>
  <c r="Y1025" i="35" s="1"/>
  <c r="H1025" i="35"/>
  <c r="X1024" i="35"/>
  <c r="Y1024" i="35" s="1"/>
  <c r="I1024" i="35"/>
  <c r="H1024" i="35"/>
  <c r="X1023" i="35"/>
  <c r="Y1023" i="35" s="1"/>
  <c r="H1023" i="35"/>
  <c r="X1022" i="35"/>
  <c r="I1022" i="35"/>
  <c r="H1022" i="35"/>
  <c r="X1021" i="35"/>
  <c r="Y1021" i="35" s="1"/>
  <c r="H1021" i="35"/>
  <c r="X1020" i="35"/>
  <c r="I1020" i="35"/>
  <c r="H1020" i="35"/>
  <c r="X1019" i="35"/>
  <c r="I1019" i="35"/>
  <c r="H1019" i="35"/>
  <c r="X1018" i="35"/>
  <c r="Y1018" i="35" s="1"/>
  <c r="H1018" i="35"/>
  <c r="X1017" i="35"/>
  <c r="Y1017" i="35" s="1"/>
  <c r="H1017" i="35"/>
  <c r="X1016" i="35"/>
  <c r="H1016" i="35"/>
  <c r="X1015" i="35"/>
  <c r="I1015" i="35"/>
  <c r="H1015" i="35"/>
  <c r="X1014" i="35"/>
  <c r="Y1014" i="35" s="1"/>
  <c r="H1014" i="35"/>
  <c r="X1013" i="35"/>
  <c r="Y1013" i="35" s="1"/>
  <c r="I1013" i="35"/>
  <c r="H1013" i="35"/>
  <c r="X1012" i="35"/>
  <c r="I1012" i="35"/>
  <c r="H1012" i="35"/>
  <c r="X1011" i="35"/>
  <c r="I1011" i="35"/>
  <c r="H1011" i="35"/>
  <c r="X1010" i="35"/>
  <c r="Y1010" i="35" s="1"/>
  <c r="H1010" i="35"/>
  <c r="X1009" i="35"/>
  <c r="Y1009" i="35" s="1"/>
  <c r="H1009" i="35"/>
  <c r="X1008" i="35"/>
  <c r="I1008" i="35"/>
  <c r="H1008" i="35"/>
  <c r="X1007" i="35"/>
  <c r="Y1007" i="35" s="1"/>
  <c r="I1007" i="35"/>
  <c r="H1007" i="35"/>
  <c r="X1006" i="35"/>
  <c r="Y1006" i="35" s="1"/>
  <c r="H1006" i="35"/>
  <c r="X1005" i="35"/>
  <c r="Y1005" i="35" s="1"/>
  <c r="I1005" i="35"/>
  <c r="H1005" i="35"/>
  <c r="X1004" i="35"/>
  <c r="Y1004" i="35" s="1"/>
  <c r="H1004" i="35"/>
  <c r="X1003" i="35"/>
  <c r="Y1003" i="35" s="1"/>
  <c r="I1003" i="35"/>
  <c r="H1003" i="35"/>
  <c r="X1002" i="35"/>
  <c r="I1002" i="35"/>
  <c r="I998" i="35" s="1"/>
  <c r="H1002" i="35"/>
  <c r="X1001" i="35"/>
  <c r="Y1001" i="35" s="1"/>
  <c r="I1001" i="35"/>
  <c r="H1001" i="35"/>
  <c r="X1000" i="35"/>
  <c r="Y1000" i="35" s="1"/>
  <c r="H1000" i="35"/>
  <c r="X999" i="35"/>
  <c r="Y999" i="35" s="1"/>
  <c r="H999" i="35"/>
  <c r="X998" i="35"/>
  <c r="H998" i="35"/>
  <c r="X997" i="35"/>
  <c r="Y997" i="35" s="1"/>
  <c r="I997" i="35"/>
  <c r="H997" i="35"/>
  <c r="X996" i="35"/>
  <c r="Y996" i="35" s="1"/>
  <c r="H996" i="35"/>
  <c r="X995" i="35"/>
  <c r="Y995" i="35" s="1"/>
  <c r="I995" i="35"/>
  <c r="H995" i="35"/>
  <c r="X994" i="35"/>
  <c r="Y994" i="35" s="1"/>
  <c r="H994" i="35"/>
  <c r="X993" i="35"/>
  <c r="Y993" i="35" s="1"/>
  <c r="I993" i="35"/>
  <c r="H993" i="35"/>
  <c r="X992" i="35"/>
  <c r="Y992" i="35" s="1"/>
  <c r="I992" i="35"/>
  <c r="H992" i="35"/>
  <c r="X991" i="35"/>
  <c r="Y991" i="35" s="1"/>
  <c r="H991" i="35"/>
  <c r="X990" i="35"/>
  <c r="Y990" i="35" s="1"/>
  <c r="H990" i="35"/>
  <c r="X989" i="35"/>
  <c r="H989" i="35"/>
  <c r="X988" i="35"/>
  <c r="I988" i="35"/>
  <c r="H988" i="35"/>
  <c r="X987" i="35"/>
  <c r="Y987" i="35" s="1"/>
  <c r="H987" i="35"/>
  <c r="X986" i="35"/>
  <c r="Y986" i="35" s="1"/>
  <c r="I986" i="35"/>
  <c r="H986" i="35"/>
  <c r="X985" i="35"/>
  <c r="Y985" i="35" s="1"/>
  <c r="I985" i="35"/>
  <c r="I981" i="35" s="1"/>
  <c r="H985" i="35"/>
  <c r="X984" i="35"/>
  <c r="Y984" i="35" s="1"/>
  <c r="I984" i="35"/>
  <c r="H984" i="35"/>
  <c r="X983" i="35"/>
  <c r="Y983" i="35" s="1"/>
  <c r="H983" i="35"/>
  <c r="X982" i="35"/>
  <c r="Y982" i="35" s="1"/>
  <c r="H982" i="35"/>
  <c r="X981" i="35"/>
  <c r="Y981" i="35" s="1"/>
  <c r="H981" i="35"/>
  <c r="X980" i="35"/>
  <c r="I980" i="35"/>
  <c r="H980" i="35"/>
  <c r="X979" i="35"/>
  <c r="Y979" i="35" s="1"/>
  <c r="H979" i="35"/>
  <c r="X978" i="35"/>
  <c r="Y978" i="35" s="1"/>
  <c r="I978" i="35"/>
  <c r="H978" i="35"/>
  <c r="X977" i="35"/>
  <c r="Y977" i="35" s="1"/>
  <c r="I977" i="35"/>
  <c r="H977" i="35"/>
  <c r="X976" i="35"/>
  <c r="Y976" i="35" s="1"/>
  <c r="I976" i="35"/>
  <c r="H976" i="35"/>
  <c r="X975" i="35"/>
  <c r="Y975" i="35" s="1"/>
  <c r="H975" i="35"/>
  <c r="X974" i="35"/>
  <c r="Y974" i="35" s="1"/>
  <c r="H974" i="35"/>
  <c r="X973" i="35"/>
  <c r="H973" i="35"/>
  <c r="X972" i="35"/>
  <c r="I972" i="35"/>
  <c r="H972" i="35"/>
  <c r="X971" i="35"/>
  <c r="Y971" i="35" s="1"/>
  <c r="H971" i="35"/>
  <c r="X970" i="35"/>
  <c r="Y970" i="35" s="1"/>
  <c r="I970" i="35"/>
  <c r="H970" i="35"/>
  <c r="X969" i="35"/>
  <c r="Y969" i="35" s="1"/>
  <c r="I969" i="35"/>
  <c r="H969" i="35"/>
  <c r="X968" i="35"/>
  <c r="Y968" i="35" s="1"/>
  <c r="H968" i="35"/>
  <c r="X967" i="35"/>
  <c r="Y967" i="35" s="1"/>
  <c r="I967" i="35"/>
  <c r="H967" i="35"/>
  <c r="X966" i="35"/>
  <c r="I966" i="35"/>
  <c r="H966" i="35"/>
  <c r="X965" i="35"/>
  <c r="Y965" i="35" s="1"/>
  <c r="I965" i="35"/>
  <c r="H965" i="35"/>
  <c r="X964" i="35"/>
  <c r="Y964" i="35" s="1"/>
  <c r="H964" i="35"/>
  <c r="X963" i="35"/>
  <c r="Y963" i="35" s="1"/>
  <c r="H963" i="35"/>
  <c r="X962" i="35"/>
  <c r="I962" i="35"/>
  <c r="H962" i="35"/>
  <c r="X961" i="35"/>
  <c r="Y961" i="35" s="1"/>
  <c r="I961" i="35"/>
  <c r="H961" i="35"/>
  <c r="X960" i="35"/>
  <c r="Y960" i="35" s="1"/>
  <c r="H960" i="35"/>
  <c r="X959" i="35"/>
  <c r="I959" i="35"/>
  <c r="H959" i="35"/>
  <c r="X958" i="35"/>
  <c r="Y958" i="35" s="1"/>
  <c r="I958" i="35"/>
  <c r="H958" i="35"/>
  <c r="X957" i="35"/>
  <c r="Y957" i="35" s="1"/>
  <c r="H957" i="35"/>
  <c r="X956" i="35"/>
  <c r="I956" i="35"/>
  <c r="H956" i="35"/>
  <c r="X955" i="35"/>
  <c r="Y955" i="35" s="1"/>
  <c r="I955" i="35"/>
  <c r="H955" i="35"/>
  <c r="X954" i="35"/>
  <c r="I954" i="35"/>
  <c r="H954" i="35"/>
  <c r="X953" i="35"/>
  <c r="Y953" i="35" s="1"/>
  <c r="H953" i="35"/>
  <c r="X952" i="35"/>
  <c r="Y952" i="35" s="1"/>
  <c r="H952" i="35"/>
  <c r="X951" i="35"/>
  <c r="H951" i="35"/>
  <c r="X950" i="35"/>
  <c r="H950" i="35"/>
  <c r="X949" i="35"/>
  <c r="Y949" i="35" s="1"/>
  <c r="I949" i="35"/>
  <c r="H949" i="35"/>
  <c r="X948" i="35"/>
  <c r="I948" i="35"/>
  <c r="H948" i="35"/>
  <c r="X947" i="35"/>
  <c r="Y947" i="35" s="1"/>
  <c r="I947" i="35"/>
  <c r="H947" i="35"/>
  <c r="X946" i="35"/>
  <c r="I946" i="35"/>
  <c r="H946" i="35"/>
  <c r="X945" i="35"/>
  <c r="Y945" i="35" s="1"/>
  <c r="I945" i="35"/>
  <c r="H945" i="35"/>
  <c r="X944" i="35"/>
  <c r="Y944" i="35" s="1"/>
  <c r="H944" i="35"/>
  <c r="X943" i="35"/>
  <c r="Y943" i="35" s="1"/>
  <c r="H943" i="35"/>
  <c r="X942" i="35"/>
  <c r="H942" i="35"/>
  <c r="X941" i="35"/>
  <c r="Y941" i="35" s="1"/>
  <c r="I941" i="35"/>
  <c r="H941" i="35"/>
  <c r="X940" i="35"/>
  <c r="Y940" i="35" s="1"/>
  <c r="H940" i="35"/>
  <c r="X939" i="35"/>
  <c r="Y939" i="35" s="1"/>
  <c r="I939" i="35"/>
  <c r="H939" i="35"/>
  <c r="X938" i="35"/>
  <c r="I938" i="35"/>
  <c r="H938" i="35"/>
  <c r="X937" i="35"/>
  <c r="Y937" i="35" s="1"/>
  <c r="I937" i="35"/>
  <c r="H937" i="35"/>
  <c r="X936" i="35"/>
  <c r="I936" i="35"/>
  <c r="H936" i="35"/>
  <c r="X935" i="35"/>
  <c r="Y935" i="35" s="1"/>
  <c r="H935" i="35"/>
  <c r="X934" i="35"/>
  <c r="Y934" i="35" s="1"/>
  <c r="H934" i="35"/>
  <c r="X933" i="35"/>
  <c r="H933" i="35"/>
  <c r="X932" i="35"/>
  <c r="Y932" i="35" s="1"/>
  <c r="I932" i="35"/>
  <c r="H932" i="35"/>
  <c r="X931" i="35"/>
  <c r="Y931" i="35" s="1"/>
  <c r="H931" i="35"/>
  <c r="X930" i="35"/>
  <c r="I930" i="35"/>
  <c r="H930" i="35"/>
  <c r="X929" i="35"/>
  <c r="Y929" i="35" s="1"/>
  <c r="I929" i="35"/>
  <c r="H929" i="35"/>
  <c r="X928" i="35"/>
  <c r="I928" i="35"/>
  <c r="I925" i="35" s="1"/>
  <c r="H928" i="35"/>
  <c r="X927" i="35"/>
  <c r="Y927" i="35" s="1"/>
  <c r="H927" i="35"/>
  <c r="X926" i="35"/>
  <c r="Y926" i="35" s="1"/>
  <c r="H926" i="35"/>
  <c r="X925" i="35"/>
  <c r="Y925" i="35" s="1"/>
  <c r="H925" i="35"/>
  <c r="X924" i="35"/>
  <c r="Y924" i="35" s="1"/>
  <c r="X923" i="35"/>
  <c r="I923" i="35"/>
  <c r="H923" i="35"/>
  <c r="X922" i="35"/>
  <c r="Y922" i="35" s="1"/>
  <c r="H922" i="35"/>
  <c r="X921" i="35"/>
  <c r="Y921" i="35" s="1"/>
  <c r="I921" i="35"/>
  <c r="H921" i="35"/>
  <c r="X920" i="35"/>
  <c r="Y920" i="35" s="1"/>
  <c r="I920" i="35"/>
  <c r="H920" i="35"/>
  <c r="X919" i="35"/>
  <c r="Y919" i="35" s="1"/>
  <c r="H919" i="35"/>
  <c r="X918" i="35"/>
  <c r="Y918" i="35" s="1"/>
  <c r="I918" i="35"/>
  <c r="H918" i="35"/>
  <c r="X917" i="35"/>
  <c r="Y917" i="35" s="1"/>
  <c r="I917" i="35"/>
  <c r="H917" i="35"/>
  <c r="X916" i="35"/>
  <c r="Y916" i="35" s="1"/>
  <c r="H916" i="35"/>
  <c r="X915" i="35"/>
  <c r="Y915" i="35" s="1"/>
  <c r="I915" i="35"/>
  <c r="H915" i="35"/>
  <c r="X914" i="35"/>
  <c r="Y914" i="35" s="1"/>
  <c r="I914" i="35"/>
  <c r="H914" i="35"/>
  <c r="X913" i="35"/>
  <c r="Y913" i="35" s="1"/>
  <c r="I913" i="35"/>
  <c r="H913" i="35"/>
  <c r="X912" i="35"/>
  <c r="Y912" i="35" s="1"/>
  <c r="H912" i="35"/>
  <c r="X911" i="35"/>
  <c r="Y911" i="35" s="1"/>
  <c r="I911" i="35"/>
  <c r="H911" i="35"/>
  <c r="X910" i="35"/>
  <c r="Y910" i="35" s="1"/>
  <c r="H910" i="35"/>
  <c r="X909" i="35"/>
  <c r="Y909" i="35" s="1"/>
  <c r="I909" i="35"/>
  <c r="H909" i="35"/>
  <c r="X908" i="35"/>
  <c r="Y908" i="35" s="1"/>
  <c r="I908" i="35"/>
  <c r="H908" i="35"/>
  <c r="X907" i="35"/>
  <c r="Y907" i="35" s="1"/>
  <c r="H907" i="35"/>
  <c r="X906" i="35"/>
  <c r="Y906" i="35" s="1"/>
  <c r="I906" i="35"/>
  <c r="H906" i="35"/>
  <c r="X905" i="35"/>
  <c r="Y905" i="35" s="1"/>
  <c r="H905" i="35"/>
  <c r="X904" i="35"/>
  <c r="I904" i="35"/>
  <c r="H904" i="35"/>
  <c r="X903" i="35"/>
  <c r="Y903" i="35" s="1"/>
  <c r="I903" i="35"/>
  <c r="H903" i="35"/>
  <c r="X902" i="35"/>
  <c r="Y902" i="35" s="1"/>
  <c r="I902" i="35"/>
  <c r="H902" i="35"/>
  <c r="X901" i="35"/>
  <c r="Y901" i="35" s="1"/>
  <c r="I901" i="35"/>
  <c r="H901" i="35"/>
  <c r="X900" i="35"/>
  <c r="Y900" i="35" s="1"/>
  <c r="H900" i="35"/>
  <c r="X899" i="35"/>
  <c r="Y899" i="35" s="1"/>
  <c r="H899" i="35"/>
  <c r="X898" i="35"/>
  <c r="H898" i="35"/>
  <c r="X897" i="35"/>
  <c r="Y897" i="35" s="1"/>
  <c r="I897" i="35"/>
  <c r="I894" i="35" s="1"/>
  <c r="H897" i="35"/>
  <c r="X896" i="35"/>
  <c r="Y896" i="35" s="1"/>
  <c r="H896" i="35"/>
  <c r="X895" i="35"/>
  <c r="Y895" i="35" s="1"/>
  <c r="H895" i="35"/>
  <c r="X894" i="35"/>
  <c r="Y894" i="35" s="1"/>
  <c r="H894" i="35"/>
  <c r="X893" i="35"/>
  <c r="Y893" i="35" s="1"/>
  <c r="I893" i="35"/>
  <c r="H893" i="35"/>
  <c r="X892" i="35"/>
  <c r="Y892" i="35" s="1"/>
  <c r="H892" i="35"/>
  <c r="X891" i="35"/>
  <c r="I891" i="35"/>
  <c r="H891" i="35"/>
  <c r="X890" i="35"/>
  <c r="Y890" i="35" s="1"/>
  <c r="H890" i="35"/>
  <c r="X889" i="35"/>
  <c r="Y889" i="35" s="1"/>
  <c r="I889" i="35"/>
  <c r="H889" i="35"/>
  <c r="X888" i="35"/>
  <c r="I888" i="35"/>
  <c r="I883" i="35" s="1"/>
  <c r="H888" i="35"/>
  <c r="X887" i="35"/>
  <c r="Y887" i="35" s="1"/>
  <c r="I887" i="35"/>
  <c r="H887" i="35"/>
  <c r="X886" i="35"/>
  <c r="Y886" i="35" s="1"/>
  <c r="I886" i="35"/>
  <c r="H886" i="35"/>
  <c r="X885" i="35"/>
  <c r="Y885" i="35" s="1"/>
  <c r="H885" i="35"/>
  <c r="X884" i="35"/>
  <c r="Y884" i="35" s="1"/>
  <c r="H884" i="35"/>
  <c r="X883" i="35"/>
  <c r="H883" i="35"/>
  <c r="X882" i="35"/>
  <c r="I882" i="35"/>
  <c r="H882" i="35"/>
  <c r="X881" i="35"/>
  <c r="Y881" i="35" s="1"/>
  <c r="H881" i="35"/>
  <c r="X880" i="35"/>
  <c r="Y880" i="35" s="1"/>
  <c r="I880" i="35"/>
  <c r="H880" i="35"/>
  <c r="X879" i="35"/>
  <c r="Y879" i="35" s="1"/>
  <c r="H879" i="35"/>
  <c r="X878" i="35"/>
  <c r="Y878" i="35" s="1"/>
  <c r="I878" i="35"/>
  <c r="H878" i="35"/>
  <c r="X877" i="35"/>
  <c r="Y877" i="35" s="1"/>
  <c r="I877" i="35"/>
  <c r="H877" i="35"/>
  <c r="X876" i="35"/>
  <c r="Y876" i="35" s="1"/>
  <c r="H876" i="35"/>
  <c r="X875" i="35"/>
  <c r="Y875" i="35" s="1"/>
  <c r="H875" i="35"/>
  <c r="X874" i="35"/>
  <c r="Y874" i="35" s="1"/>
  <c r="H874" i="35"/>
  <c r="X873" i="35"/>
  <c r="Y873" i="35" s="1"/>
  <c r="I873" i="35"/>
  <c r="H873" i="35"/>
  <c r="X872" i="35"/>
  <c r="Y872" i="35" s="1"/>
  <c r="H872" i="35"/>
  <c r="X871" i="35"/>
  <c r="Y871" i="35" s="1"/>
  <c r="I871" i="35"/>
  <c r="H871" i="35"/>
  <c r="X870" i="35"/>
  <c r="Y870" i="35" s="1"/>
  <c r="I870" i="35"/>
  <c r="H870" i="35"/>
  <c r="X869" i="35"/>
  <c r="Y869" i="35" s="1"/>
  <c r="H869" i="35"/>
  <c r="X868" i="35"/>
  <c r="Y868" i="35" s="1"/>
  <c r="I868" i="35"/>
  <c r="H868" i="35"/>
  <c r="X867" i="35"/>
  <c r="Y867" i="35" s="1"/>
  <c r="I867" i="35"/>
  <c r="H867" i="35"/>
  <c r="X866" i="35"/>
  <c r="Y866" i="35" s="1"/>
  <c r="H866" i="35"/>
  <c r="X865" i="35"/>
  <c r="Y865" i="35" s="1"/>
  <c r="H865" i="35"/>
  <c r="X864" i="35"/>
  <c r="Y864" i="35" s="1"/>
  <c r="H864" i="35"/>
  <c r="X863" i="35"/>
  <c r="Y863" i="35" s="1"/>
  <c r="I863" i="35"/>
  <c r="H863" i="35"/>
  <c r="X862" i="35"/>
  <c r="Y862" i="35" s="1"/>
  <c r="H862" i="35"/>
  <c r="X861" i="35"/>
  <c r="Y861" i="35" s="1"/>
  <c r="I861" i="35"/>
  <c r="H861" i="35"/>
  <c r="X860" i="35"/>
  <c r="Y860" i="35" s="1"/>
  <c r="H860" i="35"/>
  <c r="X859" i="35"/>
  <c r="Y859" i="35" s="1"/>
  <c r="I859" i="35"/>
  <c r="H859" i="35"/>
  <c r="X858" i="35"/>
  <c r="Y858" i="35" s="1"/>
  <c r="H858" i="35"/>
  <c r="X857" i="35"/>
  <c r="Y857" i="35" s="1"/>
  <c r="I857" i="35"/>
  <c r="H857" i="35"/>
  <c r="X856" i="35"/>
  <c r="Y856" i="35" s="1"/>
  <c r="I856" i="35"/>
  <c r="H856" i="35"/>
  <c r="X855" i="35"/>
  <c r="I855" i="35"/>
  <c r="H855" i="35"/>
  <c r="X854" i="35"/>
  <c r="Y854" i="35" s="1"/>
  <c r="H854" i="35"/>
  <c r="X853" i="35"/>
  <c r="Y853" i="35" s="1"/>
  <c r="H853" i="35"/>
  <c r="X852" i="35"/>
  <c r="H852" i="35"/>
  <c r="X851" i="35"/>
  <c r="Y851" i="35" s="1"/>
  <c r="I851" i="35"/>
  <c r="H851" i="35"/>
  <c r="X850" i="35"/>
  <c r="Y850" i="35" s="1"/>
  <c r="H850" i="35"/>
  <c r="X849" i="35"/>
  <c r="Y849" i="35" s="1"/>
  <c r="H849" i="35"/>
  <c r="X848" i="35"/>
  <c r="Y848" i="35" s="1"/>
  <c r="H848" i="35"/>
  <c r="X847" i="35"/>
  <c r="Y847" i="35" s="1"/>
  <c r="I847" i="35"/>
  <c r="H847" i="35"/>
  <c r="X846" i="35"/>
  <c r="Y846" i="35" s="1"/>
  <c r="H846" i="35"/>
  <c r="X845" i="35"/>
  <c r="Y845" i="35" s="1"/>
  <c r="H845" i="35"/>
  <c r="X844" i="35"/>
  <c r="Y844" i="35" s="1"/>
  <c r="H844" i="35"/>
  <c r="X843" i="35"/>
  <c r="Y843" i="35" s="1"/>
  <c r="I843" i="35"/>
  <c r="H843" i="35"/>
  <c r="X842" i="35"/>
  <c r="Y842" i="35" s="1"/>
  <c r="H842" i="35"/>
  <c r="X841" i="35"/>
  <c r="Y841" i="35" s="1"/>
  <c r="H841" i="35"/>
  <c r="X840" i="35"/>
  <c r="Y840" i="35" s="1"/>
  <c r="H840" i="35"/>
  <c r="X839" i="35"/>
  <c r="I839" i="35"/>
  <c r="H839" i="35"/>
  <c r="X838" i="35"/>
  <c r="Y838" i="35" s="1"/>
  <c r="I838" i="35"/>
  <c r="H838" i="35"/>
  <c r="X837" i="35"/>
  <c r="Y837" i="35" s="1"/>
  <c r="H837" i="35"/>
  <c r="X836" i="35"/>
  <c r="Y836" i="35" s="1"/>
  <c r="X835" i="35"/>
  <c r="Y835" i="35" s="1"/>
  <c r="I835" i="35"/>
  <c r="H835" i="35"/>
  <c r="X834" i="35"/>
  <c r="I834" i="35"/>
  <c r="I831" i="35" s="1"/>
  <c r="H834" i="35"/>
  <c r="X833" i="35"/>
  <c r="Y833" i="35" s="1"/>
  <c r="H833" i="35"/>
  <c r="X832" i="35"/>
  <c r="Y832" i="35" s="1"/>
  <c r="H832" i="35"/>
  <c r="X831" i="35"/>
  <c r="H831" i="35"/>
  <c r="X830" i="35"/>
  <c r="Y830" i="35" s="1"/>
  <c r="I830" i="35"/>
  <c r="H830" i="35"/>
  <c r="X829" i="35"/>
  <c r="Y829" i="35" s="1"/>
  <c r="H829" i="35"/>
  <c r="X828" i="35"/>
  <c r="I828" i="35"/>
  <c r="H828" i="35"/>
  <c r="X827" i="35"/>
  <c r="Y827" i="35" s="1"/>
  <c r="I827" i="35"/>
  <c r="I824" i="35" s="1"/>
  <c r="H827" i="35"/>
  <c r="X826" i="35"/>
  <c r="Y826" i="35" s="1"/>
  <c r="H826" i="35"/>
  <c r="X825" i="35"/>
  <c r="Y825" i="35" s="1"/>
  <c r="H825" i="35"/>
  <c r="X824" i="35"/>
  <c r="H824" i="35"/>
  <c r="X823" i="35"/>
  <c r="I823" i="35"/>
  <c r="I819" i="35" s="1"/>
  <c r="H823" i="35"/>
  <c r="X822" i="35"/>
  <c r="Y822" i="35" s="1"/>
  <c r="H822" i="35"/>
  <c r="X821" i="35"/>
  <c r="Y821" i="35" s="1"/>
  <c r="H821" i="35"/>
  <c r="X820" i="35"/>
  <c r="Y820" i="35" s="1"/>
  <c r="H820" i="35"/>
  <c r="X819" i="35"/>
  <c r="Y819" i="35" s="1"/>
  <c r="H819" i="35"/>
  <c r="X818" i="35"/>
  <c r="Y818" i="35" s="1"/>
  <c r="I818" i="35"/>
  <c r="H818" i="35"/>
  <c r="X817" i="35"/>
  <c r="Y817" i="35" s="1"/>
  <c r="I817" i="35"/>
  <c r="H817" i="35"/>
  <c r="X816" i="35"/>
  <c r="Y816" i="35" s="1"/>
  <c r="H816" i="35"/>
  <c r="X815" i="35"/>
  <c r="Y815" i="35" s="1"/>
  <c r="H815" i="35"/>
  <c r="X814" i="35"/>
  <c r="H814" i="35"/>
  <c r="X813" i="35"/>
  <c r="Y813" i="35" s="1"/>
  <c r="I813" i="35"/>
  <c r="H813" i="35"/>
  <c r="X812" i="35"/>
  <c r="Y812" i="35" s="1"/>
  <c r="H812" i="35"/>
  <c r="X811" i="35"/>
  <c r="Y811" i="35" s="1"/>
  <c r="H811" i="35"/>
  <c r="X810" i="35"/>
  <c r="I810" i="35"/>
  <c r="H810" i="35"/>
  <c r="X809" i="35"/>
  <c r="Y809" i="35" s="1"/>
  <c r="I809" i="35"/>
  <c r="H809" i="35"/>
  <c r="X808" i="35"/>
  <c r="Y808" i="35" s="1"/>
  <c r="H808" i="35"/>
  <c r="X807" i="35"/>
  <c r="Y807" i="35" s="1"/>
  <c r="X806" i="35"/>
  <c r="Y806" i="35" s="1"/>
  <c r="I806" i="35"/>
  <c r="H806" i="35"/>
  <c r="X805" i="35"/>
  <c r="Y805" i="35" s="1"/>
  <c r="I805" i="35"/>
  <c r="H805" i="35"/>
  <c r="X804" i="35"/>
  <c r="Y804" i="35" s="1"/>
  <c r="I804" i="35"/>
  <c r="H804" i="35"/>
  <c r="X803" i="35"/>
  <c r="I803" i="35"/>
  <c r="H803" i="35"/>
  <c r="X802" i="35"/>
  <c r="Y802" i="35" s="1"/>
  <c r="H802" i="35"/>
  <c r="X801" i="35"/>
  <c r="Y801" i="35" s="1"/>
  <c r="I801" i="35"/>
  <c r="H801" i="35"/>
  <c r="X800" i="35"/>
  <c r="Y800" i="35" s="1"/>
  <c r="I800" i="35"/>
  <c r="H800" i="35"/>
  <c r="X799" i="35"/>
  <c r="Y799" i="35" s="1"/>
  <c r="H799" i="35"/>
  <c r="X798" i="35"/>
  <c r="Y798" i="35" s="1"/>
  <c r="H798" i="35"/>
  <c r="X797" i="35"/>
  <c r="Y797" i="35" s="1"/>
  <c r="H797" i="35"/>
  <c r="X796" i="35"/>
  <c r="Y796" i="35" s="1"/>
  <c r="I796" i="35"/>
  <c r="H796" i="35"/>
  <c r="X795" i="35"/>
  <c r="Y795" i="35" s="1"/>
  <c r="H795" i="35"/>
  <c r="X794" i="35"/>
  <c r="I794" i="35"/>
  <c r="H794" i="35"/>
  <c r="X793" i="35"/>
  <c r="Y793" i="35" s="1"/>
  <c r="H793" i="35"/>
  <c r="X792" i="35"/>
  <c r="Y792" i="35" s="1"/>
  <c r="I792" i="35"/>
  <c r="H792" i="35"/>
  <c r="X791" i="35"/>
  <c r="Y791" i="35" s="1"/>
  <c r="H791" i="35"/>
  <c r="X790" i="35"/>
  <c r="Y790" i="35" s="1"/>
  <c r="I790" i="35"/>
  <c r="H790" i="35"/>
  <c r="X789" i="35"/>
  <c r="Y789" i="35" s="1"/>
  <c r="I789" i="35"/>
  <c r="H789" i="35"/>
  <c r="X788" i="35"/>
  <c r="I788" i="35"/>
  <c r="I785" i="35" s="1"/>
  <c r="H788" i="35"/>
  <c r="X787" i="35"/>
  <c r="Y787" i="35" s="1"/>
  <c r="H787" i="35"/>
  <c r="X786" i="35"/>
  <c r="Y786" i="35" s="1"/>
  <c r="H786" i="35"/>
  <c r="X785" i="35"/>
  <c r="Y785" i="35" s="1"/>
  <c r="H785" i="35"/>
  <c r="X784" i="35"/>
  <c r="Y784" i="35" s="1"/>
  <c r="I784" i="35"/>
  <c r="H784" i="35"/>
  <c r="X783" i="35"/>
  <c r="Y783" i="35" s="1"/>
  <c r="H783" i="35"/>
  <c r="X782" i="35"/>
  <c r="Y782" i="35" s="1"/>
  <c r="I782" i="35"/>
  <c r="H782" i="35"/>
  <c r="X781" i="35"/>
  <c r="Y781" i="35" s="1"/>
  <c r="H781" i="35"/>
  <c r="X780" i="35"/>
  <c r="Y780" i="35" s="1"/>
  <c r="I780" i="35"/>
  <c r="H780" i="35"/>
  <c r="X779" i="35"/>
  <c r="Y779" i="35" s="1"/>
  <c r="I779" i="35"/>
  <c r="H779" i="35"/>
  <c r="X778" i="35"/>
  <c r="Y778" i="35" s="1"/>
  <c r="I778" i="35"/>
  <c r="I775" i="35" s="1"/>
  <c r="H778" i="35"/>
  <c r="X777" i="35"/>
  <c r="Y777" i="35" s="1"/>
  <c r="H777" i="35"/>
  <c r="X776" i="35"/>
  <c r="Y776" i="35" s="1"/>
  <c r="H776" i="35"/>
  <c r="X775" i="35"/>
  <c r="H775" i="35"/>
  <c r="X774" i="35"/>
  <c r="Y774" i="35" s="1"/>
  <c r="I774" i="35"/>
  <c r="H774" i="35"/>
  <c r="X773" i="35"/>
  <c r="Y773" i="35" s="1"/>
  <c r="H773" i="35"/>
  <c r="X772" i="35"/>
  <c r="Y772" i="35" s="1"/>
  <c r="I772" i="35"/>
  <c r="H772" i="35"/>
  <c r="X771" i="35"/>
  <c r="Y771" i="35" s="1"/>
  <c r="I771" i="35"/>
  <c r="H771" i="35"/>
  <c r="X770" i="35"/>
  <c r="Y770" i="35" s="1"/>
  <c r="I770" i="35"/>
  <c r="H770" i="35"/>
  <c r="X769" i="35"/>
  <c r="Y769" i="35" s="1"/>
  <c r="I769" i="35"/>
  <c r="I765" i="35" s="1"/>
  <c r="H769" i="35"/>
  <c r="X768" i="35"/>
  <c r="Y768" i="35" s="1"/>
  <c r="I768" i="35"/>
  <c r="H768" i="35"/>
  <c r="X767" i="35"/>
  <c r="Y767" i="35" s="1"/>
  <c r="H767" i="35"/>
  <c r="X766" i="35"/>
  <c r="Y766" i="35" s="1"/>
  <c r="H766" i="35"/>
  <c r="X765" i="35"/>
  <c r="Y765" i="35" s="1"/>
  <c r="H765" i="35"/>
  <c r="X764" i="35"/>
  <c r="Y764" i="35" s="1"/>
  <c r="I764" i="35"/>
  <c r="H764" i="35"/>
  <c r="X763" i="35"/>
  <c r="Y763" i="35" s="1"/>
  <c r="H763" i="35"/>
  <c r="X762" i="35"/>
  <c r="Y762" i="35" s="1"/>
  <c r="I762" i="35"/>
  <c r="H762" i="35"/>
  <c r="X761" i="35"/>
  <c r="Y761" i="35" s="1"/>
  <c r="H761" i="35"/>
  <c r="X760" i="35"/>
  <c r="Y760" i="35" s="1"/>
  <c r="I760" i="35"/>
  <c r="H760" i="35"/>
  <c r="X759" i="35"/>
  <c r="Y759" i="35" s="1"/>
  <c r="I759" i="35"/>
  <c r="H759" i="35"/>
  <c r="X758" i="35"/>
  <c r="Y758" i="35" s="1"/>
  <c r="I758" i="35"/>
  <c r="H758" i="35"/>
  <c r="X757" i="35"/>
  <c r="Y757" i="35" s="1"/>
  <c r="H757" i="35"/>
  <c r="X756" i="35"/>
  <c r="Y756" i="35" s="1"/>
  <c r="H756" i="35"/>
  <c r="X755" i="35"/>
  <c r="H755" i="35"/>
  <c r="X754" i="35"/>
  <c r="Y754" i="35" s="1"/>
  <c r="I754" i="35"/>
  <c r="H754" i="35"/>
  <c r="X753" i="35"/>
  <c r="Y753" i="35" s="1"/>
  <c r="H753" i="35"/>
  <c r="X752" i="35"/>
  <c r="Y752" i="35" s="1"/>
  <c r="I752" i="35"/>
  <c r="H752" i="35"/>
  <c r="X751" i="35"/>
  <c r="Y751" i="35" s="1"/>
  <c r="H751" i="35"/>
  <c r="X750" i="35"/>
  <c r="I750" i="35"/>
  <c r="I747" i="35" s="1"/>
  <c r="H750" i="35"/>
  <c r="X749" i="35"/>
  <c r="Y749" i="35" s="1"/>
  <c r="H749" i="35"/>
  <c r="X748" i="35"/>
  <c r="Y748" i="35" s="1"/>
  <c r="H748" i="35"/>
  <c r="X747" i="35"/>
  <c r="H747" i="35"/>
  <c r="X746" i="35"/>
  <c r="Y746" i="35" s="1"/>
  <c r="I746" i="35"/>
  <c r="H746" i="35"/>
  <c r="X745" i="35"/>
  <c r="Y745" i="35" s="1"/>
  <c r="H745" i="35"/>
  <c r="X744" i="35"/>
  <c r="Y744" i="35" s="1"/>
  <c r="I744" i="35"/>
  <c r="H744" i="35"/>
  <c r="X743" i="35"/>
  <c r="Y743" i="35" s="1"/>
  <c r="H743" i="35"/>
  <c r="X742" i="35"/>
  <c r="I742" i="35"/>
  <c r="I739" i="35" s="1"/>
  <c r="H742" i="35"/>
  <c r="X741" i="35"/>
  <c r="Y741" i="35" s="1"/>
  <c r="H741" i="35"/>
  <c r="X740" i="35"/>
  <c r="Y740" i="35" s="1"/>
  <c r="H740" i="35"/>
  <c r="X739" i="35"/>
  <c r="H739" i="35"/>
  <c r="X738" i="35"/>
  <c r="Y738" i="35" s="1"/>
  <c r="H738" i="35"/>
  <c r="X737" i="35"/>
  <c r="H737" i="35"/>
  <c r="X736" i="35"/>
  <c r="I736" i="35"/>
  <c r="I733" i="35" s="1"/>
  <c r="H736" i="35"/>
  <c r="X735" i="35"/>
  <c r="Y735" i="35" s="1"/>
  <c r="H735" i="35"/>
  <c r="X734" i="35"/>
  <c r="Y734" i="35" s="1"/>
  <c r="H734" i="35"/>
  <c r="X733" i="35"/>
  <c r="Y733" i="35" s="1"/>
  <c r="H733" i="35"/>
  <c r="X732" i="35"/>
  <c r="Y732" i="35" s="1"/>
  <c r="I732" i="35"/>
  <c r="H732" i="35"/>
  <c r="X731" i="35"/>
  <c r="I731" i="35"/>
  <c r="H731" i="35"/>
  <c r="X730" i="35"/>
  <c r="Y730" i="35" s="1"/>
  <c r="I730" i="35"/>
  <c r="H730" i="35"/>
  <c r="X729" i="35"/>
  <c r="Y729" i="35" s="1"/>
  <c r="H729" i="35"/>
  <c r="X728" i="35"/>
  <c r="Y728" i="35" s="1"/>
  <c r="H728" i="35"/>
  <c r="X727" i="35"/>
  <c r="H727" i="35"/>
  <c r="X726" i="35"/>
  <c r="I726" i="35"/>
  <c r="H726" i="35"/>
  <c r="X725" i="35"/>
  <c r="Y725" i="35" s="1"/>
  <c r="H725" i="35"/>
  <c r="X724" i="35"/>
  <c r="Y724" i="35" s="1"/>
  <c r="I724" i="35"/>
  <c r="H724" i="35"/>
  <c r="X723" i="35"/>
  <c r="Y723" i="35" s="1"/>
  <c r="H723" i="35"/>
  <c r="X722" i="35"/>
  <c r="I722" i="35"/>
  <c r="H722" i="35"/>
  <c r="X721" i="35"/>
  <c r="Y721" i="35" s="1"/>
  <c r="I721" i="35"/>
  <c r="H721" i="35"/>
  <c r="X720" i="35"/>
  <c r="I720" i="35"/>
  <c r="H720" i="35"/>
  <c r="X719" i="35"/>
  <c r="Y719" i="35" s="1"/>
  <c r="H719" i="35"/>
  <c r="X718" i="35"/>
  <c r="Y718" i="35" s="1"/>
  <c r="H718" i="35"/>
  <c r="X717" i="35"/>
  <c r="H717" i="35"/>
  <c r="X716" i="35"/>
  <c r="Y716" i="35" s="1"/>
  <c r="I716" i="35"/>
  <c r="H716" i="35"/>
  <c r="X715" i="35"/>
  <c r="Y715" i="35" s="1"/>
  <c r="H715" i="35"/>
  <c r="X714" i="35"/>
  <c r="I714" i="35"/>
  <c r="H714" i="35"/>
  <c r="X713" i="35"/>
  <c r="Y713" i="35" s="1"/>
  <c r="I713" i="35"/>
  <c r="H713" i="35"/>
  <c r="X712" i="35"/>
  <c r="I712" i="35"/>
  <c r="H712" i="35"/>
  <c r="X711" i="35"/>
  <c r="Y711" i="35" s="1"/>
  <c r="I711" i="35"/>
  <c r="H711" i="35"/>
  <c r="X710" i="35"/>
  <c r="I710" i="35"/>
  <c r="H710" i="35"/>
  <c r="X709" i="35"/>
  <c r="Y709" i="35" s="1"/>
  <c r="H709" i="35"/>
  <c r="X708" i="35"/>
  <c r="Y708" i="35" s="1"/>
  <c r="H708" i="35"/>
  <c r="X707" i="35"/>
  <c r="H707" i="35"/>
  <c r="X706" i="35"/>
  <c r="Y706" i="35" s="1"/>
  <c r="I706" i="35"/>
  <c r="H706" i="35"/>
  <c r="X705" i="35"/>
  <c r="I705" i="35"/>
  <c r="H705" i="35"/>
  <c r="X704" i="35"/>
  <c r="Y704" i="35" s="1"/>
  <c r="H704" i="35"/>
  <c r="X703" i="35"/>
  <c r="Y703" i="35" s="1"/>
  <c r="I703" i="35"/>
  <c r="H703" i="35"/>
  <c r="X702" i="35"/>
  <c r="I702" i="35"/>
  <c r="H702" i="35"/>
  <c r="X701" i="35"/>
  <c r="Y701" i="35" s="1"/>
  <c r="H701" i="35"/>
  <c r="X700" i="35"/>
  <c r="Y700" i="35" s="1"/>
  <c r="I700" i="35"/>
  <c r="H700" i="35"/>
  <c r="X699" i="35"/>
  <c r="I699" i="35"/>
  <c r="H699" i="35"/>
  <c r="X698" i="35"/>
  <c r="Y698" i="35" s="1"/>
  <c r="H698" i="35"/>
  <c r="X697" i="35"/>
  <c r="Y697" i="35" s="1"/>
  <c r="I697" i="35"/>
  <c r="H697" i="35"/>
  <c r="X696" i="35"/>
  <c r="I696" i="35"/>
  <c r="H696" i="35"/>
  <c r="X695" i="35"/>
  <c r="Y695" i="35" s="1"/>
  <c r="I695" i="35"/>
  <c r="H695" i="35"/>
  <c r="X694" i="35"/>
  <c r="I694" i="35"/>
  <c r="H694" i="35"/>
  <c r="X693" i="35"/>
  <c r="Y693" i="35" s="1"/>
  <c r="I693" i="35"/>
  <c r="H693" i="35"/>
  <c r="X692" i="35"/>
  <c r="I692" i="35"/>
  <c r="H692" i="35"/>
  <c r="X691" i="35"/>
  <c r="Y691" i="35" s="1"/>
  <c r="H691" i="35"/>
  <c r="X690" i="35"/>
  <c r="Y690" i="35" s="1"/>
  <c r="H690" i="35"/>
  <c r="X689" i="35"/>
  <c r="Y689" i="35" s="1"/>
  <c r="H689" i="35"/>
  <c r="X688" i="35"/>
  <c r="Y688" i="35" s="1"/>
  <c r="I688" i="35"/>
  <c r="H688" i="35"/>
  <c r="X687" i="35"/>
  <c r="I687" i="35"/>
  <c r="H687" i="35"/>
  <c r="X686" i="35"/>
  <c r="Y686" i="35" s="1"/>
  <c r="H686" i="35"/>
  <c r="X685" i="35"/>
  <c r="Y685" i="35" s="1"/>
  <c r="I685" i="35"/>
  <c r="H685" i="35"/>
  <c r="X684" i="35"/>
  <c r="Y684" i="35" s="1"/>
  <c r="H684" i="35"/>
  <c r="X683" i="35"/>
  <c r="I683" i="35"/>
  <c r="H683" i="35"/>
  <c r="X682" i="35"/>
  <c r="Y682" i="35" s="1"/>
  <c r="I682" i="35"/>
  <c r="H682" i="35"/>
  <c r="X681" i="35"/>
  <c r="Y681" i="35" s="1"/>
  <c r="H681" i="35"/>
  <c r="X680" i="35"/>
  <c r="I680" i="35"/>
  <c r="H680" i="35"/>
  <c r="X679" i="35"/>
  <c r="Y679" i="35" s="1"/>
  <c r="I679" i="35"/>
  <c r="H679" i="35"/>
  <c r="X678" i="35"/>
  <c r="I678" i="35"/>
  <c r="H678" i="35"/>
  <c r="X677" i="35"/>
  <c r="Y677" i="35" s="1"/>
  <c r="I677" i="35"/>
  <c r="H677" i="35"/>
  <c r="X676" i="35"/>
  <c r="I676" i="35"/>
  <c r="H676" i="35"/>
  <c r="X675" i="35"/>
  <c r="Y675" i="35" s="1"/>
  <c r="I675" i="35"/>
  <c r="H675" i="35"/>
  <c r="X674" i="35"/>
  <c r="Y674" i="35" s="1"/>
  <c r="H674" i="35"/>
  <c r="X673" i="35"/>
  <c r="Y673" i="35" s="1"/>
  <c r="H673" i="35"/>
  <c r="X672" i="35"/>
  <c r="I672" i="35"/>
  <c r="H672" i="35"/>
  <c r="X671" i="35"/>
  <c r="Y671" i="35" s="1"/>
  <c r="I671" i="35"/>
  <c r="H671" i="35"/>
  <c r="X670" i="35"/>
  <c r="I670" i="35"/>
  <c r="H670" i="35"/>
  <c r="X669" i="35"/>
  <c r="Y669" i="35" s="1"/>
  <c r="I669" i="35"/>
  <c r="H669" i="35"/>
  <c r="X668" i="35"/>
  <c r="Y668" i="35" s="1"/>
  <c r="H668" i="35"/>
  <c r="X667" i="35"/>
  <c r="Y667" i="35" s="1"/>
  <c r="H667" i="35"/>
  <c r="X666" i="35"/>
  <c r="I666" i="35"/>
  <c r="H666" i="35"/>
  <c r="X665" i="35"/>
  <c r="Y665" i="35" s="1"/>
  <c r="I665" i="35"/>
  <c r="H665" i="35"/>
  <c r="X664" i="35"/>
  <c r="Y664" i="35" s="1"/>
  <c r="I664" i="35"/>
  <c r="H664" i="35"/>
  <c r="X663" i="35"/>
  <c r="Y663" i="35" s="1"/>
  <c r="I663" i="35"/>
  <c r="H663" i="35"/>
  <c r="X662" i="35"/>
  <c r="Y662" i="35" s="1"/>
  <c r="H662" i="35"/>
  <c r="X661" i="35"/>
  <c r="Y661" i="35" s="1"/>
  <c r="H661" i="35"/>
  <c r="X660" i="35"/>
  <c r="I660" i="35"/>
  <c r="H660" i="35"/>
  <c r="X659" i="35"/>
  <c r="Y659" i="35" s="1"/>
  <c r="I659" i="35"/>
  <c r="H659" i="35"/>
  <c r="X658" i="35"/>
  <c r="I658" i="35"/>
  <c r="H658" i="35"/>
  <c r="X657" i="35"/>
  <c r="Y657" i="35" s="1"/>
  <c r="I657" i="35"/>
  <c r="H657" i="35"/>
  <c r="X656" i="35"/>
  <c r="I656" i="35"/>
  <c r="I653" i="35" s="1"/>
  <c r="H656" i="35"/>
  <c r="X655" i="35"/>
  <c r="Y655" i="35" s="1"/>
  <c r="H655" i="35"/>
  <c r="X654" i="35"/>
  <c r="Y654" i="35" s="1"/>
  <c r="H654" i="35"/>
  <c r="X653" i="35"/>
  <c r="H653" i="35"/>
  <c r="X652" i="35"/>
  <c r="Y652" i="35" s="1"/>
  <c r="I652" i="35"/>
  <c r="H652" i="35"/>
  <c r="X651" i="35"/>
  <c r="I651" i="35"/>
  <c r="H651" i="35"/>
  <c r="X650" i="35"/>
  <c r="Y650" i="35" s="1"/>
  <c r="I650" i="35"/>
  <c r="H650" i="35"/>
  <c r="X649" i="35"/>
  <c r="Y649" i="35" s="1"/>
  <c r="H649" i="35"/>
  <c r="X648" i="35"/>
  <c r="Y648" i="35" s="1"/>
  <c r="H648" i="35"/>
  <c r="X647" i="35"/>
  <c r="H647" i="35"/>
  <c r="X646" i="35"/>
  <c r="I646" i="35"/>
  <c r="I643" i="35" s="1"/>
  <c r="H646" i="35"/>
  <c r="X645" i="35"/>
  <c r="Y645" i="35" s="1"/>
  <c r="H645" i="35"/>
  <c r="X644" i="35"/>
  <c r="Y644" i="35" s="1"/>
  <c r="H644" i="35"/>
  <c r="X643" i="35"/>
  <c r="H643" i="35"/>
  <c r="X642" i="35"/>
  <c r="I642" i="35"/>
  <c r="H642" i="35"/>
  <c r="X641" i="35"/>
  <c r="Y641" i="35" s="1"/>
  <c r="I641" i="35"/>
  <c r="H641" i="35"/>
  <c r="X640" i="35"/>
  <c r="I640" i="35"/>
  <c r="H640" i="35"/>
  <c r="X639" i="35"/>
  <c r="Y639" i="35" s="1"/>
  <c r="H639" i="35"/>
  <c r="X638" i="35"/>
  <c r="Y638" i="35" s="1"/>
  <c r="H638" i="35"/>
  <c r="X637" i="35"/>
  <c r="H637" i="35"/>
  <c r="X636" i="35"/>
  <c r="Y636" i="35" s="1"/>
  <c r="I636" i="35"/>
  <c r="H636" i="35"/>
  <c r="X635" i="35"/>
  <c r="I635" i="35"/>
  <c r="H635" i="35"/>
  <c r="X634" i="35"/>
  <c r="Y634" i="35" s="1"/>
  <c r="I634" i="35"/>
  <c r="H634" i="35"/>
  <c r="X633" i="35"/>
  <c r="Y633" i="35" s="1"/>
  <c r="H633" i="35"/>
  <c r="X632" i="35"/>
  <c r="Y632" i="35" s="1"/>
  <c r="H632" i="35"/>
  <c r="X631" i="35"/>
  <c r="H631" i="35"/>
  <c r="X630" i="35"/>
  <c r="I630" i="35"/>
  <c r="I625" i="35" s="1"/>
  <c r="H630" i="35"/>
  <c r="X629" i="35"/>
  <c r="Y629" i="35" s="1"/>
  <c r="I629" i="35"/>
  <c r="H629" i="35"/>
  <c r="X628" i="35"/>
  <c r="I628" i="35"/>
  <c r="H628" i="35"/>
  <c r="X627" i="35"/>
  <c r="Y627" i="35" s="1"/>
  <c r="H627" i="35"/>
  <c r="X626" i="35"/>
  <c r="Y626" i="35" s="1"/>
  <c r="H626" i="35"/>
  <c r="X625" i="35"/>
  <c r="Y625" i="35" s="1"/>
  <c r="H625" i="35"/>
  <c r="X624" i="35"/>
  <c r="Y624" i="35" s="1"/>
  <c r="I624" i="35"/>
  <c r="H624" i="35"/>
  <c r="X623" i="35"/>
  <c r="Y623" i="35" s="1"/>
  <c r="I623" i="35"/>
  <c r="H623" i="35"/>
  <c r="X622" i="35"/>
  <c r="Y622" i="35" s="1"/>
  <c r="I622" i="35"/>
  <c r="H622" i="35"/>
  <c r="X621" i="35"/>
  <c r="Y621" i="35" s="1"/>
  <c r="H621" i="35"/>
  <c r="X620" i="35"/>
  <c r="Y620" i="35" s="1"/>
  <c r="H620" i="35"/>
  <c r="X619" i="35"/>
  <c r="H619" i="35"/>
  <c r="X618" i="35"/>
  <c r="I618" i="35"/>
  <c r="H618" i="35"/>
  <c r="X617" i="35"/>
  <c r="Y617" i="35" s="1"/>
  <c r="I617" i="35"/>
  <c r="H617" i="35"/>
  <c r="X616" i="35"/>
  <c r="I616" i="35"/>
  <c r="H616" i="35"/>
  <c r="X615" i="35"/>
  <c r="Y615" i="35" s="1"/>
  <c r="H615" i="35"/>
  <c r="X614" i="35"/>
  <c r="Y614" i="35" s="1"/>
  <c r="H614" i="35"/>
  <c r="X613" i="35"/>
  <c r="H613" i="35"/>
  <c r="X612" i="35"/>
  <c r="Y612" i="35" s="1"/>
  <c r="I612" i="35"/>
  <c r="H612" i="35"/>
  <c r="X611" i="35"/>
  <c r="I611" i="35"/>
  <c r="H611" i="35"/>
  <c r="X610" i="35"/>
  <c r="Y610" i="35" s="1"/>
  <c r="I610" i="35"/>
  <c r="H610" i="35"/>
  <c r="X609" i="35"/>
  <c r="Y609" i="35" s="1"/>
  <c r="H609" i="35"/>
  <c r="X608" i="35"/>
  <c r="Y608" i="35" s="1"/>
  <c r="H608" i="35"/>
  <c r="X607" i="35"/>
  <c r="H607" i="35"/>
  <c r="X606" i="35"/>
  <c r="I606" i="35"/>
  <c r="I602" i="35" s="1"/>
  <c r="H606" i="35"/>
  <c r="X605" i="35"/>
  <c r="Y605" i="35" s="1"/>
  <c r="I605" i="35"/>
  <c r="H605" i="35"/>
  <c r="X604" i="35"/>
  <c r="Y604" i="35" s="1"/>
  <c r="H604" i="35"/>
  <c r="X603" i="35"/>
  <c r="Y603" i="35" s="1"/>
  <c r="H603" i="35"/>
  <c r="X602" i="35"/>
  <c r="H602" i="35"/>
  <c r="X601" i="35"/>
  <c r="I601" i="35"/>
  <c r="H601" i="35"/>
  <c r="X600" i="35"/>
  <c r="Y600" i="35" s="1"/>
  <c r="I600" i="35"/>
  <c r="H600" i="35"/>
  <c r="X599" i="35"/>
  <c r="I599" i="35"/>
  <c r="H599" i="35"/>
  <c r="X598" i="35"/>
  <c r="Y598" i="35" s="1"/>
  <c r="H598" i="35"/>
  <c r="X597" i="35"/>
  <c r="Y597" i="35" s="1"/>
  <c r="H597" i="35"/>
  <c r="X596" i="35"/>
  <c r="H596" i="35"/>
  <c r="X595" i="35"/>
  <c r="Y595" i="35" s="1"/>
  <c r="I595" i="35"/>
  <c r="H595" i="35"/>
  <c r="X594" i="35"/>
  <c r="Y594" i="35" s="1"/>
  <c r="H594" i="35"/>
  <c r="X593" i="35"/>
  <c r="I593" i="35"/>
  <c r="H593" i="35"/>
  <c r="X592" i="35"/>
  <c r="Y592" i="35" s="1"/>
  <c r="I592" i="35"/>
  <c r="H592" i="35"/>
  <c r="X591" i="35"/>
  <c r="I591" i="35"/>
  <c r="H591" i="35"/>
  <c r="X590" i="35"/>
  <c r="Y590" i="35" s="1"/>
  <c r="H590" i="35"/>
  <c r="X589" i="35"/>
  <c r="Y589" i="35" s="1"/>
  <c r="H589" i="35"/>
  <c r="X588" i="35"/>
  <c r="H588" i="35"/>
  <c r="X587" i="35"/>
  <c r="Y587" i="35" s="1"/>
  <c r="I587" i="35"/>
  <c r="H587" i="35"/>
  <c r="X586" i="35"/>
  <c r="Y586" i="35" s="1"/>
  <c r="H586" i="35"/>
  <c r="X585" i="35"/>
  <c r="I585" i="35"/>
  <c r="I580" i="35" s="1"/>
  <c r="H585" i="35"/>
  <c r="X584" i="35"/>
  <c r="Y584" i="35" s="1"/>
  <c r="I584" i="35"/>
  <c r="H584" i="35"/>
  <c r="X583" i="35"/>
  <c r="I583" i="35"/>
  <c r="H583" i="35"/>
  <c r="X582" i="35"/>
  <c r="Y582" i="35" s="1"/>
  <c r="H582" i="35"/>
  <c r="X581" i="35"/>
  <c r="Y581" i="35" s="1"/>
  <c r="H581" i="35"/>
  <c r="X580" i="35"/>
  <c r="H580" i="35"/>
  <c r="X579" i="35"/>
  <c r="I579" i="35"/>
  <c r="H579" i="35"/>
  <c r="X578" i="35"/>
  <c r="Y578" i="35" s="1"/>
  <c r="I578" i="35"/>
  <c r="H578" i="35"/>
  <c r="X577" i="35"/>
  <c r="Y577" i="35" s="1"/>
  <c r="H577" i="35"/>
  <c r="X576" i="35"/>
  <c r="I576" i="35"/>
  <c r="I571" i="35" s="1"/>
  <c r="H576" i="35"/>
  <c r="X575" i="35"/>
  <c r="Y575" i="35" s="1"/>
  <c r="I575" i="35"/>
  <c r="H575" i="35"/>
  <c r="X574" i="35"/>
  <c r="I574" i="35"/>
  <c r="H574" i="35"/>
  <c r="X573" i="35"/>
  <c r="Y573" i="35" s="1"/>
  <c r="H573" i="35"/>
  <c r="X572" i="35"/>
  <c r="Y572" i="35" s="1"/>
  <c r="H572" i="35"/>
  <c r="X571" i="35"/>
  <c r="H571" i="35"/>
  <c r="X570" i="35"/>
  <c r="I570" i="35"/>
  <c r="H570" i="35"/>
  <c r="X569" i="35"/>
  <c r="Y569" i="35" s="1"/>
  <c r="H569" i="35"/>
  <c r="X568" i="35"/>
  <c r="Y568" i="35" s="1"/>
  <c r="I568" i="35"/>
  <c r="H568" i="35"/>
  <c r="X567" i="35"/>
  <c r="I567" i="35"/>
  <c r="H567" i="35"/>
  <c r="X566" i="35"/>
  <c r="Y566" i="35" s="1"/>
  <c r="H566" i="35"/>
  <c r="X565" i="35"/>
  <c r="Y565" i="35" s="1"/>
  <c r="H565" i="35"/>
  <c r="X564" i="35"/>
  <c r="H564" i="35"/>
  <c r="X563" i="35"/>
  <c r="Y563" i="35" s="1"/>
  <c r="I563" i="35"/>
  <c r="H563" i="35"/>
  <c r="X562" i="35"/>
  <c r="Y562" i="35" s="1"/>
  <c r="H562" i="35"/>
  <c r="X561" i="35"/>
  <c r="I561" i="35"/>
  <c r="H561" i="35"/>
  <c r="X560" i="35"/>
  <c r="Y560" i="35" s="1"/>
  <c r="I560" i="35"/>
  <c r="H560" i="35"/>
  <c r="X559" i="35"/>
  <c r="Y559" i="35" s="1"/>
  <c r="H559" i="35"/>
  <c r="X558" i="35"/>
  <c r="I558" i="35"/>
  <c r="H558" i="35"/>
  <c r="X557" i="35"/>
  <c r="Y557" i="35" s="1"/>
  <c r="I557" i="35"/>
  <c r="H557" i="35"/>
  <c r="X556" i="35"/>
  <c r="I556" i="35"/>
  <c r="H556" i="35"/>
  <c r="X555" i="35"/>
  <c r="Y555" i="35" s="1"/>
  <c r="H555" i="35"/>
  <c r="X554" i="35"/>
  <c r="Y554" i="35" s="1"/>
  <c r="H554" i="35"/>
  <c r="X553" i="35"/>
  <c r="Y553" i="35" s="1"/>
  <c r="H553" i="35"/>
  <c r="X552" i="35"/>
  <c r="Y552" i="35" s="1"/>
  <c r="I552" i="35"/>
  <c r="H552" i="35"/>
  <c r="X551" i="35"/>
  <c r="I551" i="35"/>
  <c r="I547" i="35" s="1"/>
  <c r="H551" i="35"/>
  <c r="X550" i="35"/>
  <c r="Y550" i="35" s="1"/>
  <c r="I550" i="35"/>
  <c r="H550" i="35"/>
  <c r="X549" i="35"/>
  <c r="Y549" i="35" s="1"/>
  <c r="H549" i="35"/>
  <c r="X548" i="35"/>
  <c r="Y548" i="35" s="1"/>
  <c r="H548" i="35"/>
  <c r="X547" i="35"/>
  <c r="H547" i="35"/>
  <c r="X546" i="35"/>
  <c r="I546" i="35"/>
  <c r="H546" i="35"/>
  <c r="X545" i="35"/>
  <c r="Y545" i="35" s="1"/>
  <c r="H545" i="35"/>
  <c r="X544" i="35"/>
  <c r="Y544" i="35" s="1"/>
  <c r="I544" i="35"/>
  <c r="H544" i="35"/>
  <c r="X543" i="35"/>
  <c r="I543" i="35"/>
  <c r="H543" i="35"/>
  <c r="X542" i="35"/>
  <c r="Y542" i="35" s="1"/>
  <c r="H542" i="35"/>
  <c r="X541" i="35"/>
  <c r="Y541" i="35" s="1"/>
  <c r="I541" i="35"/>
  <c r="H541" i="35"/>
  <c r="X540" i="35"/>
  <c r="I540" i="35"/>
  <c r="I537" i="35" s="1"/>
  <c r="H540" i="35"/>
  <c r="X539" i="35"/>
  <c r="Y539" i="35" s="1"/>
  <c r="H539" i="35"/>
  <c r="X538" i="35"/>
  <c r="Y538" i="35" s="1"/>
  <c r="H538" i="35"/>
  <c r="X537" i="35"/>
  <c r="H537" i="35"/>
  <c r="X536" i="35"/>
  <c r="I536" i="35"/>
  <c r="H536" i="35"/>
  <c r="X535" i="35"/>
  <c r="Y535" i="35" s="1"/>
  <c r="H535" i="35"/>
  <c r="X534" i="35"/>
  <c r="Y534" i="35" s="1"/>
  <c r="I534" i="35"/>
  <c r="H534" i="35"/>
  <c r="X533" i="35"/>
  <c r="I533" i="35"/>
  <c r="H533" i="35"/>
  <c r="X532" i="35"/>
  <c r="Y532" i="35" s="1"/>
  <c r="H532" i="35"/>
  <c r="X531" i="35"/>
  <c r="Y531" i="35" s="1"/>
  <c r="H531" i="35"/>
  <c r="X530" i="35"/>
  <c r="H530" i="35"/>
  <c r="X529" i="35"/>
  <c r="Y529" i="35" s="1"/>
  <c r="I529" i="35"/>
  <c r="H529" i="35"/>
  <c r="X528" i="35"/>
  <c r="Y528" i="35" s="1"/>
  <c r="H528" i="35"/>
  <c r="X527" i="35"/>
  <c r="I527" i="35"/>
  <c r="H527" i="35"/>
  <c r="X526" i="35"/>
  <c r="Y526" i="35" s="1"/>
  <c r="H526" i="35"/>
  <c r="X525" i="35"/>
  <c r="Y525" i="35" s="1"/>
  <c r="I525" i="35"/>
  <c r="H525" i="35"/>
  <c r="X524" i="35"/>
  <c r="I524" i="35"/>
  <c r="I517" i="35" s="1"/>
  <c r="H524" i="35"/>
  <c r="X523" i="35"/>
  <c r="Y523" i="35" s="1"/>
  <c r="I523" i="35"/>
  <c r="H523" i="35"/>
  <c r="X522" i="35"/>
  <c r="I522" i="35"/>
  <c r="H522" i="35"/>
  <c r="X521" i="35"/>
  <c r="Y521" i="35" s="1"/>
  <c r="I521" i="35"/>
  <c r="H521" i="35"/>
  <c r="X520" i="35"/>
  <c r="Y520" i="35" s="1"/>
  <c r="H520" i="35"/>
  <c r="X519" i="35"/>
  <c r="Y519" i="35" s="1"/>
  <c r="H519" i="35"/>
  <c r="X518" i="35"/>
  <c r="Y518" i="35" s="1"/>
  <c r="H518" i="35"/>
  <c r="X517" i="35"/>
  <c r="H517" i="35"/>
  <c r="X516" i="35"/>
  <c r="Y516" i="35" s="1"/>
  <c r="I516" i="35"/>
  <c r="H516" i="35"/>
  <c r="X515" i="35"/>
  <c r="Y515" i="35" s="1"/>
  <c r="H515" i="35"/>
  <c r="X514" i="35"/>
  <c r="I514" i="35"/>
  <c r="H514" i="35"/>
  <c r="X513" i="35"/>
  <c r="Y513" i="35" s="1"/>
  <c r="I513" i="35"/>
  <c r="H513" i="35"/>
  <c r="X512" i="35"/>
  <c r="Y512" i="35" s="1"/>
  <c r="H512" i="35"/>
  <c r="X511" i="35"/>
  <c r="I511" i="35"/>
  <c r="H511" i="35"/>
  <c r="X510" i="35"/>
  <c r="Y510" i="35" s="1"/>
  <c r="I510" i="35"/>
  <c r="H510" i="35"/>
  <c r="X509" i="35"/>
  <c r="I509" i="35"/>
  <c r="H509" i="35"/>
  <c r="X508" i="35"/>
  <c r="Y508" i="35" s="1"/>
  <c r="I508" i="35"/>
  <c r="H508" i="35"/>
  <c r="X507" i="35"/>
  <c r="Y507" i="35" s="1"/>
  <c r="H507" i="35"/>
  <c r="X506" i="35"/>
  <c r="Y506" i="35" s="1"/>
  <c r="H506" i="35"/>
  <c r="X505" i="35"/>
  <c r="Y505" i="35" s="1"/>
  <c r="H505" i="35"/>
  <c r="X504" i="35"/>
  <c r="H504" i="35"/>
  <c r="X503" i="35"/>
  <c r="I503" i="35"/>
  <c r="H503" i="35"/>
  <c r="X502" i="35"/>
  <c r="Y502" i="35" s="1"/>
  <c r="H502" i="35"/>
  <c r="X501" i="35"/>
  <c r="Y501" i="35" s="1"/>
  <c r="I501" i="35"/>
  <c r="H501" i="35"/>
  <c r="X500" i="35"/>
  <c r="I500" i="35"/>
  <c r="H500" i="35"/>
  <c r="X499" i="35"/>
  <c r="Y499" i="35" s="1"/>
  <c r="H499" i="35"/>
  <c r="X498" i="35"/>
  <c r="Y498" i="35" s="1"/>
  <c r="H498" i="35"/>
  <c r="X497" i="35"/>
  <c r="Y497" i="35" s="1"/>
  <c r="H497" i="35"/>
  <c r="X496" i="35"/>
  <c r="Y496" i="35" s="1"/>
  <c r="I496" i="35"/>
  <c r="H496" i="35"/>
  <c r="X495" i="35"/>
  <c r="Y495" i="35" s="1"/>
  <c r="H495" i="35"/>
  <c r="X494" i="35"/>
  <c r="I494" i="35"/>
  <c r="H494" i="35"/>
  <c r="X493" i="35"/>
  <c r="Y493" i="35" s="1"/>
  <c r="H493" i="35"/>
  <c r="X492" i="35"/>
  <c r="Y492" i="35" s="1"/>
  <c r="I492" i="35"/>
  <c r="H492" i="35"/>
  <c r="X491" i="35"/>
  <c r="I491" i="35"/>
  <c r="H491" i="35"/>
  <c r="X490" i="35"/>
  <c r="Y490" i="35" s="1"/>
  <c r="I490" i="35"/>
  <c r="H490" i="35"/>
  <c r="X489" i="35"/>
  <c r="Y489" i="35" s="1"/>
  <c r="I489" i="35"/>
  <c r="H489" i="35"/>
  <c r="X488" i="35"/>
  <c r="Y488" i="35" s="1"/>
  <c r="H488" i="35"/>
  <c r="X487" i="35"/>
  <c r="Y487" i="35" s="1"/>
  <c r="H487" i="35"/>
  <c r="X486" i="35"/>
  <c r="Y486" i="35" s="1"/>
  <c r="H486" i="35"/>
  <c r="X485" i="35"/>
  <c r="H485" i="35"/>
  <c r="X484" i="35"/>
  <c r="Y484" i="35" s="1"/>
  <c r="I484" i="35"/>
  <c r="H484" i="35"/>
  <c r="X483" i="35"/>
  <c r="Y483" i="35" s="1"/>
  <c r="H483" i="35"/>
  <c r="X482" i="35"/>
  <c r="I482" i="35"/>
  <c r="H482" i="35"/>
  <c r="X481" i="35"/>
  <c r="Y481" i="35" s="1"/>
  <c r="I481" i="35"/>
  <c r="H481" i="35"/>
  <c r="X480" i="35"/>
  <c r="I480" i="35"/>
  <c r="I476" i="35" s="1"/>
  <c r="H480" i="35"/>
  <c r="X479" i="35"/>
  <c r="Y479" i="35" s="1"/>
  <c r="I479" i="35"/>
  <c r="H479" i="35"/>
  <c r="X478" i="35"/>
  <c r="Y478" i="35" s="1"/>
  <c r="H478" i="35"/>
  <c r="X477" i="35"/>
  <c r="Y477" i="35" s="1"/>
  <c r="H477" i="35"/>
  <c r="X476" i="35"/>
  <c r="H476" i="35"/>
  <c r="X475" i="35"/>
  <c r="I475" i="35"/>
  <c r="H475" i="35"/>
  <c r="X474" i="35"/>
  <c r="Y474" i="35" s="1"/>
  <c r="H474" i="35"/>
  <c r="X473" i="35"/>
  <c r="Y473" i="35" s="1"/>
  <c r="I473" i="35"/>
  <c r="H473" i="35"/>
  <c r="X472" i="35"/>
  <c r="I472" i="35"/>
  <c r="H472" i="35"/>
  <c r="X471" i="35"/>
  <c r="Y471" i="35" s="1"/>
  <c r="I471" i="35"/>
  <c r="H471" i="35"/>
  <c r="X470" i="35"/>
  <c r="Y470" i="35" s="1"/>
  <c r="H470" i="35"/>
  <c r="X469" i="35"/>
  <c r="I469" i="35"/>
  <c r="H469" i="35"/>
  <c r="X468" i="35"/>
  <c r="Y468" i="35" s="1"/>
  <c r="I468" i="35"/>
  <c r="H468" i="35"/>
  <c r="X467" i="35"/>
  <c r="I467" i="35"/>
  <c r="H467" i="35"/>
  <c r="X466" i="35"/>
  <c r="Y466" i="35" s="1"/>
  <c r="I466" i="35"/>
  <c r="H466" i="35"/>
  <c r="X465" i="35"/>
  <c r="Y465" i="35" s="1"/>
  <c r="H465" i="35"/>
  <c r="X464" i="35"/>
  <c r="Y464" i="35" s="1"/>
  <c r="H464" i="35"/>
  <c r="X463" i="35"/>
  <c r="H463" i="35"/>
  <c r="X462" i="35"/>
  <c r="I462" i="35"/>
  <c r="H462" i="35"/>
  <c r="X461" i="35"/>
  <c r="Y461" i="35" s="1"/>
  <c r="I461" i="35"/>
  <c r="H461" i="35"/>
  <c r="X460" i="35"/>
  <c r="Y460" i="35" s="1"/>
  <c r="H460" i="35"/>
  <c r="X459" i="35"/>
  <c r="I459" i="35"/>
  <c r="H459" i="35"/>
  <c r="X458" i="35"/>
  <c r="Y458" i="35" s="1"/>
  <c r="I458" i="35"/>
  <c r="H458" i="35"/>
  <c r="X457" i="35"/>
  <c r="I457" i="35"/>
  <c r="I453" i="35" s="1"/>
  <c r="H457" i="35"/>
  <c r="X456" i="35"/>
  <c r="Y456" i="35" s="1"/>
  <c r="I456" i="35"/>
  <c r="H456" i="35"/>
  <c r="X455" i="35"/>
  <c r="Y455" i="35" s="1"/>
  <c r="H455" i="35"/>
  <c r="X454" i="35"/>
  <c r="Y454" i="35" s="1"/>
  <c r="H454" i="35"/>
  <c r="X453" i="35"/>
  <c r="H453" i="35"/>
  <c r="X452" i="35"/>
  <c r="Y452" i="35" s="1"/>
  <c r="I452" i="35"/>
  <c r="H452" i="35"/>
  <c r="X451" i="35"/>
  <c r="I451" i="35"/>
  <c r="I447" i="35" s="1"/>
  <c r="H451" i="35"/>
  <c r="X450" i="35"/>
  <c r="Y450" i="35" s="1"/>
  <c r="I450" i="35"/>
  <c r="H450" i="35"/>
  <c r="X449" i="35"/>
  <c r="Y449" i="35" s="1"/>
  <c r="H449" i="35"/>
  <c r="X448" i="35"/>
  <c r="Y448" i="35" s="1"/>
  <c r="H448" i="35"/>
  <c r="X447" i="35"/>
  <c r="H447" i="35"/>
  <c r="X446" i="35"/>
  <c r="Y446" i="35" s="1"/>
  <c r="I446" i="35"/>
  <c r="H446" i="35"/>
  <c r="X445" i="35"/>
  <c r="Y445" i="35" s="1"/>
  <c r="H445" i="35"/>
  <c r="X444" i="35"/>
  <c r="Y444" i="35" s="1"/>
  <c r="I444" i="35"/>
  <c r="H444" i="35"/>
  <c r="X443" i="35"/>
  <c r="Y443" i="35" s="1"/>
  <c r="I443" i="35"/>
  <c r="H443" i="35"/>
  <c r="X442" i="35"/>
  <c r="I442" i="35"/>
  <c r="H442" i="35"/>
  <c r="X441" i="35"/>
  <c r="Y441" i="35" s="1"/>
  <c r="H441" i="35"/>
  <c r="X440" i="35"/>
  <c r="Y440" i="35" s="1"/>
  <c r="I440" i="35"/>
  <c r="H440" i="35"/>
  <c r="X439" i="35"/>
  <c r="I439" i="35"/>
  <c r="I435" i="35" s="1"/>
  <c r="H439" i="35"/>
  <c r="X438" i="35"/>
  <c r="Y438" i="35" s="1"/>
  <c r="I438" i="35"/>
  <c r="H438" i="35"/>
  <c r="X437" i="35"/>
  <c r="Y437" i="35" s="1"/>
  <c r="H437" i="35"/>
  <c r="X436" i="35"/>
  <c r="Y436" i="35" s="1"/>
  <c r="H436" i="35"/>
  <c r="X435" i="35"/>
  <c r="H435" i="35"/>
  <c r="X434" i="35"/>
  <c r="Y434" i="35" s="1"/>
  <c r="I434" i="35"/>
  <c r="H434" i="35"/>
  <c r="X433" i="35"/>
  <c r="Y433" i="35" s="1"/>
  <c r="H433" i="35"/>
  <c r="X432" i="35"/>
  <c r="Y432" i="35" s="1"/>
  <c r="I432" i="35"/>
  <c r="H432" i="35"/>
  <c r="X431" i="35"/>
  <c r="Y431" i="35" s="1"/>
  <c r="I431" i="35"/>
  <c r="H431" i="35"/>
  <c r="X430" i="35"/>
  <c r="I430" i="35"/>
  <c r="I418" i="35" s="1"/>
  <c r="H430" i="35"/>
  <c r="X429" i="35"/>
  <c r="Y429" i="35" s="1"/>
  <c r="H429" i="35"/>
  <c r="X428" i="35"/>
  <c r="Y428" i="35" s="1"/>
  <c r="I428" i="35"/>
  <c r="H428" i="35"/>
  <c r="X427" i="35"/>
  <c r="Y427" i="35" s="1"/>
  <c r="H427" i="35"/>
  <c r="X426" i="35"/>
  <c r="Y426" i="35" s="1"/>
  <c r="I426" i="35"/>
  <c r="H426" i="35"/>
  <c r="X425" i="35"/>
  <c r="Y425" i="35" s="1"/>
  <c r="H425" i="35"/>
  <c r="X424" i="35"/>
  <c r="Y424" i="35" s="1"/>
  <c r="I424" i="35"/>
  <c r="H424" i="35"/>
  <c r="X423" i="35"/>
  <c r="Y423" i="35" s="1"/>
  <c r="I423" i="35"/>
  <c r="H423" i="35"/>
  <c r="X422" i="35"/>
  <c r="Y422" i="35" s="1"/>
  <c r="I422" i="35"/>
  <c r="H422" i="35"/>
  <c r="X421" i="35"/>
  <c r="Y421" i="35" s="1"/>
  <c r="H421" i="35"/>
  <c r="X420" i="35"/>
  <c r="Y420" i="35" s="1"/>
  <c r="H420" i="35"/>
  <c r="X419" i="35"/>
  <c r="Y419" i="35" s="1"/>
  <c r="H419" i="35"/>
  <c r="X418" i="35"/>
  <c r="H418" i="35"/>
  <c r="X417" i="35"/>
  <c r="Y417" i="35" s="1"/>
  <c r="I417" i="35"/>
  <c r="H417" i="35"/>
  <c r="X416" i="35"/>
  <c r="Y416" i="35" s="1"/>
  <c r="H416" i="35"/>
  <c r="X415" i="35"/>
  <c r="Y415" i="35" s="1"/>
  <c r="I415" i="35"/>
  <c r="H415" i="35"/>
  <c r="X414" i="35"/>
  <c r="Y414" i="35" s="1"/>
  <c r="I414" i="35"/>
  <c r="H414" i="35"/>
  <c r="X413" i="35"/>
  <c r="Y413" i="35" s="1"/>
  <c r="H413" i="35"/>
  <c r="X412" i="35"/>
  <c r="I412" i="35"/>
  <c r="H412" i="35"/>
  <c r="X411" i="35"/>
  <c r="Y411" i="35" s="1"/>
  <c r="I411" i="35"/>
  <c r="H411" i="35"/>
  <c r="X410" i="35"/>
  <c r="I410" i="35"/>
  <c r="H410" i="35"/>
  <c r="X409" i="35"/>
  <c r="Y409" i="35" s="1"/>
  <c r="H409" i="35"/>
  <c r="X408" i="35"/>
  <c r="Y408" i="35" s="1"/>
  <c r="H408" i="35"/>
  <c r="X407" i="35"/>
  <c r="H407" i="35"/>
  <c r="X406" i="35"/>
  <c r="Y406" i="35" s="1"/>
  <c r="I406" i="35"/>
  <c r="H406" i="35"/>
  <c r="X405" i="35"/>
  <c r="Y405" i="35" s="1"/>
  <c r="H405" i="35"/>
  <c r="X404" i="35"/>
  <c r="I404" i="35"/>
  <c r="H404" i="35"/>
  <c r="X403" i="35"/>
  <c r="Y403" i="35" s="1"/>
  <c r="H403" i="35"/>
  <c r="X402" i="35"/>
  <c r="Y402" i="35" s="1"/>
  <c r="I402" i="35"/>
  <c r="H402" i="35"/>
  <c r="X401" i="35"/>
  <c r="Y401" i="35" s="1"/>
  <c r="H401" i="35"/>
  <c r="X400" i="35"/>
  <c r="I400" i="35"/>
  <c r="I395" i="35" s="1"/>
  <c r="H400" i="35"/>
  <c r="X399" i="35"/>
  <c r="Y399" i="35" s="1"/>
  <c r="I399" i="35"/>
  <c r="H399" i="35"/>
  <c r="X398" i="35"/>
  <c r="I398" i="35"/>
  <c r="H398" i="35"/>
  <c r="X397" i="35"/>
  <c r="Y397" i="35" s="1"/>
  <c r="H397" i="35"/>
  <c r="X396" i="35"/>
  <c r="Y396" i="35" s="1"/>
  <c r="H396" i="35"/>
  <c r="X395" i="35"/>
  <c r="Y395" i="35" s="1"/>
  <c r="H395" i="35"/>
  <c r="X394" i="35"/>
  <c r="I394" i="35"/>
  <c r="H394" i="35"/>
  <c r="X393" i="35"/>
  <c r="Y393" i="35" s="1"/>
  <c r="H393" i="35"/>
  <c r="X392" i="35"/>
  <c r="Y392" i="35" s="1"/>
  <c r="I392" i="35"/>
  <c r="H392" i="35"/>
  <c r="X391" i="35"/>
  <c r="I391" i="35"/>
  <c r="H391" i="35"/>
  <c r="X390" i="35"/>
  <c r="Y390" i="35" s="1"/>
  <c r="I390" i="35"/>
  <c r="H390" i="35"/>
  <c r="X389" i="35"/>
  <c r="I389" i="35"/>
  <c r="H389" i="35"/>
  <c r="X388" i="35"/>
  <c r="Y388" i="35" s="1"/>
  <c r="H388" i="35"/>
  <c r="X387" i="35"/>
  <c r="Y387" i="35" s="1"/>
  <c r="H387" i="35"/>
  <c r="X386" i="35"/>
  <c r="Y386" i="35" s="1"/>
  <c r="H386" i="35"/>
  <c r="X385" i="35"/>
  <c r="H385" i="35"/>
  <c r="X384" i="35"/>
  <c r="Y384" i="35" s="1"/>
  <c r="I384" i="35"/>
  <c r="H384" i="35"/>
  <c r="X383" i="35"/>
  <c r="Y383" i="35" s="1"/>
  <c r="H383" i="35"/>
  <c r="X382" i="35"/>
  <c r="I382" i="35"/>
  <c r="H382" i="35"/>
  <c r="X381" i="35"/>
  <c r="Y381" i="35" s="1"/>
  <c r="I381" i="35"/>
  <c r="H381" i="35"/>
  <c r="X380" i="35"/>
  <c r="Y380" i="35" s="1"/>
  <c r="H380" i="35"/>
  <c r="X379" i="35"/>
  <c r="Y379" i="35" s="1"/>
  <c r="H379" i="35"/>
  <c r="X378" i="35"/>
  <c r="I378" i="35"/>
  <c r="H378" i="35"/>
  <c r="X377" i="35"/>
  <c r="Y377" i="35" s="1"/>
  <c r="I377" i="35"/>
  <c r="H377" i="35"/>
  <c r="X376" i="35"/>
  <c r="Y376" i="35" s="1"/>
  <c r="H376" i="35"/>
  <c r="X375" i="35"/>
  <c r="I375" i="35"/>
  <c r="I371" i="35" s="1"/>
  <c r="H375" i="35"/>
  <c r="X374" i="35"/>
  <c r="Y374" i="35" s="1"/>
  <c r="I374" i="35"/>
  <c r="H374" i="35"/>
  <c r="X373" i="35"/>
  <c r="Y373" i="35" s="1"/>
  <c r="H373" i="35"/>
  <c r="X372" i="35"/>
  <c r="Y372" i="35" s="1"/>
  <c r="H372" i="35"/>
  <c r="X371" i="35"/>
  <c r="H371" i="35"/>
  <c r="X370" i="35"/>
  <c r="I370" i="35"/>
  <c r="H370" i="35"/>
  <c r="X369" i="35"/>
  <c r="Y369" i="35" s="1"/>
  <c r="I369" i="35"/>
  <c r="H369" i="35"/>
  <c r="X368" i="35"/>
  <c r="Y368" i="35" s="1"/>
  <c r="H368" i="35"/>
  <c r="X367" i="35"/>
  <c r="I367" i="35"/>
  <c r="H367" i="35"/>
  <c r="X366" i="35"/>
  <c r="Y366" i="35" s="1"/>
  <c r="I366" i="35"/>
  <c r="H366" i="35"/>
  <c r="X365" i="35"/>
  <c r="Y365" i="35" s="1"/>
  <c r="I365" i="35"/>
  <c r="H365" i="35"/>
  <c r="X364" i="35"/>
  <c r="Y364" i="35" s="1"/>
  <c r="I364" i="35"/>
  <c r="H364" i="35"/>
  <c r="X363" i="35"/>
  <c r="I363" i="35"/>
  <c r="I360" i="35" s="1"/>
  <c r="H363" i="35"/>
  <c r="X362" i="35"/>
  <c r="Y362" i="35" s="1"/>
  <c r="H362" i="35"/>
  <c r="X361" i="35"/>
  <c r="Y361" i="35" s="1"/>
  <c r="H361" i="35"/>
  <c r="X360" i="35"/>
  <c r="H360" i="35"/>
  <c r="X359" i="35"/>
  <c r="I359" i="35"/>
  <c r="H359" i="35"/>
  <c r="X358" i="35"/>
  <c r="Y358" i="35" s="1"/>
  <c r="H358" i="35"/>
  <c r="X357" i="35"/>
  <c r="Y357" i="35" s="1"/>
  <c r="I357" i="35"/>
  <c r="H357" i="35"/>
  <c r="X356" i="35"/>
  <c r="Y356" i="35" s="1"/>
  <c r="H356" i="35"/>
  <c r="X355" i="35"/>
  <c r="Y355" i="35" s="1"/>
  <c r="H355" i="35"/>
  <c r="X354" i="35"/>
  <c r="I354" i="35"/>
  <c r="H354" i="35"/>
  <c r="X353" i="35"/>
  <c r="Y353" i="35" s="1"/>
  <c r="H353" i="35"/>
  <c r="X352" i="35"/>
  <c r="Y352" i="35" s="1"/>
  <c r="I352" i="35"/>
  <c r="H352" i="35"/>
  <c r="X351" i="35"/>
  <c r="Y351" i="35" s="1"/>
  <c r="H351" i="35"/>
  <c r="X350" i="35"/>
  <c r="I350" i="35"/>
  <c r="H350" i="35"/>
  <c r="X349" i="35"/>
  <c r="Y349" i="35" s="1"/>
  <c r="I349" i="35"/>
  <c r="H349" i="35"/>
  <c r="X348" i="35"/>
  <c r="Y348" i="35" s="1"/>
  <c r="H348" i="35"/>
  <c r="X347" i="35"/>
  <c r="Y347" i="35" s="1"/>
  <c r="H347" i="35"/>
  <c r="X346" i="35"/>
  <c r="H346" i="35"/>
  <c r="X345" i="35"/>
  <c r="I345" i="35"/>
  <c r="I341" i="35" s="1"/>
  <c r="H345" i="35"/>
  <c r="X344" i="35"/>
  <c r="Y344" i="35" s="1"/>
  <c r="I344" i="35"/>
  <c r="H344" i="35"/>
  <c r="X343" i="35"/>
  <c r="Y343" i="35" s="1"/>
  <c r="H343" i="35"/>
  <c r="X342" i="35"/>
  <c r="Y342" i="35" s="1"/>
  <c r="H342" i="35"/>
  <c r="X341" i="35"/>
  <c r="H341" i="35"/>
  <c r="X340" i="35"/>
  <c r="Y340" i="35" s="1"/>
  <c r="I340" i="35"/>
  <c r="H340" i="35"/>
  <c r="X339" i="35"/>
  <c r="I339" i="35"/>
  <c r="I335" i="35" s="1"/>
  <c r="H339" i="35"/>
  <c r="X338" i="35"/>
  <c r="Y338" i="35" s="1"/>
  <c r="I338" i="35"/>
  <c r="H338" i="35"/>
  <c r="X337" i="35"/>
  <c r="Y337" i="35" s="1"/>
  <c r="H337" i="35"/>
  <c r="X336" i="35"/>
  <c r="Y336" i="35" s="1"/>
  <c r="H336" i="35"/>
  <c r="X335" i="35"/>
  <c r="H335" i="35"/>
  <c r="X334" i="35"/>
  <c r="Y334" i="35" s="1"/>
  <c r="I334" i="35"/>
  <c r="H334" i="35"/>
  <c r="X333" i="35"/>
  <c r="I333" i="35"/>
  <c r="I329" i="35" s="1"/>
  <c r="H333" i="35"/>
  <c r="X332" i="35"/>
  <c r="Y332" i="35" s="1"/>
  <c r="I332" i="35"/>
  <c r="H332" i="35"/>
  <c r="X331" i="35"/>
  <c r="Y331" i="35" s="1"/>
  <c r="H331" i="35"/>
  <c r="X330" i="35"/>
  <c r="Y330" i="35" s="1"/>
  <c r="H330" i="35"/>
  <c r="X329" i="35"/>
  <c r="H329" i="35"/>
  <c r="X328" i="35"/>
  <c r="Y328" i="35" s="1"/>
  <c r="I328" i="35"/>
  <c r="H328" i="35"/>
  <c r="X327" i="35"/>
  <c r="I327" i="35"/>
  <c r="I323" i="35" s="1"/>
  <c r="H327" i="35"/>
  <c r="X326" i="35"/>
  <c r="Y326" i="35" s="1"/>
  <c r="I326" i="35"/>
  <c r="H326" i="35"/>
  <c r="X325" i="35"/>
  <c r="Y325" i="35" s="1"/>
  <c r="H325" i="35"/>
  <c r="X324" i="35"/>
  <c r="Y324" i="35" s="1"/>
  <c r="H324" i="35"/>
  <c r="X323" i="35"/>
  <c r="H323" i="35"/>
  <c r="X322" i="35"/>
  <c r="Y322" i="35" s="1"/>
  <c r="I322" i="35"/>
  <c r="H322" i="35"/>
  <c r="X321" i="35"/>
  <c r="I321" i="35"/>
  <c r="I318" i="35" s="1"/>
  <c r="H321" i="35"/>
  <c r="X320" i="35"/>
  <c r="Y320" i="35" s="1"/>
  <c r="H320" i="35"/>
  <c r="X319" i="35"/>
  <c r="Y319" i="35" s="1"/>
  <c r="H319" i="35"/>
  <c r="X318" i="35"/>
  <c r="H318" i="35"/>
  <c r="X317" i="35"/>
  <c r="I317" i="35"/>
  <c r="H317" i="35"/>
  <c r="X316" i="35"/>
  <c r="Y316" i="35" s="1"/>
  <c r="H316" i="35"/>
  <c r="X315" i="35"/>
  <c r="Y315" i="35" s="1"/>
  <c r="I315" i="35"/>
  <c r="H315" i="35"/>
  <c r="X314" i="35"/>
  <c r="I314" i="35"/>
  <c r="I309" i="35" s="1"/>
  <c r="H314" i="35"/>
  <c r="X313" i="35"/>
  <c r="Y313" i="35" s="1"/>
  <c r="I313" i="35"/>
  <c r="H313" i="35"/>
  <c r="X312" i="35"/>
  <c r="I312" i="35"/>
  <c r="H312" i="35"/>
  <c r="X311" i="35"/>
  <c r="Y311" i="35" s="1"/>
  <c r="H311" i="35"/>
  <c r="X310" i="35"/>
  <c r="Y310" i="35" s="1"/>
  <c r="H310" i="35"/>
  <c r="X309" i="35"/>
  <c r="Y309" i="35" s="1"/>
  <c r="H309" i="35"/>
  <c r="X308" i="35"/>
  <c r="Y308" i="35" s="1"/>
  <c r="I308" i="35"/>
  <c r="H308" i="35"/>
  <c r="X307" i="35"/>
  <c r="Y307" i="35" s="1"/>
  <c r="H307" i="35"/>
  <c r="X306" i="35"/>
  <c r="I306" i="35"/>
  <c r="H306" i="35"/>
  <c r="X305" i="35"/>
  <c r="Y305" i="35" s="1"/>
  <c r="I305" i="35"/>
  <c r="H305" i="35"/>
  <c r="X304" i="35"/>
  <c r="I304" i="35"/>
  <c r="H304" i="35"/>
  <c r="X303" i="35"/>
  <c r="Y303" i="35" s="1"/>
  <c r="H303" i="35"/>
  <c r="X302" i="35"/>
  <c r="Y302" i="35" s="1"/>
  <c r="H302" i="35"/>
  <c r="X301" i="35"/>
  <c r="H301" i="35"/>
  <c r="X300" i="35"/>
  <c r="Y300" i="35" s="1"/>
  <c r="I300" i="35"/>
  <c r="H300" i="35"/>
  <c r="X299" i="35"/>
  <c r="I299" i="35"/>
  <c r="H299" i="35"/>
  <c r="X298" i="35"/>
  <c r="Y298" i="35" s="1"/>
  <c r="I298" i="35"/>
  <c r="H298" i="35"/>
  <c r="X297" i="35"/>
  <c r="Y297" i="35" s="1"/>
  <c r="H297" i="35"/>
  <c r="X296" i="35"/>
  <c r="I296" i="35"/>
  <c r="H296" i="35"/>
  <c r="X295" i="35"/>
  <c r="Y295" i="35" s="1"/>
  <c r="I295" i="35"/>
  <c r="H295" i="35"/>
  <c r="X294" i="35"/>
  <c r="I294" i="35"/>
  <c r="H294" i="35"/>
  <c r="X293" i="35"/>
  <c r="Y293" i="35" s="1"/>
  <c r="I293" i="35"/>
  <c r="H293" i="35"/>
  <c r="X292" i="35"/>
  <c r="I292" i="35"/>
  <c r="H292" i="35"/>
  <c r="X291" i="35"/>
  <c r="Y291" i="35" s="1"/>
  <c r="I291" i="35"/>
  <c r="H291" i="35"/>
  <c r="X290" i="35"/>
  <c r="I290" i="35"/>
  <c r="H290" i="35"/>
  <c r="X289" i="35"/>
  <c r="Y289" i="35" s="1"/>
  <c r="I289" i="35"/>
  <c r="H289" i="35"/>
  <c r="X288" i="35"/>
  <c r="I288" i="35"/>
  <c r="H288" i="35"/>
  <c r="X287" i="35"/>
  <c r="Y287" i="35" s="1"/>
  <c r="I287" i="35"/>
  <c r="H287" i="35"/>
  <c r="X286" i="35"/>
  <c r="Y286" i="35" s="1"/>
  <c r="H286" i="35"/>
  <c r="X285" i="35"/>
  <c r="Y285" i="35" s="1"/>
  <c r="H285" i="35"/>
  <c r="X284" i="35"/>
  <c r="H284" i="35"/>
  <c r="X283" i="35"/>
  <c r="Y283" i="35" s="1"/>
  <c r="H283" i="35"/>
  <c r="X282" i="35"/>
  <c r="H282" i="35"/>
  <c r="X281" i="35"/>
  <c r="I281" i="35"/>
  <c r="H281" i="35"/>
  <c r="X280" i="35"/>
  <c r="Y280" i="35" s="1"/>
  <c r="I280" i="35"/>
  <c r="H280" i="35"/>
  <c r="X279" i="35"/>
  <c r="Y279" i="35" s="1"/>
  <c r="H279" i="35"/>
  <c r="X278" i="35"/>
  <c r="I278" i="35"/>
  <c r="H278" i="35"/>
  <c r="X277" i="35"/>
  <c r="Y277" i="35" s="1"/>
  <c r="I277" i="35"/>
  <c r="H277" i="35"/>
  <c r="X276" i="35"/>
  <c r="I276" i="35"/>
  <c r="H276" i="35"/>
  <c r="X275" i="35"/>
  <c r="Y275" i="35" s="1"/>
  <c r="I275" i="35"/>
  <c r="H275" i="35"/>
  <c r="X274" i="35"/>
  <c r="I274" i="35"/>
  <c r="H274" i="35"/>
  <c r="X273" i="35"/>
  <c r="Y273" i="35" s="1"/>
  <c r="I273" i="35"/>
  <c r="H273" i="35"/>
  <c r="X272" i="35"/>
  <c r="Y272" i="35" s="1"/>
  <c r="H272" i="35"/>
  <c r="X271" i="35"/>
  <c r="Y271" i="35" s="1"/>
  <c r="H271" i="35"/>
  <c r="X270" i="35"/>
  <c r="I270" i="35"/>
  <c r="H270" i="35"/>
  <c r="X269" i="35"/>
  <c r="Y269" i="35" s="1"/>
  <c r="I269" i="35"/>
  <c r="H269" i="35"/>
  <c r="X268" i="35"/>
  <c r="Y268" i="35" s="1"/>
  <c r="H268" i="35"/>
  <c r="X267" i="35"/>
  <c r="Y267" i="35" s="1"/>
  <c r="H267" i="35"/>
  <c r="X266" i="35"/>
  <c r="I266" i="35"/>
  <c r="H266" i="35"/>
  <c r="X265" i="35"/>
  <c r="Y265" i="35" s="1"/>
  <c r="I265" i="35"/>
  <c r="H265" i="35"/>
  <c r="X264" i="35"/>
  <c r="Y264" i="35" s="1"/>
  <c r="H264" i="35"/>
  <c r="X263" i="35"/>
  <c r="Y263" i="35" s="1"/>
  <c r="H263" i="35"/>
  <c r="X262" i="35"/>
  <c r="I262" i="35"/>
  <c r="H262" i="35"/>
  <c r="X261" i="35"/>
  <c r="Y261" i="35" s="1"/>
  <c r="I261" i="35"/>
  <c r="H261" i="35"/>
  <c r="X260" i="35"/>
  <c r="I260" i="35"/>
  <c r="I257" i="35" s="1"/>
  <c r="H260" i="35"/>
  <c r="X259" i="35"/>
  <c r="Y259" i="35" s="1"/>
  <c r="H259" i="35"/>
  <c r="X258" i="35"/>
  <c r="Y258" i="35" s="1"/>
  <c r="H258" i="35"/>
  <c r="X257" i="35"/>
  <c r="Y257" i="35" s="1"/>
  <c r="H257" i="35"/>
  <c r="X256" i="35"/>
  <c r="I256" i="35"/>
  <c r="I252" i="35" s="1"/>
  <c r="H256" i="35"/>
  <c r="X255" i="35"/>
  <c r="Y255" i="35" s="1"/>
  <c r="I255" i="35"/>
  <c r="H255" i="35"/>
  <c r="X254" i="35"/>
  <c r="Y254" i="35" s="1"/>
  <c r="H254" i="35"/>
  <c r="X253" i="35"/>
  <c r="Y253" i="35" s="1"/>
  <c r="H253" i="35"/>
  <c r="X252" i="35"/>
  <c r="H252" i="35"/>
  <c r="X251" i="35"/>
  <c r="I251" i="35"/>
  <c r="H251" i="35"/>
  <c r="X250" i="35"/>
  <c r="Y250" i="35" s="1"/>
  <c r="H250" i="35"/>
  <c r="X249" i="35"/>
  <c r="Y249" i="35" s="1"/>
  <c r="I249" i="35"/>
  <c r="H249" i="35"/>
  <c r="X248" i="35"/>
  <c r="I248" i="35"/>
  <c r="I245" i="35" s="1"/>
  <c r="H248" i="35"/>
  <c r="X247" i="35"/>
  <c r="Y247" i="35" s="1"/>
  <c r="H247" i="35"/>
  <c r="X246" i="35"/>
  <c r="Y246" i="35" s="1"/>
  <c r="H246" i="35"/>
  <c r="X245" i="35"/>
  <c r="H245" i="35"/>
  <c r="X244" i="35"/>
  <c r="I244" i="35"/>
  <c r="H244" i="35"/>
  <c r="X243" i="35"/>
  <c r="Y243" i="35" s="1"/>
  <c r="H243" i="35"/>
  <c r="X242" i="35"/>
  <c r="Y242" i="35" s="1"/>
  <c r="I242" i="35"/>
  <c r="H242" i="35"/>
  <c r="X241" i="35"/>
  <c r="Y241" i="35" s="1"/>
  <c r="H241" i="35"/>
  <c r="X240" i="35"/>
  <c r="I240" i="35"/>
  <c r="H240" i="35"/>
  <c r="X239" i="35"/>
  <c r="Y239" i="35" s="1"/>
  <c r="I239" i="35"/>
  <c r="H239" i="35"/>
  <c r="X238" i="35"/>
  <c r="I238" i="35"/>
  <c r="H238" i="35"/>
  <c r="X237" i="35"/>
  <c r="Y237" i="35" s="1"/>
  <c r="H237" i="35"/>
  <c r="X236" i="35"/>
  <c r="Y236" i="35" s="1"/>
  <c r="H236" i="35"/>
  <c r="X235" i="35"/>
  <c r="H235" i="35"/>
  <c r="X234" i="35"/>
  <c r="Y234" i="35" s="1"/>
  <c r="I234" i="35"/>
  <c r="H234" i="35"/>
  <c r="X233" i="35"/>
  <c r="Y233" i="35" s="1"/>
  <c r="H233" i="35"/>
  <c r="X232" i="35"/>
  <c r="I232" i="35"/>
  <c r="H232" i="35"/>
  <c r="X231" i="35"/>
  <c r="Y231" i="35" s="1"/>
  <c r="H231" i="35"/>
  <c r="X230" i="35"/>
  <c r="Y230" i="35" s="1"/>
  <c r="I230" i="35"/>
  <c r="H230" i="35"/>
  <c r="X229" i="35"/>
  <c r="I229" i="35"/>
  <c r="H229" i="35"/>
  <c r="X228" i="35"/>
  <c r="Y228" i="35" s="1"/>
  <c r="I228" i="35"/>
  <c r="H228" i="35"/>
  <c r="X227" i="35"/>
  <c r="Y227" i="35" s="1"/>
  <c r="H227" i="35"/>
  <c r="X226" i="35"/>
  <c r="Y226" i="35" s="1"/>
  <c r="H226" i="35"/>
  <c r="X225" i="35"/>
  <c r="I225" i="35"/>
  <c r="H225" i="35"/>
  <c r="X224" i="35"/>
  <c r="Y224" i="35" s="1"/>
  <c r="I224" i="35"/>
  <c r="H224" i="35"/>
  <c r="X223" i="35"/>
  <c r="Y223" i="35" s="1"/>
  <c r="H223" i="35"/>
  <c r="X222" i="35"/>
  <c r="I222" i="35"/>
  <c r="H222" i="35"/>
  <c r="X221" i="35"/>
  <c r="Y221" i="35" s="1"/>
  <c r="H221" i="35"/>
  <c r="X220" i="35"/>
  <c r="Y220" i="35" s="1"/>
  <c r="I220" i="35"/>
  <c r="H220" i="35"/>
  <c r="X219" i="35"/>
  <c r="I219" i="35"/>
  <c r="I215" i="35" s="1"/>
  <c r="H219" i="35"/>
  <c r="X218" i="35"/>
  <c r="Y218" i="35" s="1"/>
  <c r="I218" i="35"/>
  <c r="H218" i="35"/>
  <c r="X217" i="35"/>
  <c r="Y217" i="35" s="1"/>
  <c r="H217" i="35"/>
  <c r="X216" i="35"/>
  <c r="Y216" i="35" s="1"/>
  <c r="H216" i="35"/>
  <c r="X215" i="35"/>
  <c r="H215" i="35"/>
  <c r="X214" i="35"/>
  <c r="I214" i="35"/>
  <c r="H214" i="35"/>
  <c r="X213" i="35"/>
  <c r="Y213" i="35" s="1"/>
  <c r="H213" i="35"/>
  <c r="X212" i="35"/>
  <c r="Y212" i="35" s="1"/>
  <c r="I212" i="35"/>
  <c r="H212" i="35"/>
  <c r="X211" i="35"/>
  <c r="I211" i="35"/>
  <c r="H211" i="35"/>
  <c r="X210" i="35"/>
  <c r="Y210" i="35" s="1"/>
  <c r="I210" i="35"/>
  <c r="H210" i="35"/>
  <c r="X209" i="35"/>
  <c r="Y209" i="35" s="1"/>
  <c r="H209" i="35"/>
  <c r="X208" i="35"/>
  <c r="Y208" i="35" s="1"/>
  <c r="H208" i="35"/>
  <c r="X207" i="35"/>
  <c r="H207" i="35"/>
  <c r="X206" i="35"/>
  <c r="I206" i="35"/>
  <c r="H206" i="35"/>
  <c r="X205" i="35"/>
  <c r="Y205" i="35" s="1"/>
  <c r="H205" i="35"/>
  <c r="X204" i="35"/>
  <c r="Y204" i="35" s="1"/>
  <c r="I204" i="35"/>
  <c r="H204" i="35"/>
  <c r="X203" i="35"/>
  <c r="I203" i="35"/>
  <c r="I199" i="35" s="1"/>
  <c r="H203" i="35"/>
  <c r="X202" i="35"/>
  <c r="Y202" i="35" s="1"/>
  <c r="I202" i="35"/>
  <c r="H202" i="35"/>
  <c r="X201" i="35"/>
  <c r="Y201" i="35" s="1"/>
  <c r="H201" i="35"/>
  <c r="X200" i="35"/>
  <c r="Y200" i="35" s="1"/>
  <c r="H200" i="35"/>
  <c r="X199" i="35"/>
  <c r="H199" i="35"/>
  <c r="X198" i="35"/>
  <c r="Y198" i="35" s="1"/>
  <c r="I198" i="35"/>
  <c r="H198" i="35"/>
  <c r="X197" i="35"/>
  <c r="I197" i="35"/>
  <c r="H197" i="35"/>
  <c r="X196" i="35"/>
  <c r="Y196" i="35" s="1"/>
  <c r="H196" i="35"/>
  <c r="X195" i="35"/>
  <c r="Y195" i="35" s="1"/>
  <c r="I195" i="35"/>
  <c r="H195" i="35"/>
  <c r="X194" i="35"/>
  <c r="Y194" i="35" s="1"/>
  <c r="H194" i="35"/>
  <c r="X193" i="35"/>
  <c r="Y193" i="35" s="1"/>
  <c r="H193" i="35"/>
  <c r="X192" i="35"/>
  <c r="Y192" i="35" s="1"/>
  <c r="H192" i="35"/>
  <c r="X191" i="35"/>
  <c r="I191" i="35"/>
  <c r="H191" i="35"/>
  <c r="X190" i="35"/>
  <c r="Y190" i="35" s="1"/>
  <c r="I190" i="35"/>
  <c r="H190" i="35"/>
  <c r="X189" i="35"/>
  <c r="I189" i="35"/>
  <c r="H189" i="35"/>
  <c r="X188" i="35"/>
  <c r="Y188" i="35" s="1"/>
  <c r="H188" i="35"/>
  <c r="X187" i="35"/>
  <c r="Y187" i="35" s="1"/>
  <c r="H187" i="35"/>
  <c r="X186" i="35"/>
  <c r="H186" i="35"/>
  <c r="X185" i="35"/>
  <c r="Y185" i="35" s="1"/>
  <c r="I185" i="35"/>
  <c r="H185" i="35"/>
  <c r="X184" i="35"/>
  <c r="I184" i="35"/>
  <c r="H184" i="35"/>
  <c r="X183" i="35"/>
  <c r="Y183" i="35" s="1"/>
  <c r="I183" i="35"/>
  <c r="H183" i="35"/>
  <c r="X182" i="35"/>
  <c r="Y182" i="35" s="1"/>
  <c r="H182" i="35"/>
  <c r="X181" i="35"/>
  <c r="Y181" i="35" s="1"/>
  <c r="H181" i="35"/>
  <c r="X180" i="35"/>
  <c r="H180" i="35"/>
  <c r="X179" i="35"/>
  <c r="I179" i="35"/>
  <c r="I175" i="35" s="1"/>
  <c r="H179" i="35"/>
  <c r="X178" i="35"/>
  <c r="Y178" i="35" s="1"/>
  <c r="I178" i="35"/>
  <c r="H178" i="35"/>
  <c r="X177" i="35"/>
  <c r="Y177" i="35" s="1"/>
  <c r="H177" i="35"/>
  <c r="X176" i="35"/>
  <c r="Y176" i="35" s="1"/>
  <c r="H176" i="35"/>
  <c r="X175" i="35"/>
  <c r="H175" i="35"/>
  <c r="X174" i="35"/>
  <c r="I174" i="35"/>
  <c r="H174" i="35"/>
  <c r="X173" i="35"/>
  <c r="Y173" i="35" s="1"/>
  <c r="I173" i="35"/>
  <c r="H173" i="35"/>
  <c r="X172" i="35"/>
  <c r="Y172" i="35" s="1"/>
  <c r="H172" i="35"/>
  <c r="X171" i="35"/>
  <c r="Y171" i="35" s="1"/>
  <c r="H171" i="35"/>
  <c r="X170" i="35"/>
  <c r="H170" i="35"/>
  <c r="X169" i="35"/>
  <c r="I169" i="35"/>
  <c r="H169" i="35"/>
  <c r="X168" i="35"/>
  <c r="Y168" i="35" s="1"/>
  <c r="I168" i="35"/>
  <c r="H168" i="35"/>
  <c r="X167" i="35"/>
  <c r="I167" i="35"/>
  <c r="H167" i="35"/>
  <c r="X166" i="35"/>
  <c r="Y166" i="35" s="1"/>
  <c r="I166" i="35"/>
  <c r="H166" i="35"/>
  <c r="X165" i="35"/>
  <c r="I165" i="35"/>
  <c r="H165" i="35"/>
  <c r="X164" i="35"/>
  <c r="Y164" i="35" s="1"/>
  <c r="I164" i="35"/>
  <c r="H164" i="35"/>
  <c r="X163" i="35"/>
  <c r="I163" i="35"/>
  <c r="H163" i="35"/>
  <c r="X162" i="35"/>
  <c r="Y162" i="35" s="1"/>
  <c r="I162" i="35"/>
  <c r="H162" i="35"/>
  <c r="X161" i="35"/>
  <c r="I161" i="35"/>
  <c r="H161" i="35"/>
  <c r="X160" i="35"/>
  <c r="Y160" i="35" s="1"/>
  <c r="H160" i="35"/>
  <c r="X159" i="35"/>
  <c r="Y159" i="35" s="1"/>
  <c r="H159" i="35"/>
  <c r="X158" i="35"/>
  <c r="H158" i="35"/>
  <c r="X157" i="35"/>
  <c r="Y157" i="35" s="1"/>
  <c r="H157" i="35"/>
  <c r="X156" i="35"/>
  <c r="Y156" i="35" s="1"/>
  <c r="I156" i="35"/>
  <c r="L156" i="35" s="1"/>
  <c r="H156" i="35"/>
  <c r="I155" i="35"/>
  <c r="H155" i="35"/>
  <c r="X154" i="35"/>
  <c r="Y154" i="35" s="1"/>
  <c r="H154" i="35"/>
  <c r="X153" i="35"/>
  <c r="Y153" i="35" s="1"/>
  <c r="H153" i="35"/>
  <c r="X152" i="35"/>
  <c r="H152" i="35"/>
  <c r="I151" i="35"/>
  <c r="L151" i="35" s="1"/>
  <c r="X151" i="35" s="1"/>
  <c r="Y151" i="35" s="1"/>
  <c r="H151" i="35"/>
  <c r="X150" i="35"/>
  <c r="Y150" i="35" s="1"/>
  <c r="I150" i="35"/>
  <c r="L150" i="35" s="1"/>
  <c r="H150" i="35"/>
  <c r="X149" i="35"/>
  <c r="Y149" i="35" s="1"/>
  <c r="H149" i="35"/>
  <c r="X148" i="35"/>
  <c r="Y148" i="35" s="1"/>
  <c r="H148" i="35"/>
  <c r="X147" i="35"/>
  <c r="I147" i="35"/>
  <c r="H147" i="35"/>
  <c r="I146" i="35"/>
  <c r="H146" i="35"/>
  <c r="X145" i="35"/>
  <c r="Y145" i="35" s="1"/>
  <c r="H145" i="35"/>
  <c r="X144" i="35"/>
  <c r="Y144" i="35" s="1"/>
  <c r="H144" i="35"/>
  <c r="X143" i="35"/>
  <c r="H143" i="35"/>
  <c r="I142" i="35"/>
  <c r="H142" i="35"/>
  <c r="X141" i="35"/>
  <c r="Y141" i="35" s="1"/>
  <c r="H141" i="35"/>
  <c r="X140" i="35"/>
  <c r="Y140" i="35" s="1"/>
  <c r="H140" i="35"/>
  <c r="X139" i="35"/>
  <c r="H139" i="35"/>
  <c r="I138" i="35"/>
  <c r="H138" i="35"/>
  <c r="X137" i="35"/>
  <c r="Y137" i="35" s="1"/>
  <c r="I137" i="35"/>
  <c r="L137" i="35" s="1"/>
  <c r="H137" i="35"/>
  <c r="X136" i="35"/>
  <c r="Y136" i="35" s="1"/>
  <c r="H136" i="35"/>
  <c r="X135" i="35"/>
  <c r="Y135" i="35" s="1"/>
  <c r="H135" i="35"/>
  <c r="X134" i="35"/>
  <c r="H134" i="35"/>
  <c r="I133" i="35"/>
  <c r="L133" i="35" s="1"/>
  <c r="X133" i="35" s="1"/>
  <c r="Y133" i="35" s="1"/>
  <c r="H133" i="35"/>
  <c r="I132" i="35"/>
  <c r="H132" i="35"/>
  <c r="X131" i="35"/>
  <c r="Y131" i="35" s="1"/>
  <c r="H131" i="35"/>
  <c r="X130" i="35"/>
  <c r="Y130" i="35" s="1"/>
  <c r="H130" i="35"/>
  <c r="X129" i="35"/>
  <c r="H129" i="35"/>
  <c r="X128" i="35"/>
  <c r="I128" i="35"/>
  <c r="H128" i="35"/>
  <c r="X127" i="35"/>
  <c r="Y127" i="35" s="1"/>
  <c r="I127" i="35"/>
  <c r="H127" i="35"/>
  <c r="X126" i="35"/>
  <c r="Y126" i="35" s="1"/>
  <c r="H126" i="35"/>
  <c r="X125" i="35"/>
  <c r="I125" i="35"/>
  <c r="H125" i="35"/>
  <c r="X124" i="35"/>
  <c r="Y124" i="35" s="1"/>
  <c r="I124" i="35"/>
  <c r="H124" i="35"/>
  <c r="X123" i="35"/>
  <c r="I123" i="35"/>
  <c r="I120" i="35" s="1"/>
  <c r="H123" i="35"/>
  <c r="X122" i="35"/>
  <c r="Y122" i="35" s="1"/>
  <c r="H122" i="35"/>
  <c r="X121" i="35"/>
  <c r="Y121" i="35" s="1"/>
  <c r="H121" i="35"/>
  <c r="X120" i="35"/>
  <c r="H120" i="35"/>
  <c r="X119" i="35"/>
  <c r="Y119" i="35" s="1"/>
  <c r="I119" i="35"/>
  <c r="L119" i="35" s="1"/>
  <c r="H119" i="35"/>
  <c r="X118" i="35"/>
  <c r="Y118" i="35" s="1"/>
  <c r="H118" i="35"/>
  <c r="X117" i="35"/>
  <c r="Y117" i="35" s="1"/>
  <c r="H117" i="35"/>
  <c r="X116" i="35"/>
  <c r="I116" i="35"/>
  <c r="H116" i="35"/>
  <c r="X115" i="35"/>
  <c r="Y115" i="35" s="1"/>
  <c r="I115" i="35"/>
  <c r="H115" i="35"/>
  <c r="X114" i="35"/>
  <c r="I114" i="35"/>
  <c r="H114" i="35"/>
  <c r="X113" i="35"/>
  <c r="Y113" i="35" s="1"/>
  <c r="I113" i="35"/>
  <c r="H113" i="35"/>
  <c r="X112" i="35"/>
  <c r="Y112" i="35" s="1"/>
  <c r="H112" i="35"/>
  <c r="X111" i="35"/>
  <c r="Y111" i="35" s="1"/>
  <c r="H111" i="35"/>
  <c r="X110" i="35"/>
  <c r="H110" i="35"/>
  <c r="X109" i="35"/>
  <c r="I109" i="35"/>
  <c r="H109" i="35"/>
  <c r="X108" i="35"/>
  <c r="Y108" i="35" s="1"/>
  <c r="I108" i="35"/>
  <c r="H108" i="35"/>
  <c r="X107" i="35"/>
  <c r="I107" i="35"/>
  <c r="H107" i="35"/>
  <c r="X106" i="35"/>
  <c r="Y106" i="35" s="1"/>
  <c r="H106" i="35"/>
  <c r="X105" i="35"/>
  <c r="Y105" i="35" s="1"/>
  <c r="H105" i="35"/>
  <c r="X104" i="35"/>
  <c r="H104" i="35"/>
  <c r="X103" i="35"/>
  <c r="Y103" i="35" s="1"/>
  <c r="I103" i="35"/>
  <c r="H103" i="35"/>
  <c r="X102" i="35"/>
  <c r="I102" i="35"/>
  <c r="H102" i="35"/>
  <c r="X101" i="35"/>
  <c r="Y101" i="35" s="1"/>
  <c r="I101" i="35"/>
  <c r="H101" i="35"/>
  <c r="X100" i="35"/>
  <c r="I100" i="35"/>
  <c r="H100" i="35"/>
  <c r="X99" i="35"/>
  <c r="Y99" i="35" s="1"/>
  <c r="H99" i="35"/>
  <c r="S98" i="35"/>
  <c r="R98" i="35"/>
  <c r="H98" i="35"/>
  <c r="R97" i="35"/>
  <c r="X97" i="35" s="1"/>
  <c r="H97" i="35"/>
  <c r="X96" i="35"/>
  <c r="I96" i="35"/>
  <c r="I93" i="35" s="1"/>
  <c r="H96" i="35"/>
  <c r="X95" i="35"/>
  <c r="Y95" i="35" s="1"/>
  <c r="H95" i="35"/>
  <c r="X94" i="35"/>
  <c r="Y94" i="35" s="1"/>
  <c r="H94" i="35"/>
  <c r="X93" i="35"/>
  <c r="H93" i="35"/>
  <c r="I92" i="35"/>
  <c r="H92" i="35"/>
  <c r="X91" i="35"/>
  <c r="Y91" i="35" s="1"/>
  <c r="I91" i="35"/>
  <c r="M91" i="35" s="1"/>
  <c r="H91" i="35"/>
  <c r="X90" i="35"/>
  <c r="Y90" i="35" s="1"/>
  <c r="H90" i="35"/>
  <c r="X89" i="35"/>
  <c r="Y89" i="35" s="1"/>
  <c r="H89" i="35"/>
  <c r="X88" i="35"/>
  <c r="H88" i="35"/>
  <c r="X87" i="35"/>
  <c r="I87" i="35"/>
  <c r="H87" i="35"/>
  <c r="X86" i="35"/>
  <c r="I86" i="35"/>
  <c r="H86" i="35"/>
  <c r="X85" i="35"/>
  <c r="I85" i="35"/>
  <c r="H85" i="35"/>
  <c r="X84" i="35"/>
  <c r="Y84" i="35" s="1"/>
  <c r="I84" i="35"/>
  <c r="H84" i="35"/>
  <c r="X83" i="35"/>
  <c r="Y83" i="35" s="1"/>
  <c r="H83" i="35"/>
  <c r="X82" i="35"/>
  <c r="I82" i="35"/>
  <c r="H82" i="35"/>
  <c r="X81" i="35"/>
  <c r="Y81" i="35" s="1"/>
  <c r="I81" i="35"/>
  <c r="H81" i="35"/>
  <c r="X80" i="35"/>
  <c r="Y80" i="35" s="1"/>
  <c r="I80" i="35"/>
  <c r="H80" i="35"/>
  <c r="X79" i="35"/>
  <c r="I79" i="35"/>
  <c r="H79" i="35"/>
  <c r="X78" i="35"/>
  <c r="I78" i="35"/>
  <c r="H78" i="35"/>
  <c r="X77" i="35"/>
  <c r="Y77" i="35" s="1"/>
  <c r="I77" i="35"/>
  <c r="H77" i="35"/>
  <c r="X76" i="35"/>
  <c r="Y76" i="35" s="1"/>
  <c r="I76" i="35"/>
  <c r="H76" i="35"/>
  <c r="X75" i="35"/>
  <c r="I75" i="35"/>
  <c r="H75" i="35"/>
  <c r="X74" i="35"/>
  <c r="Y74" i="35" s="1"/>
  <c r="H74" i="35"/>
  <c r="X73" i="35"/>
  <c r="Y73" i="35" s="1"/>
  <c r="I73" i="35"/>
  <c r="H73" i="35"/>
  <c r="X72" i="35"/>
  <c r="Y72" i="35" s="1"/>
  <c r="H72" i="35"/>
  <c r="X71" i="35"/>
  <c r="Y71" i="35" s="1"/>
  <c r="I71" i="35"/>
  <c r="H71" i="35"/>
  <c r="X70" i="35"/>
  <c r="Y70" i="35" s="1"/>
  <c r="H70" i="35"/>
  <c r="X69" i="35"/>
  <c r="I69" i="35"/>
  <c r="H69" i="35"/>
  <c r="X68" i="35"/>
  <c r="Y68" i="35" s="1"/>
  <c r="I68" i="35"/>
  <c r="H68" i="35"/>
  <c r="X67" i="35"/>
  <c r="Y67" i="35" s="1"/>
  <c r="I67" i="35"/>
  <c r="H67" i="35"/>
  <c r="X66" i="35"/>
  <c r="I66" i="35"/>
  <c r="H66" i="35"/>
  <c r="X65" i="35"/>
  <c r="I65" i="35"/>
  <c r="H65" i="35"/>
  <c r="X64" i="35"/>
  <c r="Y64" i="35" s="1"/>
  <c r="I64" i="35"/>
  <c r="H64" i="35"/>
  <c r="X63" i="35"/>
  <c r="Y63" i="35" s="1"/>
  <c r="I63" i="35"/>
  <c r="H63" i="35"/>
  <c r="X62" i="35"/>
  <c r="I62" i="35"/>
  <c r="I57" i="35" s="1"/>
  <c r="H62" i="35"/>
  <c r="X61" i="35"/>
  <c r="I61" i="35"/>
  <c r="H61" i="35"/>
  <c r="X60" i="35"/>
  <c r="Y60" i="35" s="1"/>
  <c r="I60" i="35"/>
  <c r="H60" i="35"/>
  <c r="X59" i="35"/>
  <c r="Y59" i="35" s="1"/>
  <c r="H59" i="35"/>
  <c r="X58" i="35"/>
  <c r="Y58" i="35" s="1"/>
  <c r="H58" i="35"/>
  <c r="X57" i="35"/>
  <c r="Y57" i="35" s="1"/>
  <c r="H57" i="35"/>
  <c r="X56" i="35"/>
  <c r="I56" i="35"/>
  <c r="H56" i="35"/>
  <c r="X55" i="35"/>
  <c r="Y55" i="35" s="1"/>
  <c r="I55" i="35"/>
  <c r="H55" i="35"/>
  <c r="X54" i="35"/>
  <c r="Y54" i="35" s="1"/>
  <c r="I54" i="35"/>
  <c r="H54" i="35"/>
  <c r="X53" i="35"/>
  <c r="I53" i="35"/>
  <c r="I50" i="35" s="1"/>
  <c r="H53" i="35"/>
  <c r="X52" i="35"/>
  <c r="Y52" i="35" s="1"/>
  <c r="H52" i="35"/>
  <c r="X51" i="35"/>
  <c r="Y51" i="35" s="1"/>
  <c r="H51" i="35"/>
  <c r="X50" i="35"/>
  <c r="H50" i="35"/>
  <c r="X49" i="35"/>
  <c r="Y49" i="35" s="1"/>
  <c r="I49" i="35"/>
  <c r="H49" i="35"/>
  <c r="X48" i="35"/>
  <c r="Y48" i="35" s="1"/>
  <c r="I48" i="35"/>
  <c r="H48" i="35"/>
  <c r="X47" i="35"/>
  <c r="Y47" i="35" s="1"/>
  <c r="H47" i="35"/>
  <c r="X46" i="35"/>
  <c r="Y46" i="35" s="1"/>
  <c r="H46" i="35"/>
  <c r="X45" i="35"/>
  <c r="I45" i="35"/>
  <c r="H45" i="35"/>
  <c r="X44" i="35"/>
  <c r="I44" i="35"/>
  <c r="H44" i="35"/>
  <c r="X43" i="35"/>
  <c r="Y43" i="35" s="1"/>
  <c r="I43" i="35"/>
  <c r="H43" i="35"/>
  <c r="X42" i="35"/>
  <c r="Y42" i="35" s="1"/>
  <c r="I42" i="35"/>
  <c r="H42" i="35"/>
  <c r="X41" i="35"/>
  <c r="I41" i="35"/>
  <c r="I38" i="35" s="1"/>
  <c r="H41" i="35"/>
  <c r="X40" i="35"/>
  <c r="H40" i="35"/>
  <c r="X39" i="35"/>
  <c r="H39" i="35"/>
  <c r="X38" i="35"/>
  <c r="H38" i="35"/>
  <c r="X37" i="35"/>
  <c r="H37" i="35"/>
  <c r="X36" i="35"/>
  <c r="H36" i="35"/>
  <c r="X35" i="35"/>
  <c r="X34" i="35"/>
  <c r="X33" i="35"/>
  <c r="X32" i="35"/>
  <c r="X31" i="35"/>
  <c r="I31" i="35"/>
  <c r="X28" i="35"/>
  <c r="I28" i="35"/>
  <c r="I26" i="35"/>
  <c r="X24" i="35"/>
  <c r="I24" i="35"/>
  <c r="X22" i="35"/>
  <c r="I22" i="35"/>
  <c r="I20" i="35"/>
  <c r="X17" i="35"/>
  <c r="I17" i="35"/>
  <c r="X15" i="35"/>
  <c r="I15" i="35"/>
  <c r="X912" i="34"/>
  <c r="Y912" i="34" s="1"/>
  <c r="X907" i="34"/>
  <c r="Y907" i="34" s="1"/>
  <c r="X900" i="34"/>
  <c r="Y900" i="34" s="1"/>
  <c r="X895" i="34"/>
  <c r="Y895" i="34" s="1"/>
  <c r="X764" i="34"/>
  <c r="Y764" i="34" s="1"/>
  <c r="Z719" i="34"/>
  <c r="X518" i="34"/>
  <c r="Y518" i="34" s="1"/>
  <c r="X396" i="34"/>
  <c r="Y396" i="34" s="1"/>
  <c r="X393" i="34"/>
  <c r="Y393" i="34" s="1"/>
  <c r="Y311" i="34"/>
  <c r="Y314" i="34"/>
  <c r="Y338" i="34"/>
  <c r="Y359" i="34"/>
  <c r="Y362" i="34"/>
  <c r="Y413" i="34"/>
  <c r="Y416" i="34"/>
  <c r="Y469" i="34"/>
  <c r="Y472" i="34"/>
  <c r="Y598" i="34"/>
  <c r="Y848" i="34"/>
  <c r="Y989" i="34"/>
  <c r="Y1048" i="34"/>
  <c r="X271" i="34"/>
  <c r="X267" i="34"/>
  <c r="X223" i="34"/>
  <c r="I168" i="34"/>
  <c r="I167" i="34"/>
  <c r="H166" i="34"/>
  <c r="H167" i="34"/>
  <c r="H168" i="34"/>
  <c r="H165" i="34"/>
  <c r="H164" i="34"/>
  <c r="N180" i="31"/>
  <c r="M180" i="31"/>
  <c r="C1559" i="3"/>
  <c r="F266" i="1"/>
  <c r="J266" i="1" s="1"/>
  <c r="H221" i="1"/>
  <c r="F76" i="32"/>
  <c r="F75" i="32"/>
  <c r="H184" i="31"/>
  <c r="H183" i="31"/>
  <c r="H182" i="31"/>
  <c r="H181" i="31"/>
  <c r="H180" i="31"/>
  <c r="F836" i="1"/>
  <c r="F835" i="1"/>
  <c r="F834" i="1"/>
  <c r="F833" i="1"/>
  <c r="F832" i="1"/>
  <c r="F831" i="1"/>
  <c r="F830" i="1"/>
  <c r="F829" i="1"/>
  <c r="F828" i="1"/>
  <c r="F826" i="1"/>
  <c r="K183" i="31" s="1"/>
  <c r="F825" i="1"/>
  <c r="H12" i="30"/>
  <c r="Y125" i="34"/>
  <c r="Y153" i="34"/>
  <c r="Y154" i="34"/>
  <c r="Y181" i="34"/>
  <c r="Y190" i="34"/>
  <c r="Y215" i="34"/>
  <c r="Y291" i="34"/>
  <c r="Y83" i="34"/>
  <c r="Y84" i="34"/>
  <c r="Y93" i="34"/>
  <c r="X82" i="34"/>
  <c r="X83" i="34"/>
  <c r="X84" i="34"/>
  <c r="X85" i="34"/>
  <c r="X86" i="34"/>
  <c r="X87" i="34"/>
  <c r="X88" i="34"/>
  <c r="Y88" i="34" s="1"/>
  <c r="X89" i="34"/>
  <c r="Y89" i="34" s="1"/>
  <c r="X90" i="34"/>
  <c r="X93" i="34"/>
  <c r="X94" i="34"/>
  <c r="X95" i="34"/>
  <c r="X96" i="34"/>
  <c r="X97" i="34"/>
  <c r="X98" i="34"/>
  <c r="X99" i="34"/>
  <c r="Y99" i="34" s="1"/>
  <c r="X100" i="34"/>
  <c r="Y100" i="34" s="1"/>
  <c r="X101" i="34"/>
  <c r="X102" i="34"/>
  <c r="X103" i="34"/>
  <c r="X104" i="34"/>
  <c r="X105" i="34"/>
  <c r="Y105" i="34" s="1"/>
  <c r="X106" i="34"/>
  <c r="Y106" i="34" s="1"/>
  <c r="X107" i="34"/>
  <c r="X108" i="34"/>
  <c r="X109" i="34"/>
  <c r="X110" i="34"/>
  <c r="X111" i="34"/>
  <c r="Y111" i="34" s="1"/>
  <c r="X112" i="34"/>
  <c r="Y112" i="34" s="1"/>
  <c r="X113" i="34"/>
  <c r="X114" i="34"/>
  <c r="X115" i="34"/>
  <c r="Y115" i="34" s="1"/>
  <c r="X116" i="34"/>
  <c r="Y116" i="34" s="1"/>
  <c r="X117" i="34"/>
  <c r="X118" i="34"/>
  <c r="X119" i="34"/>
  <c r="X120" i="34"/>
  <c r="Y120" i="34" s="1"/>
  <c r="X121" i="34"/>
  <c r="X122" i="34"/>
  <c r="X123" i="34"/>
  <c r="X124" i="34"/>
  <c r="Y124" i="34" s="1"/>
  <c r="X125" i="34"/>
  <c r="X126" i="34"/>
  <c r="X127" i="34"/>
  <c r="X128" i="34"/>
  <c r="X129" i="34"/>
  <c r="Y129" i="34" s="1"/>
  <c r="X130" i="34"/>
  <c r="Y130" i="34" s="1"/>
  <c r="X131" i="34"/>
  <c r="X132" i="34"/>
  <c r="X133" i="34"/>
  <c r="X134" i="34"/>
  <c r="Y134" i="34" s="1"/>
  <c r="X135" i="34"/>
  <c r="Y135" i="34" s="1"/>
  <c r="X136" i="34"/>
  <c r="X137" i="34"/>
  <c r="X138" i="34"/>
  <c r="Y138" i="34" s="1"/>
  <c r="X139" i="34"/>
  <c r="Y139" i="34" s="1"/>
  <c r="X140" i="34"/>
  <c r="X141" i="34"/>
  <c r="X142" i="34"/>
  <c r="Y142" i="34" s="1"/>
  <c r="X143" i="34"/>
  <c r="Y143" i="34" s="1"/>
  <c r="X144" i="34"/>
  <c r="X145" i="34"/>
  <c r="X146" i="34"/>
  <c r="X147" i="34"/>
  <c r="Y147" i="34" s="1"/>
  <c r="X148" i="34"/>
  <c r="Y148" i="34" s="1"/>
  <c r="X149" i="34"/>
  <c r="X150" i="34"/>
  <c r="X151" i="34"/>
  <c r="Y151" i="34" s="1"/>
  <c r="X152" i="34"/>
  <c r="X153" i="34"/>
  <c r="X154" i="34"/>
  <c r="X155" i="34"/>
  <c r="X156" i="34"/>
  <c r="X157" i="34"/>
  <c r="X158" i="34"/>
  <c r="X159" i="34"/>
  <c r="X160" i="34"/>
  <c r="X161" i="34"/>
  <c r="X162" i="34"/>
  <c r="X163" i="34"/>
  <c r="X164" i="34"/>
  <c r="X165" i="34"/>
  <c r="Y165" i="34" s="1"/>
  <c r="X166" i="34"/>
  <c r="Y166" i="34" s="1"/>
  <c r="X167" i="34"/>
  <c r="X168" i="34"/>
  <c r="X169" i="34"/>
  <c r="X170" i="34"/>
  <c r="Y170" i="34" s="1"/>
  <c r="X171" i="34"/>
  <c r="Y171" i="34" s="1"/>
  <c r="X172" i="34"/>
  <c r="X173" i="34"/>
  <c r="X174" i="34"/>
  <c r="X175" i="34"/>
  <c r="Y175" i="34" s="1"/>
  <c r="X176" i="34"/>
  <c r="Y176" i="34" s="1"/>
  <c r="X177" i="34"/>
  <c r="X178" i="34"/>
  <c r="X179" i="34"/>
  <c r="X180" i="34"/>
  <c r="X181" i="34"/>
  <c r="X182" i="34"/>
  <c r="Y182" i="34" s="1"/>
  <c r="X183" i="34"/>
  <c r="X184" i="34"/>
  <c r="X185" i="34"/>
  <c r="X186" i="34"/>
  <c r="Y186" i="34" s="1"/>
  <c r="X187" i="34"/>
  <c r="Y187" i="34" s="1"/>
  <c r="X188" i="34"/>
  <c r="Y188" i="34" s="1"/>
  <c r="X189" i="34"/>
  <c r="X190" i="34"/>
  <c r="X191" i="34"/>
  <c r="X192" i="34"/>
  <c r="X193" i="34"/>
  <c r="X194" i="34"/>
  <c r="Y194" i="34" s="1"/>
  <c r="X195" i="34"/>
  <c r="Y195" i="34" s="1"/>
  <c r="X196" i="34"/>
  <c r="X197" i="34"/>
  <c r="X198" i="34"/>
  <c r="X199" i="34"/>
  <c r="Y199" i="34" s="1"/>
  <c r="X200" i="34"/>
  <c r="X203" i="34"/>
  <c r="Y203" i="34" s="1"/>
  <c r="X204" i="34"/>
  <c r="X205" i="34"/>
  <c r="X206" i="34"/>
  <c r="X207" i="34"/>
  <c r="Y207" i="34" s="1"/>
  <c r="X208" i="34"/>
  <c r="X209" i="34"/>
  <c r="X210" i="34"/>
  <c r="Y210" i="34" s="1"/>
  <c r="X211" i="34"/>
  <c r="Y211" i="34" s="1"/>
  <c r="X212" i="34"/>
  <c r="X213" i="34"/>
  <c r="X214" i="34"/>
  <c r="X215" i="34"/>
  <c r="X216" i="34"/>
  <c r="X217" i="34"/>
  <c r="Y217" i="34" s="1"/>
  <c r="X218" i="34"/>
  <c r="X219" i="34"/>
  <c r="X220" i="34"/>
  <c r="Y220" i="34" s="1"/>
  <c r="X221" i="34"/>
  <c r="Y221" i="34" s="1"/>
  <c r="X222" i="34"/>
  <c r="X224" i="34"/>
  <c r="X225" i="34"/>
  <c r="Y225" i="34" s="1"/>
  <c r="X226" i="34"/>
  <c r="X227" i="34"/>
  <c r="Y227" i="34" s="1"/>
  <c r="X228" i="34"/>
  <c r="X229" i="34"/>
  <c r="X230" i="34"/>
  <c r="Y230" i="34" s="1"/>
  <c r="X231" i="34"/>
  <c r="Y231" i="34" s="1"/>
  <c r="X232" i="34"/>
  <c r="X233" i="34"/>
  <c r="X234" i="34"/>
  <c r="X235" i="34"/>
  <c r="Y235" i="34" s="1"/>
  <c r="X236" i="34"/>
  <c r="X237" i="34"/>
  <c r="Y237" i="34" s="1"/>
  <c r="X238" i="34"/>
  <c r="X239" i="34"/>
  <c r="X240" i="34"/>
  <c r="Y240" i="34" s="1"/>
  <c r="X241" i="34"/>
  <c r="Y241" i="34" s="1"/>
  <c r="X242" i="34"/>
  <c r="X243" i="34"/>
  <c r="X244" i="34"/>
  <c r="Y244" i="34" s="1"/>
  <c r="X245" i="34"/>
  <c r="X246" i="34"/>
  <c r="X247" i="34"/>
  <c r="Y247" i="34" s="1"/>
  <c r="X248" i="34"/>
  <c r="Y248" i="34" s="1"/>
  <c r="X249" i="34"/>
  <c r="X250" i="34"/>
  <c r="X251" i="34"/>
  <c r="X252" i="34"/>
  <c r="Y252" i="34" s="1"/>
  <c r="X253" i="34"/>
  <c r="Y253" i="34" s="1"/>
  <c r="X254" i="34"/>
  <c r="X255" i="34"/>
  <c r="X256" i="34"/>
  <c r="X257" i="34"/>
  <c r="Y257" i="34" s="1"/>
  <c r="X258" i="34"/>
  <c r="Y258" i="34" s="1"/>
  <c r="X259" i="34"/>
  <c r="X260" i="34"/>
  <c r="X261" i="34"/>
  <c r="Y261" i="34" s="1"/>
  <c r="X262" i="34"/>
  <c r="Y262" i="34" s="1"/>
  <c r="X263" i="34"/>
  <c r="X264" i="34"/>
  <c r="X265" i="34"/>
  <c r="Y265" i="34" s="1"/>
  <c r="X266" i="34"/>
  <c r="Y266" i="34" s="1"/>
  <c r="X268" i="34"/>
  <c r="X269" i="34"/>
  <c r="X270" i="34"/>
  <c r="X272" i="34"/>
  <c r="X273" i="34"/>
  <c r="Y273" i="34" s="1"/>
  <c r="X274" i="34"/>
  <c r="X275" i="34"/>
  <c r="X276" i="34"/>
  <c r="X277" i="34"/>
  <c r="Y277" i="34" s="1"/>
  <c r="X278" i="34"/>
  <c r="X279" i="34"/>
  <c r="Y279" i="34" s="1"/>
  <c r="X280" i="34"/>
  <c r="Y280" i="34" s="1"/>
  <c r="X281" i="34"/>
  <c r="Y281" i="34" s="1"/>
  <c r="X282" i="34"/>
  <c r="Y282" i="34" s="1"/>
  <c r="X283" i="34"/>
  <c r="Y283" i="34" s="1"/>
  <c r="X284" i="34"/>
  <c r="Y284" i="34" s="1"/>
  <c r="X285" i="34"/>
  <c r="Y285" i="34" s="1"/>
  <c r="X286" i="34"/>
  <c r="Y286" i="34" s="1"/>
  <c r="X287" i="34"/>
  <c r="Y287" i="34" s="1"/>
  <c r="X288" i="34"/>
  <c r="Y288" i="34" s="1"/>
  <c r="X289" i="34"/>
  <c r="Y289" i="34" s="1"/>
  <c r="X290" i="34"/>
  <c r="Y290" i="34" s="1"/>
  <c r="X291" i="34"/>
  <c r="X292" i="34"/>
  <c r="Y292" i="34" s="1"/>
  <c r="X293" i="34"/>
  <c r="Y293" i="34" s="1"/>
  <c r="X294" i="34"/>
  <c r="Y294" i="34" s="1"/>
  <c r="X295" i="34"/>
  <c r="X296" i="34"/>
  <c r="Y296" i="34" s="1"/>
  <c r="X297" i="34"/>
  <c r="Y297" i="34" s="1"/>
  <c r="X298" i="34"/>
  <c r="Y298" i="34" s="1"/>
  <c r="X299" i="34"/>
  <c r="Y299" i="34" s="1"/>
  <c r="X300" i="34"/>
  <c r="Y300" i="34" s="1"/>
  <c r="X301" i="34"/>
  <c r="Y301" i="34" s="1"/>
  <c r="X302" i="34"/>
  <c r="Y302" i="34" s="1"/>
  <c r="X303" i="34"/>
  <c r="X304" i="34"/>
  <c r="Y304" i="34" s="1"/>
  <c r="X305" i="34"/>
  <c r="Y305" i="34" s="1"/>
  <c r="X306" i="34"/>
  <c r="Y306" i="34" s="1"/>
  <c r="X307" i="34"/>
  <c r="Y307" i="34" s="1"/>
  <c r="X308" i="34"/>
  <c r="Y308" i="34" s="1"/>
  <c r="X309" i="34"/>
  <c r="Y309" i="34" s="1"/>
  <c r="X310" i="34"/>
  <c r="Y310" i="34" s="1"/>
  <c r="X311" i="34"/>
  <c r="X312" i="34"/>
  <c r="X313" i="34"/>
  <c r="Y313" i="34" s="1"/>
  <c r="X314" i="34"/>
  <c r="X315" i="34"/>
  <c r="Y315" i="34" s="1"/>
  <c r="X316" i="34"/>
  <c r="Y316" i="34" s="1"/>
  <c r="X317" i="34"/>
  <c r="X318" i="34"/>
  <c r="Y318" i="34" s="1"/>
  <c r="X319" i="34"/>
  <c r="Y319" i="34" s="1"/>
  <c r="X320" i="34"/>
  <c r="Y320" i="34" s="1"/>
  <c r="X321" i="34"/>
  <c r="Y321" i="34" s="1"/>
  <c r="X322" i="34"/>
  <c r="Y322" i="34" s="1"/>
  <c r="X323" i="34"/>
  <c r="X324" i="34"/>
  <c r="Y324" i="34" s="1"/>
  <c r="X325" i="34"/>
  <c r="Y325" i="34" s="1"/>
  <c r="X326" i="34"/>
  <c r="Y326" i="34" s="1"/>
  <c r="X327" i="34"/>
  <c r="Y327" i="34" s="1"/>
  <c r="X328" i="34"/>
  <c r="Y328" i="34" s="1"/>
  <c r="X329" i="34"/>
  <c r="X330" i="34"/>
  <c r="Y330" i="34" s="1"/>
  <c r="X331" i="34"/>
  <c r="Y331" i="34" s="1"/>
  <c r="X332" i="34"/>
  <c r="Y332" i="34" s="1"/>
  <c r="X333" i="34"/>
  <c r="Y333" i="34" s="1"/>
  <c r="X334" i="34"/>
  <c r="Y334" i="34" s="1"/>
  <c r="X335" i="34"/>
  <c r="X336" i="34"/>
  <c r="Y336" i="34" s="1"/>
  <c r="X337" i="34"/>
  <c r="Y337" i="34" s="1"/>
  <c r="X338" i="34"/>
  <c r="X339" i="34"/>
  <c r="Y339" i="34" s="1"/>
  <c r="X340" i="34"/>
  <c r="X341" i="34"/>
  <c r="Y341" i="34" s="1"/>
  <c r="X342" i="34"/>
  <c r="Y342" i="34" s="1"/>
  <c r="X343" i="34"/>
  <c r="Y343" i="34" s="1"/>
  <c r="X344" i="34"/>
  <c r="Y344" i="34" s="1"/>
  <c r="X345" i="34"/>
  <c r="Y345" i="34" s="1"/>
  <c r="X346" i="34"/>
  <c r="Y346" i="34" s="1"/>
  <c r="X347" i="34"/>
  <c r="Y347" i="34" s="1"/>
  <c r="X348" i="34"/>
  <c r="Y348" i="34" s="1"/>
  <c r="X349" i="34"/>
  <c r="Y349" i="34" s="1"/>
  <c r="X350" i="34"/>
  <c r="Y350" i="34" s="1"/>
  <c r="X351" i="34"/>
  <c r="Y351" i="34" s="1"/>
  <c r="X352" i="34"/>
  <c r="Y352" i="34" s="1"/>
  <c r="X353" i="34"/>
  <c r="Y353" i="34" s="1"/>
  <c r="X354" i="34"/>
  <c r="X355" i="34"/>
  <c r="Y355" i="34" s="1"/>
  <c r="X356" i="34"/>
  <c r="Y356" i="34" s="1"/>
  <c r="X357" i="34"/>
  <c r="Y357" i="34" s="1"/>
  <c r="X358" i="34"/>
  <c r="Y358" i="34" s="1"/>
  <c r="X359" i="34"/>
  <c r="X360" i="34"/>
  <c r="Y360" i="34" s="1"/>
  <c r="X361" i="34"/>
  <c r="Y361" i="34" s="1"/>
  <c r="X362" i="34"/>
  <c r="X363" i="34"/>
  <c r="Y363" i="34" s="1"/>
  <c r="X364" i="34"/>
  <c r="Y364" i="34" s="1"/>
  <c r="X365" i="34"/>
  <c r="X366" i="34"/>
  <c r="Y366" i="34" s="1"/>
  <c r="X367" i="34"/>
  <c r="Y367" i="34" s="1"/>
  <c r="X368" i="34"/>
  <c r="Y368" i="34" s="1"/>
  <c r="X369" i="34"/>
  <c r="Y369" i="34" s="1"/>
  <c r="X370" i="34"/>
  <c r="Y370" i="34" s="1"/>
  <c r="X371" i="34"/>
  <c r="Y371" i="34" s="1"/>
  <c r="X372" i="34"/>
  <c r="X373" i="34"/>
  <c r="Y373" i="34" s="1"/>
  <c r="X374" i="34"/>
  <c r="Y374" i="34" s="1"/>
  <c r="X375" i="34"/>
  <c r="Y375" i="34" s="1"/>
  <c r="X376" i="34"/>
  <c r="Y376" i="34" s="1"/>
  <c r="X377" i="34"/>
  <c r="Y377" i="34" s="1"/>
  <c r="X378" i="34"/>
  <c r="Y378" i="34" s="1"/>
  <c r="X379" i="34"/>
  <c r="X380" i="34"/>
  <c r="Y380" i="34" s="1"/>
  <c r="X381" i="34"/>
  <c r="Y381" i="34" s="1"/>
  <c r="X382" i="34"/>
  <c r="Y382" i="34" s="1"/>
  <c r="X383" i="34"/>
  <c r="Y383" i="34" s="1"/>
  <c r="X384" i="34"/>
  <c r="Y384" i="34" s="1"/>
  <c r="X385" i="34"/>
  <c r="Y385" i="34" s="1"/>
  <c r="X386" i="34"/>
  <c r="Y386" i="34" s="1"/>
  <c r="X387" i="34"/>
  <c r="Y387" i="34" s="1"/>
  <c r="X388" i="34"/>
  <c r="Y388" i="34" s="1"/>
  <c r="X389" i="34"/>
  <c r="X390" i="34"/>
  <c r="Y390" i="34" s="1"/>
  <c r="X391" i="34"/>
  <c r="Y391" i="34" s="1"/>
  <c r="X392" i="34"/>
  <c r="Y392" i="34" s="1"/>
  <c r="X394" i="34"/>
  <c r="Y394" i="34" s="1"/>
  <c r="X395" i="34"/>
  <c r="Y395" i="34" s="1"/>
  <c r="X397" i="34"/>
  <c r="Y397" i="34" s="1"/>
  <c r="X398" i="34"/>
  <c r="Y398" i="34" s="1"/>
  <c r="X399" i="34"/>
  <c r="Y399" i="34" s="1"/>
  <c r="X400" i="34"/>
  <c r="Y400" i="34" s="1"/>
  <c r="X401" i="34"/>
  <c r="X402" i="34"/>
  <c r="Y402" i="34" s="1"/>
  <c r="X403" i="34"/>
  <c r="Y403" i="34" s="1"/>
  <c r="X404" i="34"/>
  <c r="Y404" i="34" s="1"/>
  <c r="X405" i="34"/>
  <c r="Y405" i="34" s="1"/>
  <c r="X406" i="34"/>
  <c r="Y406" i="34" s="1"/>
  <c r="X407" i="34"/>
  <c r="Y407" i="34" s="1"/>
  <c r="X408" i="34"/>
  <c r="Y408" i="34" s="1"/>
  <c r="X409" i="34"/>
  <c r="Y409" i="34" s="1"/>
  <c r="X410" i="34"/>
  <c r="Y410" i="34" s="1"/>
  <c r="X411" i="34"/>
  <c r="Y411" i="34" s="1"/>
  <c r="X412" i="34"/>
  <c r="X413" i="34"/>
  <c r="X414" i="34"/>
  <c r="Y414" i="34" s="1"/>
  <c r="X415" i="34"/>
  <c r="Y415" i="34" s="1"/>
  <c r="X416" i="34"/>
  <c r="X417" i="34"/>
  <c r="Y417" i="34" s="1"/>
  <c r="X418" i="34"/>
  <c r="Y418" i="34" s="1"/>
  <c r="X419" i="34"/>
  <c r="Y419" i="34" s="1"/>
  <c r="X420" i="34"/>
  <c r="Y420" i="34" s="1"/>
  <c r="X421" i="34"/>
  <c r="Y421" i="34" s="1"/>
  <c r="X422" i="34"/>
  <c r="Y422" i="34" s="1"/>
  <c r="X423" i="34"/>
  <c r="Y423" i="34" s="1"/>
  <c r="X424" i="34"/>
  <c r="Y424" i="34" s="1"/>
  <c r="X425" i="34"/>
  <c r="Y425" i="34" s="1"/>
  <c r="X426" i="34"/>
  <c r="Y426" i="34" s="1"/>
  <c r="X427" i="34"/>
  <c r="Y427" i="34" s="1"/>
  <c r="X428" i="34"/>
  <c r="Y428" i="34" s="1"/>
  <c r="X429" i="34"/>
  <c r="X430" i="34"/>
  <c r="Y430" i="34" s="1"/>
  <c r="X431" i="34"/>
  <c r="Y431" i="34" s="1"/>
  <c r="X432" i="34"/>
  <c r="Y432" i="34" s="1"/>
  <c r="X433" i="34"/>
  <c r="Y433" i="34" s="1"/>
  <c r="X434" i="34"/>
  <c r="Y434" i="34" s="1"/>
  <c r="X435" i="34"/>
  <c r="Y435" i="34" s="1"/>
  <c r="X436" i="34"/>
  <c r="Y436" i="34" s="1"/>
  <c r="X437" i="34"/>
  <c r="Y437" i="34" s="1"/>
  <c r="X438" i="34"/>
  <c r="Y438" i="34" s="1"/>
  <c r="X439" i="34"/>
  <c r="Y439" i="34" s="1"/>
  <c r="X440" i="34"/>
  <c r="Y440" i="34" s="1"/>
  <c r="X441" i="34"/>
  <c r="X442" i="34"/>
  <c r="Y442" i="34" s="1"/>
  <c r="X443" i="34"/>
  <c r="Y443" i="34" s="1"/>
  <c r="X444" i="34"/>
  <c r="Y444" i="34" s="1"/>
  <c r="X445" i="34"/>
  <c r="Y445" i="34" s="1"/>
  <c r="X446" i="34"/>
  <c r="Y446" i="34" s="1"/>
  <c r="X447" i="34"/>
  <c r="X448" i="34"/>
  <c r="Y448" i="34" s="1"/>
  <c r="X449" i="34"/>
  <c r="Y449" i="34" s="1"/>
  <c r="X450" i="34"/>
  <c r="Y450" i="34" s="1"/>
  <c r="X451" i="34"/>
  <c r="Y451" i="34" s="1"/>
  <c r="X452" i="34"/>
  <c r="Y452" i="34" s="1"/>
  <c r="X453" i="34"/>
  <c r="Y453" i="34" s="1"/>
  <c r="X454" i="34"/>
  <c r="Y454" i="34" s="1"/>
  <c r="X455" i="34"/>
  <c r="Y455" i="34" s="1"/>
  <c r="X456" i="34"/>
  <c r="Y456" i="34" s="1"/>
  <c r="X457" i="34"/>
  <c r="X458" i="34"/>
  <c r="Y458" i="34" s="1"/>
  <c r="X459" i="34"/>
  <c r="Y459" i="34" s="1"/>
  <c r="X460" i="34"/>
  <c r="Y460" i="34" s="1"/>
  <c r="X461" i="34"/>
  <c r="Y461" i="34" s="1"/>
  <c r="X462" i="34"/>
  <c r="Y462" i="34" s="1"/>
  <c r="X463" i="34"/>
  <c r="Y463" i="34" s="1"/>
  <c r="X464" i="34"/>
  <c r="Y464" i="34" s="1"/>
  <c r="X465" i="34"/>
  <c r="Y465" i="34" s="1"/>
  <c r="X466" i="34"/>
  <c r="Y466" i="34" s="1"/>
  <c r="X467" i="34"/>
  <c r="Y467" i="34" s="1"/>
  <c r="X468" i="34"/>
  <c r="Y468" i="34" s="1"/>
  <c r="X469" i="34"/>
  <c r="X470" i="34"/>
  <c r="X471" i="34"/>
  <c r="Y471" i="34" s="1"/>
  <c r="X472" i="34"/>
  <c r="X473" i="34"/>
  <c r="Y473" i="34" s="1"/>
  <c r="X474" i="34"/>
  <c r="Y474" i="34" s="1"/>
  <c r="X475" i="34"/>
  <c r="Y475" i="34" s="1"/>
  <c r="X476" i="34"/>
  <c r="Y476" i="34" s="1"/>
  <c r="X477" i="34"/>
  <c r="Y477" i="34" s="1"/>
  <c r="X478" i="34"/>
  <c r="Y478" i="34" s="1"/>
  <c r="X479" i="34"/>
  <c r="X480" i="34"/>
  <c r="Y480" i="34" s="1"/>
  <c r="X481" i="34"/>
  <c r="Y481" i="34" s="1"/>
  <c r="X482" i="34"/>
  <c r="Y482" i="34" s="1"/>
  <c r="X483" i="34"/>
  <c r="Y483" i="34" s="1"/>
  <c r="X484" i="34"/>
  <c r="Y484" i="34" s="1"/>
  <c r="X485" i="34"/>
  <c r="Y485" i="34" s="1"/>
  <c r="X486" i="34"/>
  <c r="Y486" i="34" s="1"/>
  <c r="X487" i="34"/>
  <c r="Y487" i="34" s="1"/>
  <c r="X488" i="34"/>
  <c r="Y488" i="34" s="1"/>
  <c r="X489" i="34"/>
  <c r="Y489" i="34" s="1"/>
  <c r="X490" i="34"/>
  <c r="Y490" i="34" s="1"/>
  <c r="X491" i="34"/>
  <c r="Y491" i="34" s="1"/>
  <c r="X492" i="34"/>
  <c r="Y492" i="34" s="1"/>
  <c r="X493" i="34"/>
  <c r="Y493" i="34" s="1"/>
  <c r="X494" i="34"/>
  <c r="Y494" i="34" s="1"/>
  <c r="X495" i="34"/>
  <c r="Y495" i="34" s="1"/>
  <c r="X496" i="34"/>
  <c r="Y496" i="34" s="1"/>
  <c r="X497" i="34"/>
  <c r="Y497" i="34" s="1"/>
  <c r="X498" i="34"/>
  <c r="X499" i="34"/>
  <c r="Y499" i="34" s="1"/>
  <c r="X500" i="34"/>
  <c r="Y500" i="34" s="1"/>
  <c r="X501" i="34"/>
  <c r="Y501" i="34" s="1"/>
  <c r="X502" i="34"/>
  <c r="Y502" i="34" s="1"/>
  <c r="X503" i="34"/>
  <c r="Y503" i="34" s="1"/>
  <c r="X504" i="34"/>
  <c r="Y504" i="34" s="1"/>
  <c r="X505" i="34"/>
  <c r="Y505" i="34" s="1"/>
  <c r="X506" i="34"/>
  <c r="Y506" i="34" s="1"/>
  <c r="X507" i="34"/>
  <c r="Y507" i="34" s="1"/>
  <c r="X508" i="34"/>
  <c r="Y508" i="34" s="1"/>
  <c r="X509" i="34"/>
  <c r="Y509" i="34" s="1"/>
  <c r="X510" i="34"/>
  <c r="Y510" i="34" s="1"/>
  <c r="X511" i="34"/>
  <c r="X512" i="34"/>
  <c r="Y512" i="34" s="1"/>
  <c r="X513" i="34"/>
  <c r="Y513" i="34" s="1"/>
  <c r="X514" i="34"/>
  <c r="Y514" i="34" s="1"/>
  <c r="X515" i="34"/>
  <c r="Y515" i="34" s="1"/>
  <c r="X516" i="34"/>
  <c r="Y516" i="34" s="1"/>
  <c r="X517" i="34"/>
  <c r="Y517" i="34" s="1"/>
  <c r="X519" i="34"/>
  <c r="Y519" i="34" s="1"/>
  <c r="X520" i="34"/>
  <c r="Y520" i="34" s="1"/>
  <c r="X521" i="34"/>
  <c r="Y521" i="34" s="1"/>
  <c r="X522" i="34"/>
  <c r="Y522" i="34" s="1"/>
  <c r="X523" i="34"/>
  <c r="Y523" i="34" s="1"/>
  <c r="X524" i="34"/>
  <c r="X525" i="34"/>
  <c r="Y525" i="34" s="1"/>
  <c r="X526" i="34"/>
  <c r="Y526" i="34" s="1"/>
  <c r="X527" i="34"/>
  <c r="Y527" i="34" s="1"/>
  <c r="X528" i="34"/>
  <c r="Y528" i="34" s="1"/>
  <c r="X529" i="34"/>
  <c r="Y529" i="34" s="1"/>
  <c r="X530" i="34"/>
  <c r="Y530" i="34" s="1"/>
  <c r="X531" i="34"/>
  <c r="X532" i="34"/>
  <c r="Y532" i="34" s="1"/>
  <c r="X533" i="34"/>
  <c r="Y533" i="34" s="1"/>
  <c r="X534" i="34"/>
  <c r="Y534" i="34" s="1"/>
  <c r="X535" i="34"/>
  <c r="Y535" i="34" s="1"/>
  <c r="X536" i="34"/>
  <c r="Y536" i="34" s="1"/>
  <c r="X537" i="34"/>
  <c r="Y537" i="34" s="1"/>
  <c r="X538" i="34"/>
  <c r="Y538" i="34" s="1"/>
  <c r="X539" i="34"/>
  <c r="Y539" i="34" s="1"/>
  <c r="X540" i="34"/>
  <c r="Y540" i="34" s="1"/>
  <c r="X541" i="34"/>
  <c r="X542" i="34"/>
  <c r="Y542" i="34" s="1"/>
  <c r="X543" i="34"/>
  <c r="Y543" i="34" s="1"/>
  <c r="X544" i="34"/>
  <c r="Y544" i="34" s="1"/>
  <c r="X545" i="34"/>
  <c r="Y545" i="34" s="1"/>
  <c r="X546" i="34"/>
  <c r="Y546" i="34" s="1"/>
  <c r="X547" i="34"/>
  <c r="Y547" i="34" s="1"/>
  <c r="X548" i="34"/>
  <c r="Y548" i="34" s="1"/>
  <c r="X549" i="34"/>
  <c r="Y549" i="34" s="1"/>
  <c r="X550" i="34"/>
  <c r="Y550" i="34" s="1"/>
  <c r="X551" i="34"/>
  <c r="Y551" i="34" s="1"/>
  <c r="X552" i="34"/>
  <c r="Y552" i="34" s="1"/>
  <c r="X553" i="34"/>
  <c r="Y553" i="34" s="1"/>
  <c r="X554" i="34"/>
  <c r="Y554" i="34" s="1"/>
  <c r="X555" i="34"/>
  <c r="Y555" i="34" s="1"/>
  <c r="X556" i="34"/>
  <c r="Y556" i="34" s="1"/>
  <c r="X557" i="34"/>
  <c r="Y557" i="34" s="1"/>
  <c r="X558" i="34"/>
  <c r="X559" i="34"/>
  <c r="Y559" i="34" s="1"/>
  <c r="X560" i="34"/>
  <c r="Y560" i="34" s="1"/>
  <c r="X561" i="34"/>
  <c r="Y561" i="34" s="1"/>
  <c r="X562" i="34"/>
  <c r="Y562" i="34" s="1"/>
  <c r="X563" i="34"/>
  <c r="Y563" i="34" s="1"/>
  <c r="X564" i="34"/>
  <c r="Y564" i="34" s="1"/>
  <c r="X565" i="34"/>
  <c r="X566" i="34"/>
  <c r="Y566" i="34" s="1"/>
  <c r="X567" i="34"/>
  <c r="Y567" i="34" s="1"/>
  <c r="X568" i="34"/>
  <c r="Y568" i="34" s="1"/>
  <c r="X569" i="34"/>
  <c r="Y569" i="34" s="1"/>
  <c r="X570" i="34"/>
  <c r="Y570" i="34" s="1"/>
  <c r="X571" i="34"/>
  <c r="Y571" i="34" s="1"/>
  <c r="X572" i="34"/>
  <c r="Y572" i="34" s="1"/>
  <c r="X573" i="34"/>
  <c r="Y573" i="34" s="1"/>
  <c r="X574" i="34"/>
  <c r="X575" i="34"/>
  <c r="Y575" i="34" s="1"/>
  <c r="X576" i="34"/>
  <c r="Y576" i="34" s="1"/>
  <c r="X577" i="34"/>
  <c r="Y577" i="34" s="1"/>
  <c r="X578" i="34"/>
  <c r="Y578" i="34" s="1"/>
  <c r="X579" i="34"/>
  <c r="Y579" i="34" s="1"/>
  <c r="X580" i="34"/>
  <c r="Y580" i="34" s="1"/>
  <c r="X581" i="34"/>
  <c r="Y581" i="34" s="1"/>
  <c r="X582" i="34"/>
  <c r="X583" i="34"/>
  <c r="Y583" i="34" s="1"/>
  <c r="X584" i="34"/>
  <c r="Y584" i="34" s="1"/>
  <c r="X585" i="34"/>
  <c r="Y585" i="34" s="1"/>
  <c r="X586" i="34"/>
  <c r="Y586" i="34" s="1"/>
  <c r="X587" i="34"/>
  <c r="Y587" i="34" s="1"/>
  <c r="X588" i="34"/>
  <c r="Y588" i="34" s="1"/>
  <c r="X589" i="34"/>
  <c r="Y589" i="34" s="1"/>
  <c r="X590" i="34"/>
  <c r="X591" i="34"/>
  <c r="Y591" i="34" s="1"/>
  <c r="X592" i="34"/>
  <c r="Y592" i="34" s="1"/>
  <c r="X593" i="34"/>
  <c r="Y593" i="34" s="1"/>
  <c r="X594" i="34"/>
  <c r="Y594" i="34" s="1"/>
  <c r="X595" i="34"/>
  <c r="Y595" i="34" s="1"/>
  <c r="X596" i="34"/>
  <c r="X597" i="34"/>
  <c r="Y597" i="34" s="1"/>
  <c r="X598" i="34"/>
  <c r="X599" i="34"/>
  <c r="Y599" i="34" s="1"/>
  <c r="X600" i="34"/>
  <c r="Y600" i="34" s="1"/>
  <c r="X601" i="34"/>
  <c r="X602" i="34"/>
  <c r="Y602" i="34" s="1"/>
  <c r="X603" i="34"/>
  <c r="Y603" i="34" s="1"/>
  <c r="X604" i="34"/>
  <c r="Y604" i="34" s="1"/>
  <c r="X605" i="34"/>
  <c r="Y605" i="34" s="1"/>
  <c r="X606" i="34"/>
  <c r="Y606" i="34" s="1"/>
  <c r="X607" i="34"/>
  <c r="X608" i="34"/>
  <c r="Y608" i="34" s="1"/>
  <c r="X609" i="34"/>
  <c r="Y609" i="34" s="1"/>
  <c r="X610" i="34"/>
  <c r="Y610" i="34" s="1"/>
  <c r="X611" i="34"/>
  <c r="Y611" i="34" s="1"/>
  <c r="X612" i="34"/>
  <c r="Y612" i="34" s="1"/>
  <c r="X613" i="34"/>
  <c r="X614" i="34"/>
  <c r="Y614" i="34" s="1"/>
  <c r="X615" i="34"/>
  <c r="Y615" i="34" s="1"/>
  <c r="X616" i="34"/>
  <c r="Y616" i="34" s="1"/>
  <c r="X617" i="34"/>
  <c r="Y617" i="34" s="1"/>
  <c r="X618" i="34"/>
  <c r="Y618" i="34" s="1"/>
  <c r="X619" i="34"/>
  <c r="X620" i="34"/>
  <c r="Y620" i="34" s="1"/>
  <c r="X621" i="34"/>
  <c r="Y621" i="34" s="1"/>
  <c r="X622" i="34"/>
  <c r="Y622" i="34" s="1"/>
  <c r="X623" i="34"/>
  <c r="Y623" i="34" s="1"/>
  <c r="X624" i="34"/>
  <c r="Y624" i="34" s="1"/>
  <c r="X625" i="34"/>
  <c r="X626" i="34"/>
  <c r="Y626" i="34" s="1"/>
  <c r="X627" i="34"/>
  <c r="Y627" i="34" s="1"/>
  <c r="X628" i="34"/>
  <c r="Y628" i="34" s="1"/>
  <c r="X629" i="34"/>
  <c r="Y629" i="34" s="1"/>
  <c r="X630" i="34"/>
  <c r="Y630" i="34" s="1"/>
  <c r="X631" i="34"/>
  <c r="X632" i="34"/>
  <c r="Y632" i="34" s="1"/>
  <c r="X633" i="34"/>
  <c r="Y633" i="34" s="1"/>
  <c r="X634" i="34"/>
  <c r="Y634" i="34" s="1"/>
  <c r="X635" i="34"/>
  <c r="Y635" i="34" s="1"/>
  <c r="X636" i="34"/>
  <c r="Y636" i="34" s="1"/>
  <c r="X637" i="34"/>
  <c r="X638" i="34"/>
  <c r="Y638" i="34" s="1"/>
  <c r="X639" i="34"/>
  <c r="Y639" i="34" s="1"/>
  <c r="X640" i="34"/>
  <c r="Y640" i="34" s="1"/>
  <c r="X641" i="34"/>
  <c r="X642" i="34"/>
  <c r="Y642" i="34" s="1"/>
  <c r="X643" i="34"/>
  <c r="Y643" i="34" s="1"/>
  <c r="X644" i="34"/>
  <c r="Y644" i="34" s="1"/>
  <c r="X645" i="34"/>
  <c r="Y645" i="34" s="1"/>
  <c r="X646" i="34"/>
  <c r="Y646" i="34" s="1"/>
  <c r="X647" i="34"/>
  <c r="X648" i="34"/>
  <c r="Y648" i="34" s="1"/>
  <c r="X649" i="34"/>
  <c r="Y649" i="34" s="1"/>
  <c r="X650" i="34"/>
  <c r="Y650" i="34" s="1"/>
  <c r="X651" i="34"/>
  <c r="Y651" i="34" s="1"/>
  <c r="X652" i="34"/>
  <c r="Y652" i="34" s="1"/>
  <c r="X653" i="34"/>
  <c r="Y653" i="34" s="1"/>
  <c r="X654" i="34"/>
  <c r="X655" i="34"/>
  <c r="Y655" i="34" s="1"/>
  <c r="X656" i="34"/>
  <c r="Y656" i="34" s="1"/>
  <c r="X657" i="34"/>
  <c r="Y657" i="34" s="1"/>
  <c r="X658" i="34"/>
  <c r="Y658" i="34" s="1"/>
  <c r="X659" i="34"/>
  <c r="Y659" i="34" s="1"/>
  <c r="X660" i="34"/>
  <c r="X661" i="34"/>
  <c r="Y661" i="34" s="1"/>
  <c r="X662" i="34"/>
  <c r="Y662" i="34" s="1"/>
  <c r="X663" i="34"/>
  <c r="Y663" i="34" s="1"/>
  <c r="X664" i="34"/>
  <c r="Y664" i="34" s="1"/>
  <c r="X665" i="34"/>
  <c r="Y665" i="34" s="1"/>
  <c r="X666" i="34"/>
  <c r="X667" i="34"/>
  <c r="Y667" i="34" s="1"/>
  <c r="X668" i="34"/>
  <c r="Y668" i="34" s="1"/>
  <c r="X670" i="34"/>
  <c r="Y670" i="34" s="1"/>
  <c r="X671" i="34"/>
  <c r="Y671" i="34" s="1"/>
  <c r="X672" i="34"/>
  <c r="Y672" i="34" s="1"/>
  <c r="X673" i="34"/>
  <c r="Y673" i="34" s="1"/>
  <c r="X674" i="34"/>
  <c r="Y674" i="34" s="1"/>
  <c r="X675" i="34"/>
  <c r="Y675" i="34" s="1"/>
  <c r="X676" i="34"/>
  <c r="Y676" i="34" s="1"/>
  <c r="X677" i="34"/>
  <c r="Y677" i="34" s="1"/>
  <c r="X678" i="34"/>
  <c r="Y678" i="34" s="1"/>
  <c r="X679" i="34"/>
  <c r="Y679" i="34" s="1"/>
  <c r="X680" i="34"/>
  <c r="Y680" i="34" s="1"/>
  <c r="X681" i="34"/>
  <c r="Y681" i="34" s="1"/>
  <c r="X682" i="34"/>
  <c r="Y682" i="34" s="1"/>
  <c r="X683" i="34"/>
  <c r="Y683" i="34" s="1"/>
  <c r="X684" i="34"/>
  <c r="Y684" i="34" s="1"/>
  <c r="X685" i="34"/>
  <c r="Y685" i="34" s="1"/>
  <c r="X686" i="34"/>
  <c r="Y686" i="34" s="1"/>
  <c r="X687" i="34"/>
  <c r="Y687" i="34" s="1"/>
  <c r="X688" i="34"/>
  <c r="Y688" i="34" s="1"/>
  <c r="X689" i="34"/>
  <c r="Y689" i="34" s="1"/>
  <c r="X690" i="34"/>
  <c r="Y690" i="34" s="1"/>
  <c r="X691" i="34"/>
  <c r="Y691" i="34" s="1"/>
  <c r="X692" i="34"/>
  <c r="Y692" i="34" s="1"/>
  <c r="X693" i="34"/>
  <c r="Y693" i="34" s="1"/>
  <c r="X694" i="34"/>
  <c r="Y694" i="34" s="1"/>
  <c r="X695" i="34"/>
  <c r="Y695" i="34" s="1"/>
  <c r="X696" i="34"/>
  <c r="Y696" i="34" s="1"/>
  <c r="X697" i="34"/>
  <c r="Y697" i="34" s="1"/>
  <c r="X698" i="34"/>
  <c r="Y698" i="34" s="1"/>
  <c r="X699" i="34"/>
  <c r="Y699" i="34" s="1"/>
  <c r="X700" i="34"/>
  <c r="Y700" i="34" s="1"/>
  <c r="X701" i="34"/>
  <c r="X702" i="34"/>
  <c r="Y702" i="34" s="1"/>
  <c r="X703" i="34"/>
  <c r="Y703" i="34" s="1"/>
  <c r="X704" i="34"/>
  <c r="Y704" i="34" s="1"/>
  <c r="X705" i="34"/>
  <c r="Y705" i="34" s="1"/>
  <c r="X706" i="34"/>
  <c r="Y706" i="34" s="1"/>
  <c r="X707" i="34"/>
  <c r="Y707" i="34" s="1"/>
  <c r="X708" i="34"/>
  <c r="Y708" i="34" s="1"/>
  <c r="X709" i="34"/>
  <c r="Y709" i="34" s="1"/>
  <c r="X710" i="34"/>
  <c r="Y710" i="34" s="1"/>
  <c r="X711" i="34"/>
  <c r="X712" i="34"/>
  <c r="Y712" i="34" s="1"/>
  <c r="X713" i="34"/>
  <c r="Y713" i="34" s="1"/>
  <c r="X714" i="34"/>
  <c r="Y714" i="34" s="1"/>
  <c r="X715" i="34"/>
  <c r="Y715" i="34" s="1"/>
  <c r="X716" i="34"/>
  <c r="Y716" i="34" s="1"/>
  <c r="X717" i="34"/>
  <c r="Y717" i="34" s="1"/>
  <c r="X718" i="34"/>
  <c r="Y718" i="34" s="1"/>
  <c r="X719" i="34"/>
  <c r="Y719" i="34" s="1"/>
  <c r="X720" i="34"/>
  <c r="Y720" i="34" s="1"/>
  <c r="X721" i="34"/>
  <c r="X722" i="34"/>
  <c r="Y722" i="34" s="1"/>
  <c r="X723" i="34"/>
  <c r="Y723" i="34" s="1"/>
  <c r="X724" i="34"/>
  <c r="Y724" i="34" s="1"/>
  <c r="X725" i="34"/>
  <c r="Y725" i="34" s="1"/>
  <c r="X726" i="34"/>
  <c r="Y726" i="34" s="1"/>
  <c r="X727" i="34"/>
  <c r="X728" i="34"/>
  <c r="Y728" i="34" s="1"/>
  <c r="X729" i="34"/>
  <c r="Y729" i="34" s="1"/>
  <c r="X730" i="34"/>
  <c r="Y730" i="34" s="1"/>
  <c r="X731" i="34"/>
  <c r="X732" i="34"/>
  <c r="Y732" i="34" s="1"/>
  <c r="X733" i="34"/>
  <c r="X734" i="34"/>
  <c r="Y734" i="34" s="1"/>
  <c r="X735" i="34"/>
  <c r="Y735" i="34" s="1"/>
  <c r="X736" i="34"/>
  <c r="Y736" i="34" s="1"/>
  <c r="X737" i="34"/>
  <c r="Y737" i="34" s="1"/>
  <c r="X738" i="34"/>
  <c r="Y738" i="34" s="1"/>
  <c r="X739" i="34"/>
  <c r="Y739" i="34" s="1"/>
  <c r="X740" i="34"/>
  <c r="Y740" i="34" s="1"/>
  <c r="X741" i="34"/>
  <c r="X742" i="34"/>
  <c r="Y742" i="34" s="1"/>
  <c r="X743" i="34"/>
  <c r="Y743" i="34" s="1"/>
  <c r="X744" i="34"/>
  <c r="Y744" i="34" s="1"/>
  <c r="X745" i="34"/>
  <c r="Y745" i="34" s="1"/>
  <c r="X746" i="34"/>
  <c r="Y746" i="34" s="1"/>
  <c r="X747" i="34"/>
  <c r="Y747" i="34" s="1"/>
  <c r="X748" i="34"/>
  <c r="Y748" i="34" s="1"/>
  <c r="X749" i="34"/>
  <c r="X750" i="34"/>
  <c r="Y750" i="34" s="1"/>
  <c r="X751" i="34"/>
  <c r="Y751" i="34" s="1"/>
  <c r="X752" i="34"/>
  <c r="Y752" i="34" s="1"/>
  <c r="X753" i="34"/>
  <c r="Y753" i="34" s="1"/>
  <c r="X754" i="34"/>
  <c r="Y754" i="34" s="1"/>
  <c r="X755" i="34"/>
  <c r="Y755" i="34" s="1"/>
  <c r="X756" i="34"/>
  <c r="Y756" i="34" s="1"/>
  <c r="X757" i="34"/>
  <c r="Y757" i="34" s="1"/>
  <c r="X758" i="34"/>
  <c r="Y758" i="34" s="1"/>
  <c r="X759" i="34"/>
  <c r="X760" i="34"/>
  <c r="Y760" i="34" s="1"/>
  <c r="X761" i="34"/>
  <c r="Y761" i="34" s="1"/>
  <c r="X762" i="34"/>
  <c r="Y762" i="34" s="1"/>
  <c r="X763" i="34"/>
  <c r="Y763" i="34" s="1"/>
  <c r="X765" i="34"/>
  <c r="Y765" i="34" s="1"/>
  <c r="X766" i="34"/>
  <c r="Y766" i="34" s="1"/>
  <c r="X767" i="34"/>
  <c r="Y767" i="34" s="1"/>
  <c r="X768" i="34"/>
  <c r="Y768" i="34" s="1"/>
  <c r="X769" i="34"/>
  <c r="X770" i="34"/>
  <c r="Y770" i="34" s="1"/>
  <c r="X771" i="34"/>
  <c r="Y771" i="34" s="1"/>
  <c r="X772" i="34"/>
  <c r="Y772" i="34" s="1"/>
  <c r="X773" i="34"/>
  <c r="Y773" i="34" s="1"/>
  <c r="X774" i="34"/>
  <c r="Y774" i="34" s="1"/>
  <c r="X775" i="34"/>
  <c r="Y775" i="34" s="1"/>
  <c r="X776" i="34"/>
  <c r="Y776" i="34" s="1"/>
  <c r="X777" i="34"/>
  <c r="Y777" i="34" s="1"/>
  <c r="X778" i="34"/>
  <c r="Y778" i="34" s="1"/>
  <c r="X779" i="34"/>
  <c r="X780" i="34"/>
  <c r="Y780" i="34" s="1"/>
  <c r="X781" i="34"/>
  <c r="Y781" i="34" s="1"/>
  <c r="X782" i="34"/>
  <c r="Y782" i="34" s="1"/>
  <c r="X783" i="34"/>
  <c r="Y783" i="34" s="1"/>
  <c r="X784" i="34"/>
  <c r="Y784" i="34" s="1"/>
  <c r="X785" i="34"/>
  <c r="Y785" i="34" s="1"/>
  <c r="X786" i="34"/>
  <c r="Y786" i="34" s="1"/>
  <c r="X787" i="34"/>
  <c r="Y787" i="34" s="1"/>
  <c r="X788" i="34"/>
  <c r="Y788" i="34" s="1"/>
  <c r="X789" i="34"/>
  <c r="Y789" i="34" s="1"/>
  <c r="X790" i="34"/>
  <c r="Y790" i="34" s="1"/>
  <c r="X791" i="34"/>
  <c r="Y791" i="34" s="1"/>
  <c r="X792" i="34"/>
  <c r="Y792" i="34" s="1"/>
  <c r="X793" i="34"/>
  <c r="Y793" i="34" s="1"/>
  <c r="X794" i="34"/>
  <c r="Y794" i="34" s="1"/>
  <c r="X795" i="34"/>
  <c r="Y795" i="34" s="1"/>
  <c r="X796" i="34"/>
  <c r="Y796" i="34" s="1"/>
  <c r="X797" i="34"/>
  <c r="Y797" i="34" s="1"/>
  <c r="X798" i="34"/>
  <c r="Y798" i="34" s="1"/>
  <c r="X799" i="34"/>
  <c r="Y799" i="34" s="1"/>
  <c r="X800" i="34"/>
  <c r="X801" i="34"/>
  <c r="Y801" i="34" s="1"/>
  <c r="X802" i="34"/>
  <c r="Y802" i="34" s="1"/>
  <c r="X803" i="34"/>
  <c r="Y803" i="34" s="1"/>
  <c r="X804" i="34"/>
  <c r="X805" i="34"/>
  <c r="Y805" i="34" s="1"/>
  <c r="X806" i="34"/>
  <c r="Y806" i="34" s="1"/>
  <c r="X807" i="34"/>
  <c r="Y807" i="34" s="1"/>
  <c r="X808" i="34"/>
  <c r="X809" i="34"/>
  <c r="Y809" i="34" s="1"/>
  <c r="X810" i="34"/>
  <c r="Y810" i="34" s="1"/>
  <c r="X811" i="34"/>
  <c r="Y811" i="34" s="1"/>
  <c r="X812" i="34"/>
  <c r="Y812" i="34" s="1"/>
  <c r="X813" i="34"/>
  <c r="X814" i="34"/>
  <c r="Y814" i="34" s="1"/>
  <c r="X815" i="34"/>
  <c r="Y815" i="34" s="1"/>
  <c r="X816" i="34"/>
  <c r="Y816" i="34" s="1"/>
  <c r="X817" i="34"/>
  <c r="Y817" i="34" s="1"/>
  <c r="X818" i="34"/>
  <c r="X819" i="34"/>
  <c r="Y819" i="34" s="1"/>
  <c r="X820" i="34"/>
  <c r="Y820" i="34" s="1"/>
  <c r="X821" i="34"/>
  <c r="Y821" i="34" s="1"/>
  <c r="X822" i="34"/>
  <c r="Y822" i="34" s="1"/>
  <c r="X823" i="34"/>
  <c r="Y823" i="34" s="1"/>
  <c r="X824" i="34"/>
  <c r="Y824" i="34" s="1"/>
  <c r="X825" i="34"/>
  <c r="X826" i="34"/>
  <c r="Y826" i="34" s="1"/>
  <c r="X827" i="34"/>
  <c r="Y827" i="34" s="1"/>
  <c r="X828" i="34"/>
  <c r="Y828" i="34" s="1"/>
  <c r="X829" i="34"/>
  <c r="X830" i="34"/>
  <c r="Y830" i="34" s="1"/>
  <c r="X831" i="34"/>
  <c r="Y831" i="34" s="1"/>
  <c r="X832" i="34"/>
  <c r="Y832" i="34" s="1"/>
  <c r="X833" i="34"/>
  <c r="X834" i="34"/>
  <c r="Y834" i="34" s="1"/>
  <c r="X835" i="34"/>
  <c r="Y835" i="34" s="1"/>
  <c r="X836" i="34"/>
  <c r="Y836" i="34" s="1"/>
  <c r="X837" i="34"/>
  <c r="Y837" i="34" s="1"/>
  <c r="X838" i="34"/>
  <c r="Y838" i="34" s="1"/>
  <c r="X839" i="34"/>
  <c r="Y839" i="34" s="1"/>
  <c r="X840" i="34"/>
  <c r="Y840" i="34" s="1"/>
  <c r="X841" i="34"/>
  <c r="Y841" i="34" s="1"/>
  <c r="X842" i="34"/>
  <c r="Y842" i="34" s="1"/>
  <c r="X843" i="34"/>
  <c r="Y843" i="34" s="1"/>
  <c r="X844" i="34"/>
  <c r="Y844" i="34" s="1"/>
  <c r="X845" i="34"/>
  <c r="Y845" i="34" s="1"/>
  <c r="X846" i="34"/>
  <c r="X847" i="34"/>
  <c r="Y847" i="34" s="1"/>
  <c r="X848" i="34"/>
  <c r="X849" i="34"/>
  <c r="Y849" i="34" s="1"/>
  <c r="X850" i="34"/>
  <c r="Y850" i="34" s="1"/>
  <c r="X851" i="34"/>
  <c r="Y851" i="34" s="1"/>
  <c r="X852" i="34"/>
  <c r="Y852" i="34" s="1"/>
  <c r="X853" i="34"/>
  <c r="Y853" i="34" s="1"/>
  <c r="X854" i="34"/>
  <c r="Y854" i="34" s="1"/>
  <c r="X855" i="34"/>
  <c r="Y855" i="34" s="1"/>
  <c r="X856" i="34"/>
  <c r="Y856" i="34" s="1"/>
  <c r="X857" i="34"/>
  <c r="Y857" i="34" s="1"/>
  <c r="X858" i="34"/>
  <c r="Y858" i="34" s="1"/>
  <c r="X859" i="34"/>
  <c r="Y859" i="34" s="1"/>
  <c r="X860" i="34"/>
  <c r="Y860" i="34" s="1"/>
  <c r="X861" i="34"/>
  <c r="Y861" i="34" s="1"/>
  <c r="X862" i="34"/>
  <c r="Y862" i="34" s="1"/>
  <c r="X863" i="34"/>
  <c r="Y863" i="34" s="1"/>
  <c r="X864" i="34"/>
  <c r="Y864" i="34" s="1"/>
  <c r="X865" i="34"/>
  <c r="Y865" i="34" s="1"/>
  <c r="X866" i="34"/>
  <c r="Y866" i="34" s="1"/>
  <c r="X867" i="34"/>
  <c r="Y867" i="34" s="1"/>
  <c r="X868" i="34"/>
  <c r="Y868" i="34" s="1"/>
  <c r="X869" i="34"/>
  <c r="Y869" i="34" s="1"/>
  <c r="X870" i="34"/>
  <c r="Y870" i="34" s="1"/>
  <c r="X871" i="34"/>
  <c r="Y871" i="34" s="1"/>
  <c r="X872" i="34"/>
  <c r="Y872" i="34" s="1"/>
  <c r="X873" i="34"/>
  <c r="Y873" i="34" s="1"/>
  <c r="X874" i="34"/>
  <c r="Y874" i="34" s="1"/>
  <c r="X875" i="34"/>
  <c r="Y875" i="34" s="1"/>
  <c r="X876" i="34"/>
  <c r="Y876" i="34" s="1"/>
  <c r="X877" i="34"/>
  <c r="X878" i="34"/>
  <c r="Y878" i="34" s="1"/>
  <c r="X879" i="34"/>
  <c r="Y879" i="34" s="1"/>
  <c r="X880" i="34"/>
  <c r="Y880" i="34" s="1"/>
  <c r="X881" i="34"/>
  <c r="Y881" i="34" s="1"/>
  <c r="X882" i="34"/>
  <c r="Y882" i="34" s="1"/>
  <c r="X883" i="34"/>
  <c r="Y883" i="34" s="1"/>
  <c r="X884" i="34"/>
  <c r="Y884" i="34" s="1"/>
  <c r="X885" i="34"/>
  <c r="Y885" i="34" s="1"/>
  <c r="X886" i="34"/>
  <c r="Y886" i="34" s="1"/>
  <c r="X887" i="34"/>
  <c r="Y887" i="34" s="1"/>
  <c r="X888" i="34"/>
  <c r="X889" i="34"/>
  <c r="Y889" i="34" s="1"/>
  <c r="X890" i="34"/>
  <c r="Y890" i="34" s="1"/>
  <c r="X891" i="34"/>
  <c r="Y891" i="34" s="1"/>
  <c r="X892" i="34"/>
  <c r="X893" i="34"/>
  <c r="Y893" i="34" s="1"/>
  <c r="X894" i="34"/>
  <c r="Y894" i="34" s="1"/>
  <c r="X896" i="34"/>
  <c r="Y896" i="34" s="1"/>
  <c r="X897" i="34"/>
  <c r="Y897" i="34" s="1"/>
  <c r="X898" i="34"/>
  <c r="Y898" i="34" s="1"/>
  <c r="X899" i="34"/>
  <c r="Y899" i="34" s="1"/>
  <c r="X901" i="34"/>
  <c r="Y901" i="34" s="1"/>
  <c r="X902" i="34"/>
  <c r="Y902" i="34" s="1"/>
  <c r="X903" i="34"/>
  <c r="Y903" i="34" s="1"/>
  <c r="X904" i="34"/>
  <c r="Y904" i="34" s="1"/>
  <c r="X905" i="34"/>
  <c r="Y905" i="34" s="1"/>
  <c r="X906" i="34"/>
  <c r="Y906" i="34" s="1"/>
  <c r="X908" i="34"/>
  <c r="Y908" i="34" s="1"/>
  <c r="X909" i="34"/>
  <c r="Y909" i="34" s="1"/>
  <c r="X910" i="34"/>
  <c r="Y910" i="34" s="1"/>
  <c r="X911" i="34"/>
  <c r="Y911" i="34" s="1"/>
  <c r="X913" i="34"/>
  <c r="Y913" i="34" s="1"/>
  <c r="X914" i="34"/>
  <c r="Y914" i="34" s="1"/>
  <c r="X915" i="34"/>
  <c r="Y915" i="34" s="1"/>
  <c r="X916" i="34"/>
  <c r="Y916" i="34" s="1"/>
  <c r="X917" i="34"/>
  <c r="Y917" i="34" s="1"/>
  <c r="X918" i="34"/>
  <c r="Y918" i="34" s="1"/>
  <c r="X919" i="34"/>
  <c r="X920" i="34"/>
  <c r="Y920" i="34" s="1"/>
  <c r="X921" i="34"/>
  <c r="Y921" i="34" s="1"/>
  <c r="X922" i="34"/>
  <c r="Y922" i="34" s="1"/>
  <c r="X923" i="34"/>
  <c r="Y923" i="34" s="1"/>
  <c r="X924" i="34"/>
  <c r="Y924" i="34" s="1"/>
  <c r="X925" i="34"/>
  <c r="Y925" i="34" s="1"/>
  <c r="X926" i="34"/>
  <c r="Y926" i="34" s="1"/>
  <c r="X927" i="34"/>
  <c r="X928" i="34"/>
  <c r="Y928" i="34" s="1"/>
  <c r="X929" i="34"/>
  <c r="Y929" i="34" s="1"/>
  <c r="X930" i="34"/>
  <c r="Y930" i="34" s="1"/>
  <c r="X931" i="34"/>
  <c r="Y931" i="34" s="1"/>
  <c r="X932" i="34"/>
  <c r="Y932" i="34" s="1"/>
  <c r="X933" i="34"/>
  <c r="Y933" i="34" s="1"/>
  <c r="X934" i="34"/>
  <c r="Y934" i="34" s="1"/>
  <c r="X935" i="34"/>
  <c r="Y935" i="34" s="1"/>
  <c r="X936" i="34"/>
  <c r="X937" i="34"/>
  <c r="Y937" i="34" s="1"/>
  <c r="X938" i="34"/>
  <c r="Y938" i="34" s="1"/>
  <c r="X939" i="34"/>
  <c r="Y939" i="34" s="1"/>
  <c r="X940" i="34"/>
  <c r="Y940" i="34" s="1"/>
  <c r="X941" i="34"/>
  <c r="Y941" i="34" s="1"/>
  <c r="X942" i="34"/>
  <c r="Y942" i="34" s="1"/>
  <c r="X943" i="34"/>
  <c r="Y943" i="34" s="1"/>
  <c r="X944" i="34"/>
  <c r="X945" i="34"/>
  <c r="X946" i="34"/>
  <c r="Y946" i="34" s="1"/>
  <c r="X947" i="34"/>
  <c r="Y947" i="34" s="1"/>
  <c r="X948" i="34"/>
  <c r="Y948" i="34" s="1"/>
  <c r="X949" i="34"/>
  <c r="Y949" i="34" s="1"/>
  <c r="X950" i="34"/>
  <c r="Y950" i="34" s="1"/>
  <c r="X951" i="34"/>
  <c r="Y951" i="34" s="1"/>
  <c r="X952" i="34"/>
  <c r="Y952" i="34" s="1"/>
  <c r="X953" i="34"/>
  <c r="Y953" i="34" s="1"/>
  <c r="X954" i="34"/>
  <c r="Y954" i="34" s="1"/>
  <c r="X955" i="34"/>
  <c r="Y955" i="34" s="1"/>
  <c r="X956" i="34"/>
  <c r="X957" i="34"/>
  <c r="Y957" i="34" s="1"/>
  <c r="X958" i="34"/>
  <c r="Y958" i="34" s="1"/>
  <c r="X959" i="34"/>
  <c r="Y959" i="34" s="1"/>
  <c r="X960" i="34"/>
  <c r="Y960" i="34" s="1"/>
  <c r="X961" i="34"/>
  <c r="Y961" i="34" s="1"/>
  <c r="X962" i="34"/>
  <c r="Y962" i="34" s="1"/>
  <c r="X963" i="34"/>
  <c r="Y963" i="34" s="1"/>
  <c r="X964" i="34"/>
  <c r="Y964" i="34" s="1"/>
  <c r="X965" i="34"/>
  <c r="Y965" i="34" s="1"/>
  <c r="X966" i="34"/>
  <c r="Y966" i="34" s="1"/>
  <c r="X967" i="34"/>
  <c r="X968" i="34"/>
  <c r="Y968" i="34" s="1"/>
  <c r="X969" i="34"/>
  <c r="Y969" i="34" s="1"/>
  <c r="X970" i="34"/>
  <c r="Y970" i="34" s="1"/>
  <c r="X971" i="34"/>
  <c r="Y971" i="34" s="1"/>
  <c r="X972" i="34"/>
  <c r="Y972" i="34" s="1"/>
  <c r="X973" i="34"/>
  <c r="Y973" i="34" s="1"/>
  <c r="X974" i="34"/>
  <c r="Y974" i="34" s="1"/>
  <c r="X975" i="34"/>
  <c r="X976" i="34"/>
  <c r="Y976" i="34" s="1"/>
  <c r="X977" i="34"/>
  <c r="Y977" i="34" s="1"/>
  <c r="X978" i="34"/>
  <c r="Y978" i="34" s="1"/>
  <c r="X979" i="34"/>
  <c r="Y979" i="34" s="1"/>
  <c r="X980" i="34"/>
  <c r="Y980" i="34" s="1"/>
  <c r="X981" i="34"/>
  <c r="Y981" i="34" s="1"/>
  <c r="X982" i="34"/>
  <c r="Y982" i="34" s="1"/>
  <c r="X983" i="34"/>
  <c r="X984" i="34"/>
  <c r="Y984" i="34" s="1"/>
  <c r="X985" i="34"/>
  <c r="Y985" i="34" s="1"/>
  <c r="X986" i="34"/>
  <c r="Y986" i="34" s="1"/>
  <c r="X987" i="34"/>
  <c r="Y987" i="34" s="1"/>
  <c r="X988" i="34"/>
  <c r="Y988" i="34" s="1"/>
  <c r="X989" i="34"/>
  <c r="X990" i="34"/>
  <c r="Y990" i="34" s="1"/>
  <c r="X991" i="34"/>
  <c r="Y991" i="34" s="1"/>
  <c r="X992" i="34"/>
  <c r="X993" i="34"/>
  <c r="Y993" i="34" s="1"/>
  <c r="X994" i="34"/>
  <c r="Y994" i="34" s="1"/>
  <c r="X995" i="34"/>
  <c r="Y995" i="34" s="1"/>
  <c r="X996" i="34"/>
  <c r="Y996" i="34" s="1"/>
  <c r="X997" i="34"/>
  <c r="Y997" i="34" s="1"/>
  <c r="X998" i="34"/>
  <c r="Y998" i="34" s="1"/>
  <c r="X999" i="34"/>
  <c r="Y999" i="34" s="1"/>
  <c r="X1000" i="34"/>
  <c r="Y1000" i="34" s="1"/>
  <c r="X1001" i="34"/>
  <c r="Y1001" i="34" s="1"/>
  <c r="X1002" i="34"/>
  <c r="X1003" i="34"/>
  <c r="Y1003" i="34" s="1"/>
  <c r="X1004" i="34"/>
  <c r="Y1004" i="34" s="1"/>
  <c r="X1005" i="34"/>
  <c r="Y1005" i="34" s="1"/>
  <c r="X1006" i="34"/>
  <c r="Y1006" i="34" s="1"/>
  <c r="X1007" i="34"/>
  <c r="Y1007" i="34" s="1"/>
  <c r="X1008" i="34"/>
  <c r="Y1008" i="34" s="1"/>
  <c r="X1009" i="34"/>
  <c r="Y1009" i="34" s="1"/>
  <c r="X1010" i="34"/>
  <c r="X1011" i="34"/>
  <c r="Y1011" i="34" s="1"/>
  <c r="X1012" i="34"/>
  <c r="Y1012" i="34" s="1"/>
  <c r="X1013" i="34"/>
  <c r="Y1013" i="34" s="1"/>
  <c r="X1014" i="34"/>
  <c r="Y1014" i="34" s="1"/>
  <c r="X1015" i="34"/>
  <c r="Y1015" i="34" s="1"/>
  <c r="X1016" i="34"/>
  <c r="Y1016" i="34" s="1"/>
  <c r="X1017" i="34"/>
  <c r="Y1017" i="34" s="1"/>
  <c r="X1018" i="34"/>
  <c r="Y1018" i="34" s="1"/>
  <c r="X1019" i="34"/>
  <c r="X1020" i="34"/>
  <c r="Y1020" i="34" s="1"/>
  <c r="X1021" i="34"/>
  <c r="Y1021" i="34" s="1"/>
  <c r="X1022" i="34"/>
  <c r="Y1022" i="34" s="1"/>
  <c r="X1023" i="34"/>
  <c r="Y1023" i="34" s="1"/>
  <c r="X1024" i="34"/>
  <c r="Y1024" i="34" s="1"/>
  <c r="X1025" i="34"/>
  <c r="Y1025" i="34" s="1"/>
  <c r="X1026" i="34"/>
  <c r="Y1026" i="34" s="1"/>
  <c r="X1027" i="34"/>
  <c r="X1028" i="34"/>
  <c r="Y1028" i="34" s="1"/>
  <c r="X1029" i="34"/>
  <c r="Y1029" i="34" s="1"/>
  <c r="X1030" i="34"/>
  <c r="Y1030" i="34" s="1"/>
  <c r="X1031" i="34"/>
  <c r="Y1031" i="34" s="1"/>
  <c r="X1032" i="34"/>
  <c r="Y1032" i="34" s="1"/>
  <c r="X1033" i="34"/>
  <c r="Y1033" i="34" s="1"/>
  <c r="X1034" i="34"/>
  <c r="Y1034" i="34" s="1"/>
  <c r="X1035" i="34"/>
  <c r="Y1035" i="34" s="1"/>
  <c r="X1036" i="34"/>
  <c r="Y1036" i="34" s="1"/>
  <c r="X1037" i="34"/>
  <c r="Y1037" i="34" s="1"/>
  <c r="X1038" i="34"/>
  <c r="Y1038" i="34" s="1"/>
  <c r="X1039" i="34"/>
  <c r="X1040" i="34"/>
  <c r="Y1040" i="34" s="1"/>
  <c r="X1041" i="34"/>
  <c r="Y1041" i="34" s="1"/>
  <c r="X1042" i="34"/>
  <c r="Y1042" i="34" s="1"/>
  <c r="X1043" i="34"/>
  <c r="Y1043" i="34" s="1"/>
  <c r="X1044" i="34"/>
  <c r="Y1044" i="34" s="1"/>
  <c r="X1045" i="34"/>
  <c r="Y1045" i="34" s="1"/>
  <c r="X1046" i="34"/>
  <c r="X1047" i="34"/>
  <c r="X1048" i="34"/>
  <c r="X1049" i="34"/>
  <c r="Y1049" i="34" s="1"/>
  <c r="X1050" i="34"/>
  <c r="Y1050" i="34" s="1"/>
  <c r="X1051" i="34"/>
  <c r="Y1051" i="34" s="1"/>
  <c r="X1052" i="34"/>
  <c r="Y1052" i="34" s="1"/>
  <c r="X1053" i="34"/>
  <c r="Y1053" i="34" s="1"/>
  <c r="X1054" i="34"/>
  <c r="Y1054" i="34" s="1"/>
  <c r="X1055" i="34"/>
  <c r="Y1055" i="34" s="1"/>
  <c r="X1056" i="34"/>
  <c r="Y1056" i="34" s="1"/>
  <c r="X1057" i="34"/>
  <c r="Y1057" i="34" s="1"/>
  <c r="X1058" i="34"/>
  <c r="Y1058" i="34" s="1"/>
  <c r="X1059" i="34"/>
  <c r="Y1059" i="34" s="1"/>
  <c r="X1060" i="34"/>
  <c r="R92" i="34"/>
  <c r="S92" i="34"/>
  <c r="R91" i="34"/>
  <c r="X64" i="34"/>
  <c r="Y64" i="34" s="1"/>
  <c r="Y46" i="34"/>
  <c r="Y66" i="34"/>
  <c r="X53" i="34"/>
  <c r="Y53" i="34" s="1"/>
  <c r="X54" i="34"/>
  <c r="X55" i="34"/>
  <c r="X56" i="34"/>
  <c r="X57" i="34"/>
  <c r="X58" i="34"/>
  <c r="X59" i="34"/>
  <c r="X60" i="34"/>
  <c r="X61" i="34"/>
  <c r="X62" i="34"/>
  <c r="X63" i="34"/>
  <c r="X65" i="34"/>
  <c r="X66" i="34"/>
  <c r="X67" i="34"/>
  <c r="X68" i="34"/>
  <c r="Y68" i="34" s="1"/>
  <c r="X69" i="34"/>
  <c r="X70" i="34"/>
  <c r="X71" i="34"/>
  <c r="X72" i="34"/>
  <c r="X73" i="34"/>
  <c r="X74" i="34"/>
  <c r="X75" i="34"/>
  <c r="X76" i="34"/>
  <c r="X77" i="34"/>
  <c r="Y77" i="34" s="1"/>
  <c r="X78" i="34"/>
  <c r="X79" i="34"/>
  <c r="X80" i="34"/>
  <c r="X81" i="34"/>
  <c r="X49" i="34"/>
  <c r="X50" i="34"/>
  <c r="X44" i="34"/>
  <c r="X45" i="34"/>
  <c r="Y45" i="34" s="1"/>
  <c r="X46" i="34"/>
  <c r="X47" i="34"/>
  <c r="X48" i="34"/>
  <c r="X42" i="34"/>
  <c r="X41" i="34"/>
  <c r="Y41" i="34" s="1"/>
  <c r="X39" i="34"/>
  <c r="X40" i="34"/>
  <c r="Y40" i="34" s="1"/>
  <c r="X43" i="34"/>
  <c r="Y34" i="34"/>
  <c r="X26" i="34"/>
  <c r="Y26" i="34" s="1"/>
  <c r="X27" i="34"/>
  <c r="X28" i="34"/>
  <c r="Y28" i="34" s="1"/>
  <c r="X29" i="34"/>
  <c r="Y29" i="34" s="1"/>
  <c r="X30" i="34"/>
  <c r="X31" i="34"/>
  <c r="Y31" i="34" s="1"/>
  <c r="X32" i="34"/>
  <c r="X33" i="34"/>
  <c r="Y33" i="34" s="1"/>
  <c r="X34" i="34"/>
  <c r="X35" i="34"/>
  <c r="X36" i="34"/>
  <c r="X37" i="34"/>
  <c r="X38" i="34"/>
  <c r="X22" i="34"/>
  <c r="X25" i="34"/>
  <c r="Y25" i="34" s="1"/>
  <c r="X18" i="34"/>
  <c r="Y18" i="34" s="1"/>
  <c r="X16" i="34"/>
  <c r="X11" i="34"/>
  <c r="Y11" i="34" s="1"/>
  <c r="X9" i="34"/>
  <c r="Y9" i="34" s="1"/>
  <c r="I1057" i="34"/>
  <c r="I1053" i="34"/>
  <c r="I1060" i="34" s="1"/>
  <c r="I1042" i="34"/>
  <c r="I1039" i="34" s="1"/>
  <c r="I1037" i="34" s="1"/>
  <c r="H1042" i="34"/>
  <c r="H1041" i="34"/>
  <c r="H1040" i="34"/>
  <c r="H1039" i="34"/>
  <c r="H1038" i="34"/>
  <c r="H1037" i="34"/>
  <c r="I1036" i="34"/>
  <c r="H1036" i="34"/>
  <c r="H1035" i="34"/>
  <c r="I1034" i="34"/>
  <c r="H1034" i="34"/>
  <c r="I1033" i="34"/>
  <c r="H1033" i="34"/>
  <c r="H1032" i="34"/>
  <c r="I1031" i="34"/>
  <c r="H1031" i="34"/>
  <c r="I1030" i="34"/>
  <c r="H1030" i="34"/>
  <c r="H1029" i="34"/>
  <c r="H1028" i="34"/>
  <c r="H1027" i="34"/>
  <c r="I1026" i="34"/>
  <c r="H1026" i="34"/>
  <c r="H1025" i="34"/>
  <c r="I1024" i="34"/>
  <c r="H1024" i="34"/>
  <c r="I1023" i="34"/>
  <c r="H1023" i="34"/>
  <c r="I1022" i="34"/>
  <c r="H1022" i="34"/>
  <c r="H1021" i="34"/>
  <c r="H1020" i="34"/>
  <c r="H1019" i="34"/>
  <c r="I1018" i="34"/>
  <c r="H1018" i="34"/>
  <c r="H1017" i="34"/>
  <c r="I1016" i="34"/>
  <c r="H1016" i="34"/>
  <c r="H1015" i="34"/>
  <c r="I1014" i="34"/>
  <c r="H1014" i="34"/>
  <c r="I1013" i="34"/>
  <c r="H1013" i="34"/>
  <c r="H1012" i="34"/>
  <c r="H1011" i="34"/>
  <c r="H1010" i="34"/>
  <c r="I1009" i="34"/>
  <c r="H1009" i="34"/>
  <c r="H1008" i="34"/>
  <c r="I1007" i="34"/>
  <c r="H1007" i="34"/>
  <c r="I1006" i="34"/>
  <c r="H1006" i="34"/>
  <c r="I1005" i="34"/>
  <c r="H1005" i="34"/>
  <c r="H1004" i="34"/>
  <c r="H1003" i="34"/>
  <c r="H1002" i="34"/>
  <c r="I1001" i="34"/>
  <c r="H1001" i="34"/>
  <c r="H1000" i="34"/>
  <c r="I999" i="34"/>
  <c r="H999" i="34"/>
  <c r="H998" i="34"/>
  <c r="I997" i="34"/>
  <c r="H997" i="34"/>
  <c r="I996" i="34"/>
  <c r="H996" i="34"/>
  <c r="I995" i="34"/>
  <c r="H995" i="34"/>
  <c r="H994" i="34"/>
  <c r="H993" i="34"/>
  <c r="H992" i="34"/>
  <c r="I991" i="34"/>
  <c r="H991" i="34"/>
  <c r="H990" i="34"/>
  <c r="I989" i="34"/>
  <c r="H989" i="34"/>
  <c r="H988" i="34"/>
  <c r="I987" i="34"/>
  <c r="H987" i="34"/>
  <c r="I986" i="34"/>
  <c r="H986" i="34"/>
  <c r="H985" i="34"/>
  <c r="H984" i="34"/>
  <c r="H983" i="34"/>
  <c r="I982" i="34"/>
  <c r="H982" i="34"/>
  <c r="H981" i="34"/>
  <c r="I980" i="34"/>
  <c r="H980" i="34"/>
  <c r="I979" i="34"/>
  <c r="H979" i="34"/>
  <c r="I978" i="34"/>
  <c r="H978" i="34"/>
  <c r="H977" i="34"/>
  <c r="H976" i="34"/>
  <c r="H975" i="34"/>
  <c r="I974" i="34"/>
  <c r="H974" i="34"/>
  <c r="H973" i="34"/>
  <c r="I972" i="34"/>
  <c r="H972" i="34"/>
  <c r="I971" i="34"/>
  <c r="H971" i="34"/>
  <c r="I970" i="34"/>
  <c r="H970" i="34"/>
  <c r="H969" i="34"/>
  <c r="H968" i="34"/>
  <c r="H967" i="34"/>
  <c r="I966" i="34"/>
  <c r="H966" i="34"/>
  <c r="H965" i="34"/>
  <c r="I964" i="34"/>
  <c r="H964" i="34"/>
  <c r="I963" i="34"/>
  <c r="H963" i="34"/>
  <c r="H962" i="34"/>
  <c r="I961" i="34"/>
  <c r="H961" i="34"/>
  <c r="I960" i="34"/>
  <c r="H960" i="34"/>
  <c r="I959" i="34"/>
  <c r="H959" i="34"/>
  <c r="H958" i="34"/>
  <c r="H957" i="34"/>
  <c r="H956" i="34"/>
  <c r="I955" i="34"/>
  <c r="H955" i="34"/>
  <c r="H954" i="34"/>
  <c r="I953" i="34"/>
  <c r="H953" i="34"/>
  <c r="I952" i="34"/>
  <c r="H952" i="34"/>
  <c r="H951" i="34"/>
  <c r="I950" i="34"/>
  <c r="H950" i="34"/>
  <c r="I949" i="34"/>
  <c r="H949" i="34"/>
  <c r="I948" i="34"/>
  <c r="H948" i="34"/>
  <c r="H947" i="34"/>
  <c r="H946" i="34"/>
  <c r="H945" i="34"/>
  <c r="H944" i="34"/>
  <c r="I943" i="34"/>
  <c r="H943" i="34"/>
  <c r="I942" i="34"/>
  <c r="H942" i="34"/>
  <c r="I941" i="34"/>
  <c r="H941" i="34"/>
  <c r="I940" i="34"/>
  <c r="H940" i="34"/>
  <c r="I939" i="34"/>
  <c r="H939" i="34"/>
  <c r="H938" i="34"/>
  <c r="H937" i="34"/>
  <c r="H936" i="34"/>
  <c r="I935" i="34"/>
  <c r="H935" i="34"/>
  <c r="H934" i="34"/>
  <c r="I933" i="34"/>
  <c r="H933" i="34"/>
  <c r="I932" i="34"/>
  <c r="H932" i="34"/>
  <c r="I931" i="34"/>
  <c r="H931" i="34"/>
  <c r="I930" i="34"/>
  <c r="H930" i="34"/>
  <c r="H929" i="34"/>
  <c r="H928" i="34"/>
  <c r="H927" i="34"/>
  <c r="I926" i="34"/>
  <c r="H926" i="34"/>
  <c r="H925" i="34"/>
  <c r="I924" i="34"/>
  <c r="H924" i="34"/>
  <c r="I923" i="34"/>
  <c r="H923" i="34"/>
  <c r="I922" i="34"/>
  <c r="H922" i="34"/>
  <c r="H921" i="34"/>
  <c r="H920" i="34"/>
  <c r="H919" i="34"/>
  <c r="I917" i="34"/>
  <c r="H917" i="34"/>
  <c r="H916" i="34"/>
  <c r="I915" i="34"/>
  <c r="H915" i="34"/>
  <c r="I914" i="34"/>
  <c r="H914" i="34"/>
  <c r="H913" i="34"/>
  <c r="I912" i="34"/>
  <c r="H912" i="34"/>
  <c r="I911" i="34"/>
  <c r="H911" i="34"/>
  <c r="H910" i="34"/>
  <c r="I909" i="34"/>
  <c r="H909" i="34"/>
  <c r="I908" i="34"/>
  <c r="H908" i="34"/>
  <c r="I907" i="34"/>
  <c r="H907" i="34"/>
  <c r="H906" i="34"/>
  <c r="I905" i="34"/>
  <c r="H905" i="34"/>
  <c r="H904" i="34"/>
  <c r="I903" i="34"/>
  <c r="H903" i="34"/>
  <c r="I902" i="34"/>
  <c r="H902" i="34"/>
  <c r="H901" i="34"/>
  <c r="I900" i="34"/>
  <c r="H900" i="34"/>
  <c r="H899" i="34"/>
  <c r="I898" i="34"/>
  <c r="H898" i="34"/>
  <c r="I897" i="34"/>
  <c r="H897" i="34"/>
  <c r="I896" i="34"/>
  <c r="H896" i="34"/>
  <c r="I895" i="34"/>
  <c r="H895" i="34"/>
  <c r="H894" i="34"/>
  <c r="H893" i="34"/>
  <c r="H892" i="34"/>
  <c r="I891" i="34"/>
  <c r="H891" i="34"/>
  <c r="H890" i="34"/>
  <c r="H889" i="34"/>
  <c r="I888" i="34"/>
  <c r="H888" i="34"/>
  <c r="I887" i="34"/>
  <c r="H887" i="34"/>
  <c r="H886" i="34"/>
  <c r="I885" i="34"/>
  <c r="H885" i="34"/>
  <c r="H884" i="34"/>
  <c r="I883" i="34"/>
  <c r="H883" i="34"/>
  <c r="I882" i="34"/>
  <c r="H882" i="34"/>
  <c r="I881" i="34"/>
  <c r="H881" i="34"/>
  <c r="I880" i="34"/>
  <c r="H880" i="34"/>
  <c r="H879" i="34"/>
  <c r="H878" i="34"/>
  <c r="H877" i="34"/>
  <c r="I876" i="34"/>
  <c r="H876" i="34"/>
  <c r="H875" i="34"/>
  <c r="I874" i="34"/>
  <c r="H874" i="34"/>
  <c r="H873" i="34"/>
  <c r="I872" i="34"/>
  <c r="H872" i="34"/>
  <c r="I871" i="34"/>
  <c r="H871" i="34"/>
  <c r="H870" i="34"/>
  <c r="H869" i="34"/>
  <c r="H868" i="34"/>
  <c r="I867" i="34"/>
  <c r="H867" i="34"/>
  <c r="H866" i="34"/>
  <c r="I865" i="34"/>
  <c r="H865" i="34"/>
  <c r="I864" i="34"/>
  <c r="H864" i="34"/>
  <c r="H863" i="34"/>
  <c r="I862" i="34"/>
  <c r="H862" i="34"/>
  <c r="I861" i="34"/>
  <c r="H861" i="34"/>
  <c r="H860" i="34"/>
  <c r="H859" i="34"/>
  <c r="H858" i="34"/>
  <c r="I857" i="34"/>
  <c r="H857" i="34"/>
  <c r="H856" i="34"/>
  <c r="I855" i="34"/>
  <c r="H855" i="34"/>
  <c r="H854" i="34"/>
  <c r="I853" i="34"/>
  <c r="H853" i="34"/>
  <c r="H852" i="34"/>
  <c r="I851" i="34"/>
  <c r="H851" i="34"/>
  <c r="I850" i="34"/>
  <c r="H850" i="34"/>
  <c r="I849" i="34"/>
  <c r="H849" i="34"/>
  <c r="H848" i="34"/>
  <c r="H847" i="34"/>
  <c r="H846" i="34"/>
  <c r="I845" i="34"/>
  <c r="H845" i="34"/>
  <c r="H844" i="34"/>
  <c r="H843" i="34"/>
  <c r="H842" i="34"/>
  <c r="I841" i="34"/>
  <c r="H841" i="34"/>
  <c r="H840" i="34"/>
  <c r="H839" i="34"/>
  <c r="H838" i="34"/>
  <c r="I837" i="34"/>
  <c r="H837" i="34"/>
  <c r="H836" i="34"/>
  <c r="H835" i="34"/>
  <c r="H834" i="34"/>
  <c r="H833" i="34"/>
  <c r="I832" i="34"/>
  <c r="I829" i="34" s="1"/>
  <c r="H832" i="34"/>
  <c r="H831" i="34"/>
  <c r="H829" i="34"/>
  <c r="I828" i="34"/>
  <c r="H828" i="34"/>
  <c r="H827" i="34"/>
  <c r="H826" i="34"/>
  <c r="I825" i="34"/>
  <c r="H825" i="34"/>
  <c r="I824" i="34"/>
  <c r="H824" i="34"/>
  <c r="H823" i="34"/>
  <c r="I822" i="34"/>
  <c r="H822" i="34"/>
  <c r="I821" i="34"/>
  <c r="H821" i="34"/>
  <c r="H820" i="34"/>
  <c r="H819" i="34"/>
  <c r="H818" i="34"/>
  <c r="I817" i="34"/>
  <c r="H817" i="34"/>
  <c r="H816" i="34"/>
  <c r="H815" i="34"/>
  <c r="H814" i="34"/>
  <c r="I813" i="34"/>
  <c r="H813" i="34"/>
  <c r="I812" i="34"/>
  <c r="H812" i="34"/>
  <c r="I811" i="34"/>
  <c r="H811" i="34"/>
  <c r="H810" i="34"/>
  <c r="H809" i="34"/>
  <c r="H808" i="34"/>
  <c r="I807" i="34"/>
  <c r="I804" i="34" s="1"/>
  <c r="H807" i="34"/>
  <c r="H806" i="34"/>
  <c r="H805" i="34"/>
  <c r="H804" i="34"/>
  <c r="I803" i="34"/>
  <c r="I800" i="34" s="1"/>
  <c r="H803" i="34"/>
  <c r="H802" i="34"/>
  <c r="H800" i="34"/>
  <c r="I799" i="34"/>
  <c r="H799" i="34"/>
  <c r="I798" i="34"/>
  <c r="H798" i="34"/>
  <c r="I797" i="34"/>
  <c r="H797" i="34"/>
  <c r="H796" i="34"/>
  <c r="I795" i="34"/>
  <c r="H795" i="34"/>
  <c r="I794" i="34"/>
  <c r="H794" i="34"/>
  <c r="H793" i="34"/>
  <c r="H792" i="34"/>
  <c r="H791" i="34"/>
  <c r="I790" i="34"/>
  <c r="H790" i="34"/>
  <c r="H789" i="34"/>
  <c r="I788" i="34"/>
  <c r="H788" i="34"/>
  <c r="H787" i="34"/>
  <c r="I786" i="34"/>
  <c r="H786" i="34"/>
  <c r="H785" i="34"/>
  <c r="I784" i="34"/>
  <c r="H784" i="34"/>
  <c r="I783" i="34"/>
  <c r="H783" i="34"/>
  <c r="I782" i="34"/>
  <c r="H782" i="34"/>
  <c r="H781" i="34"/>
  <c r="H780" i="34"/>
  <c r="H779" i="34"/>
  <c r="I778" i="34"/>
  <c r="H778" i="34"/>
  <c r="H777" i="34"/>
  <c r="I776" i="34"/>
  <c r="H776" i="34"/>
  <c r="H775" i="34"/>
  <c r="I774" i="34"/>
  <c r="H774" i="34"/>
  <c r="I773" i="34"/>
  <c r="H773" i="34"/>
  <c r="I772" i="34"/>
  <c r="H772" i="34"/>
  <c r="H771" i="34"/>
  <c r="H770" i="34"/>
  <c r="H769" i="34"/>
  <c r="I768" i="34"/>
  <c r="H768" i="34"/>
  <c r="H767" i="34"/>
  <c r="I766" i="34"/>
  <c r="H766" i="34"/>
  <c r="I765" i="34"/>
  <c r="H765" i="34"/>
  <c r="I764" i="34"/>
  <c r="H764" i="34"/>
  <c r="I763" i="34"/>
  <c r="H763" i="34"/>
  <c r="I762" i="34"/>
  <c r="H762" i="34"/>
  <c r="H761" i="34"/>
  <c r="H760" i="34"/>
  <c r="H759" i="34"/>
  <c r="I758" i="34"/>
  <c r="H758" i="34"/>
  <c r="H757" i="34"/>
  <c r="I756" i="34"/>
  <c r="H756" i="34"/>
  <c r="H755" i="34"/>
  <c r="I754" i="34"/>
  <c r="H754" i="34"/>
  <c r="I753" i="34"/>
  <c r="H753" i="34"/>
  <c r="I752" i="34"/>
  <c r="H752" i="34"/>
  <c r="H751" i="34"/>
  <c r="H750" i="34"/>
  <c r="H749" i="34"/>
  <c r="I748" i="34"/>
  <c r="H748" i="34"/>
  <c r="H747" i="34"/>
  <c r="I746" i="34"/>
  <c r="H746" i="34"/>
  <c r="H745" i="34"/>
  <c r="I744" i="34"/>
  <c r="H744" i="34"/>
  <c r="H743" i="34"/>
  <c r="H742" i="34"/>
  <c r="H741" i="34"/>
  <c r="I740" i="34"/>
  <c r="H740" i="34"/>
  <c r="H739" i="34"/>
  <c r="I738" i="34"/>
  <c r="H738" i="34"/>
  <c r="H737" i="34"/>
  <c r="I736" i="34"/>
  <c r="H736" i="34"/>
  <c r="H735" i="34"/>
  <c r="H734" i="34"/>
  <c r="H733" i="34"/>
  <c r="H732" i="34"/>
  <c r="H731" i="34"/>
  <c r="I730" i="34"/>
  <c r="I727" i="34" s="1"/>
  <c r="H730" i="34"/>
  <c r="H729" i="34"/>
  <c r="H728" i="34"/>
  <c r="H727" i="34"/>
  <c r="I726" i="34"/>
  <c r="H726" i="34"/>
  <c r="I725" i="34"/>
  <c r="H725" i="34"/>
  <c r="I724" i="34"/>
  <c r="H724" i="34"/>
  <c r="H723" i="34"/>
  <c r="H722" i="34"/>
  <c r="H721" i="34"/>
  <c r="I720" i="34"/>
  <c r="H720" i="34"/>
  <c r="H719" i="34"/>
  <c r="I718" i="34"/>
  <c r="H718" i="34"/>
  <c r="H717" i="34"/>
  <c r="I716" i="34"/>
  <c r="H716" i="34"/>
  <c r="I715" i="34"/>
  <c r="H715" i="34"/>
  <c r="I714" i="34"/>
  <c r="H714" i="34"/>
  <c r="H713" i="34"/>
  <c r="H712" i="34"/>
  <c r="H711" i="34"/>
  <c r="I710" i="34"/>
  <c r="H710" i="34"/>
  <c r="H709" i="34"/>
  <c r="I708" i="34"/>
  <c r="H708" i="34"/>
  <c r="I707" i="34"/>
  <c r="H707" i="34"/>
  <c r="I706" i="34"/>
  <c r="H706" i="34"/>
  <c r="I705" i="34"/>
  <c r="H705" i="34"/>
  <c r="I704" i="34"/>
  <c r="H704" i="34"/>
  <c r="H703" i="34"/>
  <c r="H702" i="34"/>
  <c r="H701" i="34"/>
  <c r="I700" i="34"/>
  <c r="H700" i="34"/>
  <c r="I699" i="34"/>
  <c r="H699" i="34"/>
  <c r="H698" i="34"/>
  <c r="I697" i="34"/>
  <c r="H697" i="34"/>
  <c r="I696" i="34"/>
  <c r="H696" i="34"/>
  <c r="H695" i="34"/>
  <c r="I694" i="34"/>
  <c r="H694" i="34"/>
  <c r="I693" i="34"/>
  <c r="H693" i="34"/>
  <c r="H692" i="34"/>
  <c r="I691" i="34"/>
  <c r="H691" i="34"/>
  <c r="I690" i="34"/>
  <c r="H690" i="34"/>
  <c r="I689" i="34"/>
  <c r="H689" i="34"/>
  <c r="I688" i="34"/>
  <c r="H688" i="34"/>
  <c r="I687" i="34"/>
  <c r="H687" i="34"/>
  <c r="I686" i="34"/>
  <c r="H686" i="34"/>
  <c r="H685" i="34"/>
  <c r="H684" i="34"/>
  <c r="H683" i="34"/>
  <c r="I682" i="34"/>
  <c r="H682" i="34"/>
  <c r="I681" i="34"/>
  <c r="H681" i="34"/>
  <c r="H680" i="34"/>
  <c r="I679" i="34"/>
  <c r="H679" i="34"/>
  <c r="H678" i="34"/>
  <c r="I677" i="34"/>
  <c r="H677" i="34"/>
  <c r="I676" i="34"/>
  <c r="H676" i="34"/>
  <c r="H675" i="34"/>
  <c r="I674" i="34"/>
  <c r="H674" i="34"/>
  <c r="I673" i="34"/>
  <c r="H673" i="34"/>
  <c r="I672" i="34"/>
  <c r="H672" i="34"/>
  <c r="I671" i="34"/>
  <c r="H671" i="34"/>
  <c r="I670" i="34"/>
  <c r="H670" i="34"/>
  <c r="I669" i="34"/>
  <c r="H669" i="34"/>
  <c r="H668" i="34"/>
  <c r="H667" i="34"/>
  <c r="H666" i="34"/>
  <c r="I665" i="34"/>
  <c r="H665" i="34"/>
  <c r="I664" i="34"/>
  <c r="H664" i="34"/>
  <c r="I663" i="34"/>
  <c r="H663" i="34"/>
  <c r="H662" i="34"/>
  <c r="H661" i="34"/>
  <c r="H660" i="34"/>
  <c r="I659" i="34"/>
  <c r="H659" i="34"/>
  <c r="I658" i="34"/>
  <c r="H658" i="34"/>
  <c r="I657" i="34"/>
  <c r="H657" i="34"/>
  <c r="H656" i="34"/>
  <c r="H655" i="34"/>
  <c r="H654" i="34"/>
  <c r="I653" i="34"/>
  <c r="H653" i="34"/>
  <c r="I652" i="34"/>
  <c r="H652" i="34"/>
  <c r="I651" i="34"/>
  <c r="H651" i="34"/>
  <c r="I650" i="34"/>
  <c r="H650" i="34"/>
  <c r="H649" i="34"/>
  <c r="H648" i="34"/>
  <c r="H647" i="34"/>
  <c r="I646" i="34"/>
  <c r="H646" i="34"/>
  <c r="I645" i="34"/>
  <c r="H645" i="34"/>
  <c r="I644" i="34"/>
  <c r="H644" i="34"/>
  <c r="H643" i="34"/>
  <c r="H642" i="34"/>
  <c r="H641" i="34"/>
  <c r="I640" i="34"/>
  <c r="H640" i="34"/>
  <c r="H639" i="34"/>
  <c r="H638" i="34"/>
  <c r="I637" i="34"/>
  <c r="H637" i="34"/>
  <c r="I636" i="34"/>
  <c r="H636" i="34"/>
  <c r="I635" i="34"/>
  <c r="H635" i="34"/>
  <c r="I634" i="34"/>
  <c r="H634" i="34"/>
  <c r="H633" i="34"/>
  <c r="H632" i="34"/>
  <c r="H631" i="34"/>
  <c r="I630" i="34"/>
  <c r="H630" i="34"/>
  <c r="I629" i="34"/>
  <c r="H629" i="34"/>
  <c r="I628" i="34"/>
  <c r="H628" i="34"/>
  <c r="H627" i="34"/>
  <c r="H626" i="34"/>
  <c r="H625" i="34"/>
  <c r="I624" i="34"/>
  <c r="H624" i="34"/>
  <c r="I623" i="34"/>
  <c r="H623" i="34"/>
  <c r="I622" i="34"/>
  <c r="H622" i="34"/>
  <c r="H621" i="34"/>
  <c r="H620" i="34"/>
  <c r="H619" i="34"/>
  <c r="I618" i="34"/>
  <c r="H618" i="34"/>
  <c r="I617" i="34"/>
  <c r="H617" i="34"/>
  <c r="I616" i="34"/>
  <c r="H616" i="34"/>
  <c r="H615" i="34"/>
  <c r="H614" i="34"/>
  <c r="H613" i="34"/>
  <c r="I612" i="34"/>
  <c r="H612" i="34"/>
  <c r="I611" i="34"/>
  <c r="H611" i="34"/>
  <c r="I610" i="34"/>
  <c r="H610" i="34"/>
  <c r="H609" i="34"/>
  <c r="H608" i="34"/>
  <c r="H607" i="34"/>
  <c r="I606" i="34"/>
  <c r="H606" i="34"/>
  <c r="I605" i="34"/>
  <c r="H605" i="34"/>
  <c r="I604" i="34"/>
  <c r="H604" i="34"/>
  <c r="H603" i="34"/>
  <c r="H602" i="34"/>
  <c r="H601" i="34"/>
  <c r="I600" i="34"/>
  <c r="H600" i="34"/>
  <c r="I599" i="34"/>
  <c r="H599" i="34"/>
  <c r="H598" i="34"/>
  <c r="H597" i="34"/>
  <c r="H596" i="34"/>
  <c r="H595" i="34"/>
  <c r="H594" i="34"/>
  <c r="I593" i="34"/>
  <c r="H593" i="34"/>
  <c r="H592" i="34"/>
  <c r="H591" i="34"/>
  <c r="H590" i="34"/>
  <c r="I589" i="34"/>
  <c r="H589" i="34"/>
  <c r="H588" i="34"/>
  <c r="I587" i="34"/>
  <c r="H587" i="34"/>
  <c r="I586" i="34"/>
  <c r="H586" i="34"/>
  <c r="I585" i="34"/>
  <c r="H585" i="34"/>
  <c r="H584" i="34"/>
  <c r="H583" i="34"/>
  <c r="H582" i="34"/>
  <c r="I581" i="34"/>
  <c r="H581" i="34"/>
  <c r="H580" i="34"/>
  <c r="I579" i="34"/>
  <c r="H579" i="34"/>
  <c r="I578" i="34"/>
  <c r="H578" i="34"/>
  <c r="I577" i="34"/>
  <c r="H577" i="34"/>
  <c r="H576" i="34"/>
  <c r="H575" i="34"/>
  <c r="H574" i="34"/>
  <c r="I573" i="34"/>
  <c r="H573" i="34"/>
  <c r="I572" i="34"/>
  <c r="H572" i="34"/>
  <c r="H571" i="34"/>
  <c r="I570" i="34"/>
  <c r="H570" i="34"/>
  <c r="I569" i="34"/>
  <c r="H569" i="34"/>
  <c r="I568" i="34"/>
  <c r="H568" i="34"/>
  <c r="H567" i="34"/>
  <c r="H566" i="34"/>
  <c r="H565" i="34"/>
  <c r="I564" i="34"/>
  <c r="H564" i="34"/>
  <c r="H563" i="34"/>
  <c r="I562" i="34"/>
  <c r="H562" i="34"/>
  <c r="I561" i="34"/>
  <c r="H561" i="34"/>
  <c r="H560" i="34"/>
  <c r="H559" i="34"/>
  <c r="H558" i="34"/>
  <c r="I557" i="34"/>
  <c r="H557" i="34"/>
  <c r="H556" i="34"/>
  <c r="I555" i="34"/>
  <c r="H555" i="34"/>
  <c r="I554" i="34"/>
  <c r="H554" i="34"/>
  <c r="H553" i="34"/>
  <c r="I552" i="34"/>
  <c r="H552" i="34"/>
  <c r="I551" i="34"/>
  <c r="H551" i="34"/>
  <c r="I550" i="34"/>
  <c r="H550" i="34"/>
  <c r="H549" i="34"/>
  <c r="H548" i="34"/>
  <c r="H547" i="34"/>
  <c r="I546" i="34"/>
  <c r="H546" i="34"/>
  <c r="I545" i="34"/>
  <c r="H545" i="34"/>
  <c r="I544" i="34"/>
  <c r="H544" i="34"/>
  <c r="H543" i="34"/>
  <c r="H542" i="34"/>
  <c r="H541" i="34"/>
  <c r="I540" i="34"/>
  <c r="H540" i="34"/>
  <c r="H539" i="34"/>
  <c r="I538" i="34"/>
  <c r="H538" i="34"/>
  <c r="I537" i="34"/>
  <c r="H537" i="34"/>
  <c r="H536" i="34"/>
  <c r="I535" i="34"/>
  <c r="H535" i="34"/>
  <c r="I534" i="34"/>
  <c r="H534" i="34"/>
  <c r="H533" i="34"/>
  <c r="H532" i="34"/>
  <c r="H531" i="34"/>
  <c r="I530" i="34"/>
  <c r="H530" i="34"/>
  <c r="H529" i="34"/>
  <c r="I528" i="34"/>
  <c r="H528" i="34"/>
  <c r="I527" i="34"/>
  <c r="H527" i="34"/>
  <c r="H526" i="34"/>
  <c r="H525" i="34"/>
  <c r="H524" i="34"/>
  <c r="I523" i="34"/>
  <c r="H523" i="34"/>
  <c r="H522" i="34"/>
  <c r="I521" i="34"/>
  <c r="H521" i="34"/>
  <c r="H520" i="34"/>
  <c r="I519" i="34"/>
  <c r="H519" i="34"/>
  <c r="I518" i="34"/>
  <c r="H518" i="34"/>
  <c r="I517" i="34"/>
  <c r="H517" i="34"/>
  <c r="I516" i="34"/>
  <c r="H516" i="34"/>
  <c r="I515" i="34"/>
  <c r="H515" i="34"/>
  <c r="H514" i="34"/>
  <c r="H513" i="34"/>
  <c r="H512" i="34"/>
  <c r="H511" i="34"/>
  <c r="I510" i="34"/>
  <c r="H510" i="34"/>
  <c r="H509" i="34"/>
  <c r="I508" i="34"/>
  <c r="H508" i="34"/>
  <c r="I507" i="34"/>
  <c r="H507" i="34"/>
  <c r="H506" i="34"/>
  <c r="I505" i="34"/>
  <c r="H505" i="34"/>
  <c r="I504" i="34"/>
  <c r="H504" i="34"/>
  <c r="I503" i="34"/>
  <c r="H503" i="34"/>
  <c r="I502" i="34"/>
  <c r="H502" i="34"/>
  <c r="H501" i="34"/>
  <c r="H500" i="34"/>
  <c r="H499" i="34"/>
  <c r="H498" i="34"/>
  <c r="I497" i="34"/>
  <c r="H497" i="34"/>
  <c r="H496" i="34"/>
  <c r="I495" i="34"/>
  <c r="H495" i="34"/>
  <c r="I494" i="34"/>
  <c r="H494" i="34"/>
  <c r="H493" i="34"/>
  <c r="H492" i="34"/>
  <c r="H491" i="34"/>
  <c r="I490" i="34"/>
  <c r="H490" i="34"/>
  <c r="H489" i="34"/>
  <c r="I488" i="34"/>
  <c r="H488" i="34"/>
  <c r="H487" i="34"/>
  <c r="I486" i="34"/>
  <c r="H486" i="34"/>
  <c r="I485" i="34"/>
  <c r="H485" i="34"/>
  <c r="I484" i="34"/>
  <c r="H484" i="34"/>
  <c r="I483" i="34"/>
  <c r="H483" i="34"/>
  <c r="H482" i="34"/>
  <c r="H481" i="34"/>
  <c r="H480" i="34"/>
  <c r="H479" i="34"/>
  <c r="I478" i="34"/>
  <c r="H478" i="34"/>
  <c r="H477" i="34"/>
  <c r="I476" i="34"/>
  <c r="H476" i="34"/>
  <c r="I475" i="34"/>
  <c r="H475" i="34"/>
  <c r="I474" i="34"/>
  <c r="H474" i="34"/>
  <c r="I473" i="34"/>
  <c r="H473" i="34"/>
  <c r="H472" i="34"/>
  <c r="H471" i="34"/>
  <c r="H470" i="34"/>
  <c r="I469" i="34"/>
  <c r="H469" i="34"/>
  <c r="H468" i="34"/>
  <c r="I467" i="34"/>
  <c r="H467" i="34"/>
  <c r="I466" i="34"/>
  <c r="H466" i="34"/>
  <c r="I465" i="34"/>
  <c r="H465" i="34"/>
  <c r="H464" i="34"/>
  <c r="I463" i="34"/>
  <c r="H463" i="34"/>
  <c r="I462" i="34"/>
  <c r="H462" i="34"/>
  <c r="I461" i="34"/>
  <c r="H461" i="34"/>
  <c r="I460" i="34"/>
  <c r="H460" i="34"/>
  <c r="H459" i="34"/>
  <c r="H458" i="34"/>
  <c r="H457" i="34"/>
  <c r="I456" i="34"/>
  <c r="H456" i="34"/>
  <c r="I455" i="34"/>
  <c r="H455" i="34"/>
  <c r="H454" i="34"/>
  <c r="I453" i="34"/>
  <c r="H453" i="34"/>
  <c r="I452" i="34"/>
  <c r="H452" i="34"/>
  <c r="I451" i="34"/>
  <c r="H451" i="34"/>
  <c r="I450" i="34"/>
  <c r="H450" i="34"/>
  <c r="H449" i="34"/>
  <c r="H448" i="34"/>
  <c r="H447" i="34"/>
  <c r="I446" i="34"/>
  <c r="H446" i="34"/>
  <c r="I445" i="34"/>
  <c r="H445" i="34"/>
  <c r="I444" i="34"/>
  <c r="H444" i="34"/>
  <c r="H443" i="34"/>
  <c r="H442" i="34"/>
  <c r="H441" i="34"/>
  <c r="I440" i="34"/>
  <c r="H440" i="34"/>
  <c r="H439" i="34"/>
  <c r="I438" i="34"/>
  <c r="H438" i="34"/>
  <c r="I437" i="34"/>
  <c r="H437" i="34"/>
  <c r="I436" i="34"/>
  <c r="H436" i="34"/>
  <c r="H435" i="34"/>
  <c r="I434" i="34"/>
  <c r="H434" i="34"/>
  <c r="I433" i="34"/>
  <c r="H433" i="34"/>
  <c r="I432" i="34"/>
  <c r="H432" i="34"/>
  <c r="H431" i="34"/>
  <c r="H430" i="34"/>
  <c r="H429" i="34"/>
  <c r="I428" i="34"/>
  <c r="H428" i="34"/>
  <c r="H427" i="34"/>
  <c r="I426" i="34"/>
  <c r="H426" i="34"/>
  <c r="I425" i="34"/>
  <c r="H425" i="34"/>
  <c r="I424" i="34"/>
  <c r="H424" i="34"/>
  <c r="H423" i="34"/>
  <c r="I422" i="34"/>
  <c r="H422" i="34"/>
  <c r="H421" i="34"/>
  <c r="I420" i="34"/>
  <c r="H420" i="34"/>
  <c r="H419" i="34"/>
  <c r="I418" i="34"/>
  <c r="H418" i="34"/>
  <c r="I417" i="34"/>
  <c r="H417" i="34"/>
  <c r="I416" i="34"/>
  <c r="H416" i="34"/>
  <c r="H415" i="34"/>
  <c r="H414" i="34"/>
  <c r="H413" i="34"/>
  <c r="H412" i="34"/>
  <c r="I411" i="34"/>
  <c r="H411" i="34"/>
  <c r="H410" i="34"/>
  <c r="I409" i="34"/>
  <c r="H409" i="34"/>
  <c r="I408" i="34"/>
  <c r="H408" i="34"/>
  <c r="H407" i="34"/>
  <c r="I406" i="34"/>
  <c r="H406" i="34"/>
  <c r="I405" i="34"/>
  <c r="H405" i="34"/>
  <c r="I404" i="34"/>
  <c r="H404" i="34"/>
  <c r="H403" i="34"/>
  <c r="H402" i="34"/>
  <c r="H401" i="34"/>
  <c r="I400" i="34"/>
  <c r="H400" i="34"/>
  <c r="H399" i="34"/>
  <c r="I398" i="34"/>
  <c r="H398" i="34"/>
  <c r="H397" i="34"/>
  <c r="I396" i="34"/>
  <c r="H396" i="34"/>
  <c r="H395" i="34"/>
  <c r="I394" i="34"/>
  <c r="H394" i="34"/>
  <c r="I393" i="34"/>
  <c r="H393" i="34"/>
  <c r="I392" i="34"/>
  <c r="H392" i="34"/>
  <c r="H391" i="34"/>
  <c r="H390" i="34"/>
  <c r="H389" i="34"/>
  <c r="I388" i="34"/>
  <c r="H388" i="34"/>
  <c r="H387" i="34"/>
  <c r="I386" i="34"/>
  <c r="H386" i="34"/>
  <c r="I385" i="34"/>
  <c r="H385" i="34"/>
  <c r="I384" i="34"/>
  <c r="H384" i="34"/>
  <c r="I383" i="34"/>
  <c r="H383" i="34"/>
  <c r="H382" i="34"/>
  <c r="H381" i="34"/>
  <c r="H380" i="34"/>
  <c r="H379" i="34"/>
  <c r="I378" i="34"/>
  <c r="H378" i="34"/>
  <c r="H377" i="34"/>
  <c r="I376" i="34"/>
  <c r="H376" i="34"/>
  <c r="I375" i="34"/>
  <c r="H375" i="34"/>
  <c r="H374" i="34"/>
  <c r="H373" i="34"/>
  <c r="H372" i="34"/>
  <c r="I371" i="34"/>
  <c r="H371" i="34"/>
  <c r="H370" i="34"/>
  <c r="I369" i="34"/>
  <c r="H369" i="34"/>
  <c r="I368" i="34"/>
  <c r="H368" i="34"/>
  <c r="H367" i="34"/>
  <c r="H366" i="34"/>
  <c r="H365" i="34"/>
  <c r="I364" i="34"/>
  <c r="H364" i="34"/>
  <c r="I363" i="34"/>
  <c r="H363" i="34"/>
  <c r="H362" i="34"/>
  <c r="I361" i="34"/>
  <c r="H361" i="34"/>
  <c r="I360" i="34"/>
  <c r="H360" i="34"/>
  <c r="I359" i="34"/>
  <c r="H359" i="34"/>
  <c r="I358" i="34"/>
  <c r="H358" i="34"/>
  <c r="I357" i="34"/>
  <c r="H357" i="34"/>
  <c r="H356" i="34"/>
  <c r="H355" i="34"/>
  <c r="H354" i="34"/>
  <c r="I353" i="34"/>
  <c r="H353" i="34"/>
  <c r="H352" i="34"/>
  <c r="I351" i="34"/>
  <c r="H351" i="34"/>
  <c r="H350" i="34"/>
  <c r="H349" i="34"/>
  <c r="I348" i="34"/>
  <c r="H348" i="34"/>
  <c r="H347" i="34"/>
  <c r="I346" i="34"/>
  <c r="H346" i="34"/>
  <c r="H345" i="34"/>
  <c r="I344" i="34"/>
  <c r="H344" i="34"/>
  <c r="I343" i="34"/>
  <c r="H343" i="34"/>
  <c r="H342" i="34"/>
  <c r="H341" i="34"/>
  <c r="H340" i="34"/>
  <c r="I339" i="34"/>
  <c r="H339" i="34"/>
  <c r="I338" i="34"/>
  <c r="H338" i="34"/>
  <c r="H337" i="34"/>
  <c r="H336" i="34"/>
  <c r="H335" i="34"/>
  <c r="I334" i="34"/>
  <c r="H334" i="34"/>
  <c r="I333" i="34"/>
  <c r="H333" i="34"/>
  <c r="I332" i="34"/>
  <c r="H332" i="34"/>
  <c r="H331" i="34"/>
  <c r="H330" i="34"/>
  <c r="H329" i="34"/>
  <c r="I328" i="34"/>
  <c r="H328" i="34"/>
  <c r="I327" i="34"/>
  <c r="H327" i="34"/>
  <c r="I326" i="34"/>
  <c r="H326" i="34"/>
  <c r="H325" i="34"/>
  <c r="H324" i="34"/>
  <c r="H323" i="34"/>
  <c r="I322" i="34"/>
  <c r="H322" i="34"/>
  <c r="I321" i="34"/>
  <c r="H321" i="34"/>
  <c r="I320" i="34"/>
  <c r="H320" i="34"/>
  <c r="H319" i="34"/>
  <c r="H318" i="34"/>
  <c r="H317" i="34"/>
  <c r="I316" i="34"/>
  <c r="H316" i="34"/>
  <c r="I315" i="34"/>
  <c r="H315" i="34"/>
  <c r="H314" i="34"/>
  <c r="H313" i="34"/>
  <c r="H312" i="34"/>
  <c r="I311" i="34"/>
  <c r="H311" i="34"/>
  <c r="H310" i="34"/>
  <c r="I309" i="34"/>
  <c r="H309" i="34"/>
  <c r="I308" i="34"/>
  <c r="H308" i="34"/>
  <c r="I307" i="34"/>
  <c r="H307" i="34"/>
  <c r="I306" i="34"/>
  <c r="H306" i="34"/>
  <c r="H305" i="34"/>
  <c r="H304" i="34"/>
  <c r="H303" i="34"/>
  <c r="I302" i="34"/>
  <c r="H302" i="34"/>
  <c r="H301" i="34"/>
  <c r="I300" i="34"/>
  <c r="H300" i="34"/>
  <c r="I299" i="34"/>
  <c r="H299" i="34"/>
  <c r="I298" i="34"/>
  <c r="H298" i="34"/>
  <c r="H297" i="34"/>
  <c r="H296" i="34"/>
  <c r="H295" i="34"/>
  <c r="I294" i="34"/>
  <c r="H294" i="34"/>
  <c r="I293" i="34"/>
  <c r="H293" i="34"/>
  <c r="I292" i="34"/>
  <c r="H292" i="34"/>
  <c r="H291" i="34"/>
  <c r="I290" i="34"/>
  <c r="H290" i="34"/>
  <c r="I289" i="34"/>
  <c r="H289" i="34"/>
  <c r="I288" i="34"/>
  <c r="H288" i="34"/>
  <c r="I287" i="34"/>
  <c r="H287" i="34"/>
  <c r="I286" i="34"/>
  <c r="H286" i="34"/>
  <c r="I285" i="34"/>
  <c r="H285" i="34"/>
  <c r="I284" i="34"/>
  <c r="H284" i="34"/>
  <c r="I283" i="34"/>
  <c r="H283" i="34"/>
  <c r="I282" i="34"/>
  <c r="H282" i="34"/>
  <c r="I281" i="34"/>
  <c r="H281" i="34"/>
  <c r="H280" i="34"/>
  <c r="H279" i="34"/>
  <c r="H278" i="34"/>
  <c r="H277" i="34"/>
  <c r="H276" i="34"/>
  <c r="H275" i="34"/>
  <c r="H274" i="34"/>
  <c r="H273" i="34"/>
  <c r="H272" i="34"/>
  <c r="H271" i="34"/>
  <c r="H270" i="34"/>
  <c r="H269" i="34"/>
  <c r="H268" i="34"/>
  <c r="H267" i="34"/>
  <c r="H266" i="34"/>
  <c r="H265" i="34"/>
  <c r="H264" i="34"/>
  <c r="H263" i="34"/>
  <c r="H262" i="34"/>
  <c r="H261" i="34"/>
  <c r="H260" i="34"/>
  <c r="H259" i="34"/>
  <c r="H258" i="34"/>
  <c r="H257" i="34"/>
  <c r="H256" i="34"/>
  <c r="H255" i="34"/>
  <c r="H254" i="34"/>
  <c r="H253" i="34"/>
  <c r="H252" i="34"/>
  <c r="H251" i="34"/>
  <c r="H250" i="34"/>
  <c r="H249" i="34"/>
  <c r="H248" i="34"/>
  <c r="H247" i="34"/>
  <c r="H246" i="34"/>
  <c r="H245" i="34"/>
  <c r="H244" i="34"/>
  <c r="H243" i="34"/>
  <c r="H242" i="34"/>
  <c r="H241" i="34"/>
  <c r="H240" i="34"/>
  <c r="H239" i="34"/>
  <c r="H238" i="34"/>
  <c r="H237" i="34"/>
  <c r="H236" i="34"/>
  <c r="H235" i="34"/>
  <c r="H234" i="34"/>
  <c r="H233" i="34"/>
  <c r="H232" i="34"/>
  <c r="H231" i="34"/>
  <c r="H230" i="34"/>
  <c r="H229" i="34"/>
  <c r="H228" i="34"/>
  <c r="H227" i="34"/>
  <c r="H226" i="34"/>
  <c r="H225" i="34"/>
  <c r="H224" i="34"/>
  <c r="H223" i="34"/>
  <c r="H222" i="34"/>
  <c r="H221" i="34"/>
  <c r="H220" i="34"/>
  <c r="H219" i="34"/>
  <c r="H218" i="34"/>
  <c r="H217" i="34"/>
  <c r="H216" i="34"/>
  <c r="H215" i="34"/>
  <c r="H214" i="34"/>
  <c r="H213" i="34"/>
  <c r="H212" i="34"/>
  <c r="H211" i="34"/>
  <c r="H210" i="34"/>
  <c r="H209" i="34"/>
  <c r="H208" i="34"/>
  <c r="H207" i="34"/>
  <c r="H206" i="34"/>
  <c r="H205" i="34"/>
  <c r="H204" i="34"/>
  <c r="H203" i="34"/>
  <c r="H202" i="34"/>
  <c r="H201" i="34"/>
  <c r="H200" i="34"/>
  <c r="H199" i="34"/>
  <c r="H198" i="34"/>
  <c r="H197" i="34"/>
  <c r="H196" i="34"/>
  <c r="H195" i="34"/>
  <c r="H194" i="34"/>
  <c r="H193" i="34"/>
  <c r="H192" i="34"/>
  <c r="H191" i="34"/>
  <c r="H190" i="34"/>
  <c r="H189" i="34"/>
  <c r="H188" i="34"/>
  <c r="H187" i="34"/>
  <c r="H186" i="34"/>
  <c r="H185" i="34"/>
  <c r="H184" i="34"/>
  <c r="H183" i="34"/>
  <c r="H182" i="34"/>
  <c r="H181" i="34"/>
  <c r="H180" i="34"/>
  <c r="H179" i="34"/>
  <c r="H178" i="34"/>
  <c r="H177" i="34"/>
  <c r="H176" i="34"/>
  <c r="H175" i="34"/>
  <c r="H174" i="34"/>
  <c r="H173" i="34"/>
  <c r="H172" i="34"/>
  <c r="H171" i="34"/>
  <c r="H170" i="34"/>
  <c r="H169" i="34"/>
  <c r="H163" i="34"/>
  <c r="H162" i="34"/>
  <c r="H161" i="34"/>
  <c r="H160" i="34"/>
  <c r="H159" i="34"/>
  <c r="H158" i="34"/>
  <c r="H157" i="34"/>
  <c r="H156" i="34"/>
  <c r="H155" i="34"/>
  <c r="H154" i="34"/>
  <c r="H153" i="34"/>
  <c r="H152" i="34"/>
  <c r="H151" i="34"/>
  <c r="H150" i="34"/>
  <c r="H149" i="34"/>
  <c r="H148" i="34"/>
  <c r="H147" i="34"/>
  <c r="H146" i="34"/>
  <c r="H145" i="34"/>
  <c r="H144" i="34"/>
  <c r="H143" i="34"/>
  <c r="H142" i="34"/>
  <c r="H141" i="34"/>
  <c r="H140" i="34"/>
  <c r="H139" i="34"/>
  <c r="H138" i="34"/>
  <c r="H137" i="34"/>
  <c r="H136" i="34"/>
  <c r="H135" i="34"/>
  <c r="H134" i="34"/>
  <c r="H133" i="34"/>
  <c r="H132" i="34"/>
  <c r="H131" i="34"/>
  <c r="H130" i="34"/>
  <c r="H129" i="34"/>
  <c r="H128" i="34"/>
  <c r="H127" i="34"/>
  <c r="H126" i="34"/>
  <c r="H125" i="34"/>
  <c r="H124" i="34"/>
  <c r="H123" i="34"/>
  <c r="H122" i="34"/>
  <c r="H121" i="34"/>
  <c r="H120" i="34"/>
  <c r="H119" i="34"/>
  <c r="H118" i="34"/>
  <c r="H117" i="34"/>
  <c r="H116" i="34"/>
  <c r="H115" i="34"/>
  <c r="H114" i="34"/>
  <c r="H113" i="34"/>
  <c r="H112" i="34"/>
  <c r="H111" i="34"/>
  <c r="H110" i="34"/>
  <c r="H109" i="34"/>
  <c r="H108" i="34"/>
  <c r="H107" i="34"/>
  <c r="H106" i="34"/>
  <c r="H105" i="34"/>
  <c r="H104" i="34"/>
  <c r="H103" i="34"/>
  <c r="H102" i="34"/>
  <c r="H101" i="34"/>
  <c r="H100" i="34"/>
  <c r="H99" i="34"/>
  <c r="H98" i="34"/>
  <c r="H97" i="34"/>
  <c r="H96" i="34"/>
  <c r="H95" i="34"/>
  <c r="H94" i="34"/>
  <c r="H93" i="34"/>
  <c r="H92" i="34"/>
  <c r="H91" i="34"/>
  <c r="H90" i="34"/>
  <c r="H89" i="34"/>
  <c r="H88" i="34"/>
  <c r="H87" i="34"/>
  <c r="H86" i="34"/>
  <c r="H85" i="34"/>
  <c r="H84" i="34"/>
  <c r="H83" i="34"/>
  <c r="H82" i="34"/>
  <c r="H81" i="34"/>
  <c r="H80" i="34"/>
  <c r="H79" i="34"/>
  <c r="H78" i="34"/>
  <c r="H77" i="34"/>
  <c r="H76" i="34"/>
  <c r="H75" i="34"/>
  <c r="H74" i="34"/>
  <c r="H73" i="34"/>
  <c r="H72" i="34"/>
  <c r="H71" i="34"/>
  <c r="H70" i="34"/>
  <c r="H69" i="34"/>
  <c r="H68" i="34"/>
  <c r="H67" i="34"/>
  <c r="H66" i="34"/>
  <c r="H65" i="34"/>
  <c r="H64" i="34"/>
  <c r="H63" i="34"/>
  <c r="H62" i="34"/>
  <c r="H61" i="34"/>
  <c r="H60" i="34"/>
  <c r="H59" i="34"/>
  <c r="H58" i="34"/>
  <c r="H57" i="34"/>
  <c r="H56" i="34"/>
  <c r="H55" i="34"/>
  <c r="H54" i="34"/>
  <c r="H53" i="34"/>
  <c r="H52" i="34"/>
  <c r="H51" i="34"/>
  <c r="H50" i="34"/>
  <c r="H49" i="34"/>
  <c r="H48" i="34"/>
  <c r="H47" i="34"/>
  <c r="H46" i="34"/>
  <c r="H45" i="34"/>
  <c r="H44" i="34"/>
  <c r="H43" i="34"/>
  <c r="H42" i="34"/>
  <c r="H41" i="34"/>
  <c r="H40" i="34"/>
  <c r="H39" i="34"/>
  <c r="H38" i="34"/>
  <c r="H37" i="34"/>
  <c r="H36" i="34"/>
  <c r="H35" i="34"/>
  <c r="H34" i="34"/>
  <c r="H33" i="34"/>
  <c r="H32" i="34"/>
  <c r="H31" i="34"/>
  <c r="H30" i="34"/>
  <c r="I25" i="34"/>
  <c r="I22" i="34"/>
  <c r="I20" i="34"/>
  <c r="I18" i="34"/>
  <c r="I16" i="34"/>
  <c r="I14" i="34"/>
  <c r="I11" i="34"/>
  <c r="I9" i="34"/>
  <c r="Y41" i="35" l="1"/>
  <c r="Y45" i="35"/>
  <c r="Y53" i="35"/>
  <c r="Y62" i="35"/>
  <c r="Y66" i="35"/>
  <c r="Y75" i="35"/>
  <c r="Y79" i="35"/>
  <c r="Y86" i="35"/>
  <c r="Y96" i="35"/>
  <c r="I134" i="35"/>
  <c r="L138" i="35"/>
  <c r="X138" i="35" s="1"/>
  <c r="Y138" i="35" s="1"/>
  <c r="L142" i="35"/>
  <c r="X142" i="35" s="1"/>
  <c r="Y142" i="35" s="1"/>
  <c r="I139" i="35"/>
  <c r="I158" i="35"/>
  <c r="Y158" i="35" s="1"/>
  <c r="I186" i="35"/>
  <c r="Y186" i="35" s="1"/>
  <c r="I284" i="35"/>
  <c r="Y284" i="35" s="1"/>
  <c r="Y360" i="35"/>
  <c r="I33" i="35"/>
  <c r="Y44" i="35"/>
  <c r="Y50" i="35"/>
  <c r="Y56" i="35"/>
  <c r="Y61" i="35"/>
  <c r="Y65" i="35"/>
  <c r="Y69" i="35"/>
  <c r="Y78" i="35"/>
  <c r="Y82" i="35"/>
  <c r="Y85" i="35"/>
  <c r="Y93" i="35"/>
  <c r="I97" i="35"/>
  <c r="I104" i="35"/>
  <c r="Y104" i="35" s="1"/>
  <c r="Y120" i="35"/>
  <c r="L155" i="35"/>
  <c r="X155" i="35" s="1"/>
  <c r="Y155" i="35" s="1"/>
  <c r="I152" i="35"/>
  <c r="Y152" i="35" s="1"/>
  <c r="Y245" i="35"/>
  <c r="Y318" i="35"/>
  <c r="I88" i="35"/>
  <c r="I36" i="35" s="1"/>
  <c r="M92" i="35"/>
  <c r="X92" i="35" s="1"/>
  <c r="Y92" i="35" s="1"/>
  <c r="Y139" i="35"/>
  <c r="Y933" i="35"/>
  <c r="Y571" i="35"/>
  <c r="Y580" i="35"/>
  <c r="Y588" i="35"/>
  <c r="Y883" i="35"/>
  <c r="Y1011" i="35"/>
  <c r="Y1019" i="35"/>
  <c r="Y1022" i="35"/>
  <c r="Y87" i="35"/>
  <c r="Y97" i="35"/>
  <c r="Y100" i="35"/>
  <c r="Y109" i="35"/>
  <c r="Y114" i="35"/>
  <c r="Y125" i="35"/>
  <c r="Y128" i="35"/>
  <c r="I129" i="35"/>
  <c r="L132" i="35"/>
  <c r="X132" i="35" s="1"/>
  <c r="Y132" i="35" s="1"/>
  <c r="Y161" i="35"/>
  <c r="Y165" i="35"/>
  <c r="Y169" i="35"/>
  <c r="I170" i="35"/>
  <c r="Y174" i="35"/>
  <c r="Y179" i="35"/>
  <c r="Y184" i="35"/>
  <c r="Y189" i="35"/>
  <c r="Y197" i="35"/>
  <c r="Y203" i="35"/>
  <c r="Y206" i="35"/>
  <c r="I207" i="35"/>
  <c r="Y211" i="35"/>
  <c r="Y214" i="35"/>
  <c r="Y219" i="35"/>
  <c r="Y222" i="35"/>
  <c r="Y225" i="35"/>
  <c r="Y238" i="35"/>
  <c r="Y244" i="35"/>
  <c r="Y252" i="35"/>
  <c r="Y260" i="35"/>
  <c r="Y266" i="35"/>
  <c r="Y274" i="35"/>
  <c r="Y278" i="35"/>
  <c r="Y281" i="35"/>
  <c r="Y288" i="35"/>
  <c r="Y292" i="35"/>
  <c r="Y296" i="35"/>
  <c r="Y299" i="35"/>
  <c r="Y304" i="35"/>
  <c r="Y312" i="35"/>
  <c r="Y321" i="35"/>
  <c r="Y327" i="35"/>
  <c r="Y333" i="35"/>
  <c r="Y339" i="35"/>
  <c r="Y345" i="35"/>
  <c r="I346" i="35"/>
  <c r="Y350" i="35"/>
  <c r="Y363" i="35"/>
  <c r="Y367" i="35"/>
  <c r="Y370" i="35"/>
  <c r="Y375" i="35"/>
  <c r="Y378" i="35"/>
  <c r="Y391" i="35"/>
  <c r="Y394" i="35"/>
  <c r="Y400" i="35"/>
  <c r="Y410" i="35"/>
  <c r="Y430" i="35"/>
  <c r="Y439" i="35"/>
  <c r="Y442" i="35"/>
  <c r="Y451" i="35"/>
  <c r="Y457" i="35"/>
  <c r="I463" i="35"/>
  <c r="Y463" i="35" s="1"/>
  <c r="Y469" i="35"/>
  <c r="Y472" i="35"/>
  <c r="Y475" i="35"/>
  <c r="Y480" i="35"/>
  <c r="Y491" i="35"/>
  <c r="Y494" i="35"/>
  <c r="I504" i="35"/>
  <c r="Y504" i="35" s="1"/>
  <c r="Y509" i="35"/>
  <c r="Y524" i="35"/>
  <c r="Y527" i="35"/>
  <c r="I530" i="35"/>
  <c r="Y530" i="35" s="1"/>
  <c r="Y540" i="35"/>
  <c r="Y543" i="35"/>
  <c r="Y546" i="35"/>
  <c r="Y551" i="35"/>
  <c r="Y556" i="35"/>
  <c r="Y567" i="35"/>
  <c r="Y570" i="35"/>
  <c r="Y576" i="35"/>
  <c r="Y579" i="35"/>
  <c r="Y585" i="35"/>
  <c r="Y593" i="35"/>
  <c r="I596" i="35"/>
  <c r="Y596" i="35" s="1"/>
  <c r="Y601" i="35"/>
  <c r="Y606" i="35"/>
  <c r="Y611" i="35"/>
  <c r="Y616" i="35"/>
  <c r="Y619" i="35"/>
  <c r="I619" i="35"/>
  <c r="Y630" i="35"/>
  <c r="Y635" i="35"/>
  <c r="Y640" i="35"/>
  <c r="Y646" i="35"/>
  <c r="I647" i="35"/>
  <c r="Y651" i="35"/>
  <c r="Y656" i="35"/>
  <c r="Y660" i="35"/>
  <c r="Y666" i="35"/>
  <c r="Y672" i="35"/>
  <c r="Y678" i="35"/>
  <c r="Y687" i="35"/>
  <c r="Y692" i="35"/>
  <c r="Y696" i="35"/>
  <c r="Y699" i="35"/>
  <c r="Y702" i="35"/>
  <c r="Y705" i="35"/>
  <c r="Y710" i="35"/>
  <c r="Y714" i="35"/>
  <c r="Y722" i="35"/>
  <c r="I727" i="35"/>
  <c r="Y727" i="35" s="1"/>
  <c r="Y742" i="35"/>
  <c r="Y750" i="35"/>
  <c r="Y775" i="35"/>
  <c r="Y788" i="35"/>
  <c r="Y794" i="35"/>
  <c r="Y810" i="35"/>
  <c r="Y824" i="35"/>
  <c r="Y834" i="35"/>
  <c r="Y839" i="35"/>
  <c r="Y855" i="35"/>
  <c r="Y882" i="35"/>
  <c r="Y888" i="35"/>
  <c r="Y891" i="35"/>
  <c r="Y904" i="35"/>
  <c r="Y928" i="35"/>
  <c r="Y936" i="35"/>
  <c r="Y948" i="35"/>
  <c r="Y956" i="35"/>
  <c r="Y959" i="35"/>
  <c r="Y962" i="35"/>
  <c r="Y1002" i="35"/>
  <c r="Y1008" i="35"/>
  <c r="I385" i="35"/>
  <c r="Y385" i="35" s="1"/>
  <c r="I407" i="35"/>
  <c r="Y407" i="35" s="1"/>
  <c r="I485" i="35"/>
  <c r="Y485" i="35" s="1"/>
  <c r="Y537" i="35"/>
  <c r="I588" i="35"/>
  <c r="Y613" i="35"/>
  <c r="I613" i="35"/>
  <c r="I637" i="35"/>
  <c r="Y637" i="35" s="1"/>
  <c r="Y643" i="35"/>
  <c r="Y653" i="35"/>
  <c r="I717" i="35"/>
  <c r="Y717" i="35" s="1"/>
  <c r="Y739" i="35"/>
  <c r="Y747" i="35"/>
  <c r="I755" i="35"/>
  <c r="Y755" i="35" s="1"/>
  <c r="Y831" i="35"/>
  <c r="I942" i="35"/>
  <c r="Y942" i="35" s="1"/>
  <c r="I951" i="35"/>
  <c r="Y102" i="35"/>
  <c r="Y107" i="35"/>
  <c r="I110" i="35"/>
  <c r="Y110" i="35" s="1"/>
  <c r="Y116" i="35"/>
  <c r="Y123" i="35"/>
  <c r="Y129" i="35"/>
  <c r="Y134" i="35"/>
  <c r="I143" i="35"/>
  <c r="Y143" i="35" s="1"/>
  <c r="L146" i="35"/>
  <c r="X146" i="35" s="1"/>
  <c r="Y146" i="35" s="1"/>
  <c r="Y147" i="35"/>
  <c r="Y163" i="35"/>
  <c r="Y167" i="35"/>
  <c r="Y170" i="35"/>
  <c r="Y175" i="35"/>
  <c r="Y180" i="35"/>
  <c r="I180" i="35"/>
  <c r="Y191" i="35"/>
  <c r="Y199" i="35"/>
  <c r="Y207" i="35"/>
  <c r="Y215" i="35"/>
  <c r="Y229" i="35"/>
  <c r="Y232" i="35"/>
  <c r="I235" i="35"/>
  <c r="Y235" i="35" s="1"/>
  <c r="Y240" i="35"/>
  <c r="Y248" i="35"/>
  <c r="Y251" i="35"/>
  <c r="Y256" i="35"/>
  <c r="Y262" i="35"/>
  <c r="Y270" i="35"/>
  <c r="Y276" i="35"/>
  <c r="Y290" i="35"/>
  <c r="Y294" i="35"/>
  <c r="I301" i="35"/>
  <c r="Y301" i="35" s="1"/>
  <c r="Y306" i="35"/>
  <c r="Y314" i="35"/>
  <c r="Y317" i="35"/>
  <c r="Y323" i="35"/>
  <c r="Y329" i="35"/>
  <c r="Y335" i="35"/>
  <c r="Y341" i="35"/>
  <c r="Y346" i="35"/>
  <c r="Y354" i="35"/>
  <c r="Y359" i="35"/>
  <c r="Y371" i="35"/>
  <c r="Y382" i="35"/>
  <c r="Y389" i="35"/>
  <c r="Y398" i="35"/>
  <c r="Y404" i="35"/>
  <c r="Y412" i="35"/>
  <c r="Y418" i="35"/>
  <c r="Y435" i="35"/>
  <c r="Y447" i="35"/>
  <c r="Y453" i="35"/>
  <c r="Y459" i="35"/>
  <c r="Y462" i="35"/>
  <c r="Y467" i="35"/>
  <c r="Y476" i="35"/>
  <c r="Y482" i="35"/>
  <c r="Y500" i="35"/>
  <c r="Y503" i="35"/>
  <c r="Y511" i="35"/>
  <c r="Y514" i="35"/>
  <c r="Y517" i="35"/>
  <c r="Y522" i="35"/>
  <c r="Y533" i="35"/>
  <c r="Y536" i="35"/>
  <c r="Y547" i="35"/>
  <c r="Y558" i="35"/>
  <c r="Y561" i="35"/>
  <c r="I564" i="35"/>
  <c r="Y564" i="35" s="1"/>
  <c r="Y574" i="35"/>
  <c r="Y583" i="35"/>
  <c r="Y591" i="35"/>
  <c r="Y599" i="35"/>
  <c r="Y602" i="35"/>
  <c r="I607" i="35"/>
  <c r="Y607" i="35" s="1"/>
  <c r="Y618" i="35"/>
  <c r="Y628" i="35"/>
  <c r="I631" i="35"/>
  <c r="Y631" i="35" s="1"/>
  <c r="Y642" i="35"/>
  <c r="Y647" i="35"/>
  <c r="Y658" i="35"/>
  <c r="Y670" i="35"/>
  <c r="Y676" i="35"/>
  <c r="Y680" i="35"/>
  <c r="Y683" i="35"/>
  <c r="Y694" i="35"/>
  <c r="I707" i="35"/>
  <c r="Y707" i="35" s="1"/>
  <c r="Y712" i="35"/>
  <c r="Y720" i="35"/>
  <c r="Y726" i="35"/>
  <c r="Y731" i="35"/>
  <c r="Y736" i="35"/>
  <c r="Y803" i="35"/>
  <c r="I814" i="35"/>
  <c r="I737" i="35" s="1"/>
  <c r="Y737" i="35" s="1"/>
  <c r="Y823" i="35"/>
  <c r="Y828" i="35"/>
  <c r="I852" i="35"/>
  <c r="Y852" i="35" s="1"/>
  <c r="I898" i="35"/>
  <c r="Y898" i="35" s="1"/>
  <c r="Y923" i="35"/>
  <c r="Y930" i="35"/>
  <c r="I933" i="35"/>
  <c r="Y938" i="35"/>
  <c r="Y946" i="35"/>
  <c r="Y954" i="35"/>
  <c r="Y966" i="35"/>
  <c r="Y972" i="35"/>
  <c r="I973" i="35"/>
  <c r="Y973" i="35" s="1"/>
  <c r="Y980" i="35"/>
  <c r="Y988" i="35"/>
  <c r="I989" i="35"/>
  <c r="Y989" i="35" s="1"/>
  <c r="Y998" i="35"/>
  <c r="Y1012" i="35"/>
  <c r="Y1015" i="35"/>
  <c r="I1016" i="35"/>
  <c r="Y1016" i="35" s="1"/>
  <c r="Y1020" i="35"/>
  <c r="Y1028" i="35"/>
  <c r="X98" i="35"/>
  <c r="Y98" i="35" s="1"/>
  <c r="I282" i="35"/>
  <c r="Y282" i="35" s="1"/>
  <c r="Y813" i="34"/>
  <c r="Y829" i="34"/>
  <c r="Y1060" i="34"/>
  <c r="Y888" i="34"/>
  <c r="Y804" i="34"/>
  <c r="Y800" i="34"/>
  <c r="Y727" i="34"/>
  <c r="Y825" i="34"/>
  <c r="Y1039" i="34"/>
  <c r="Y637" i="34"/>
  <c r="X669" i="34"/>
  <c r="Y669" i="34" s="1"/>
  <c r="F838" i="1"/>
  <c r="X202" i="34"/>
  <c r="Y202" i="34" s="1"/>
  <c r="X91" i="34"/>
  <c r="X92" i="34"/>
  <c r="Y92" i="34" s="1"/>
  <c r="X52" i="34"/>
  <c r="Y52" i="34" s="1"/>
  <c r="Y16" i="34"/>
  <c r="I1010" i="34"/>
  <c r="Y1010" i="34" s="1"/>
  <c r="I927" i="34"/>
  <c r="Y927" i="34" s="1"/>
  <c r="I511" i="34"/>
  <c r="Y511" i="34" s="1"/>
  <c r="I619" i="34"/>
  <c r="Y619" i="34" s="1"/>
  <c r="I625" i="34"/>
  <c r="Y625" i="34" s="1"/>
  <c r="I759" i="34"/>
  <c r="Y759" i="34" s="1"/>
  <c r="I769" i="34"/>
  <c r="Y769" i="34" s="1"/>
  <c r="I808" i="34"/>
  <c r="Y808" i="34" s="1"/>
  <c r="I1019" i="34"/>
  <c r="Y1019" i="34" s="1"/>
  <c r="I412" i="34"/>
  <c r="Y412" i="34" s="1"/>
  <c r="I919" i="34"/>
  <c r="Y919" i="34" s="1"/>
  <c r="I975" i="34"/>
  <c r="Y975" i="34" s="1"/>
  <c r="I1002" i="34"/>
  <c r="Y1002" i="34" s="1"/>
  <c r="I877" i="34"/>
  <c r="Y877" i="34" s="1"/>
  <c r="I892" i="34"/>
  <c r="Y892" i="34" s="1"/>
  <c r="I983" i="34"/>
  <c r="Y983" i="34" s="1"/>
  <c r="I295" i="34"/>
  <c r="Y295" i="34" s="1"/>
  <c r="I498" i="34"/>
  <c r="Y498" i="34" s="1"/>
  <c r="I323" i="34"/>
  <c r="Y323" i="34" s="1"/>
  <c r="I574" i="34"/>
  <c r="Y574" i="34" s="1"/>
  <c r="I596" i="34"/>
  <c r="Y596" i="34" s="1"/>
  <c r="I607" i="34"/>
  <c r="Y607" i="34" s="1"/>
  <c r="I654" i="34"/>
  <c r="Y654" i="34" s="1"/>
  <c r="I721" i="34"/>
  <c r="Y721" i="34" s="1"/>
  <c r="I818" i="34"/>
  <c r="Y818" i="34" s="1"/>
  <c r="I846" i="34"/>
  <c r="Y846" i="34" s="1"/>
  <c r="I278" i="34"/>
  <c r="Y278" i="34" s="1"/>
  <c r="I379" i="34"/>
  <c r="Y379" i="34" s="1"/>
  <c r="I329" i="34"/>
  <c r="Y329" i="34" s="1"/>
  <c r="I441" i="34"/>
  <c r="Y441" i="34" s="1"/>
  <c r="I303" i="34"/>
  <c r="Y303" i="34" s="1"/>
  <c r="I354" i="34"/>
  <c r="Y354" i="34" s="1"/>
  <c r="I372" i="34"/>
  <c r="Y372" i="34" s="1"/>
  <c r="I401" i="34"/>
  <c r="Y401" i="34" s="1"/>
  <c r="I647" i="34"/>
  <c r="Y647" i="34" s="1"/>
  <c r="I660" i="34"/>
  <c r="Y660" i="34" s="1"/>
  <c r="I741" i="34"/>
  <c r="Y741" i="34" s="1"/>
  <c r="I936" i="34"/>
  <c r="Y936" i="34" s="1"/>
  <c r="I956" i="34"/>
  <c r="Y956" i="34" s="1"/>
  <c r="I312" i="34"/>
  <c r="Y312" i="34" s="1"/>
  <c r="I317" i="34"/>
  <c r="Y317" i="34" s="1"/>
  <c r="I340" i="34"/>
  <c r="Y340" i="34" s="1"/>
  <c r="I365" i="34"/>
  <c r="Y365" i="34" s="1"/>
  <c r="I447" i="34"/>
  <c r="Y447" i="34" s="1"/>
  <c r="I470" i="34"/>
  <c r="Y470" i="34" s="1"/>
  <c r="I524" i="34"/>
  <c r="Y524" i="34" s="1"/>
  <c r="I558" i="34"/>
  <c r="Y558" i="34" s="1"/>
  <c r="I582" i="34"/>
  <c r="Y582" i="34" s="1"/>
  <c r="I613" i="34"/>
  <c r="Y613" i="34" s="1"/>
  <c r="I641" i="34"/>
  <c r="Y641" i="34" s="1"/>
  <c r="I666" i="34"/>
  <c r="Y666" i="34" s="1"/>
  <c r="I711" i="34"/>
  <c r="Y711" i="34" s="1"/>
  <c r="I992" i="34"/>
  <c r="Y992" i="34" s="1"/>
  <c r="I27" i="34"/>
  <c r="I335" i="34"/>
  <c r="Y335" i="34" s="1"/>
  <c r="I457" i="34"/>
  <c r="Y457" i="34" s="1"/>
  <c r="I601" i="34"/>
  <c r="Y601" i="34" s="1"/>
  <c r="I631" i="34"/>
  <c r="Y631" i="34" s="1"/>
  <c r="I701" i="34"/>
  <c r="Y701" i="34" s="1"/>
  <c r="I749" i="34"/>
  <c r="Y749" i="34" s="1"/>
  <c r="I833" i="34"/>
  <c r="Y833" i="34" s="1"/>
  <c r="I945" i="34"/>
  <c r="Y945" i="34" s="1"/>
  <c r="I967" i="34"/>
  <c r="Y967" i="34" s="1"/>
  <c r="I389" i="34"/>
  <c r="Y389" i="34" s="1"/>
  <c r="I429" i="34"/>
  <c r="Y429" i="34" s="1"/>
  <c r="I479" i="34"/>
  <c r="Y479" i="34" s="1"/>
  <c r="I531" i="34"/>
  <c r="Y531" i="34" s="1"/>
  <c r="I541" i="34"/>
  <c r="Y541" i="34" s="1"/>
  <c r="I565" i="34"/>
  <c r="Y565" i="34" s="1"/>
  <c r="I733" i="34"/>
  <c r="Y733" i="34" s="1"/>
  <c r="I779" i="34"/>
  <c r="Y779" i="34" s="1"/>
  <c r="I1027" i="34"/>
  <c r="Y1027" i="34" s="1"/>
  <c r="Y814" i="35" l="1"/>
  <c r="I950" i="35"/>
  <c r="Y950" i="35" s="1"/>
  <c r="Y951" i="35"/>
  <c r="Y88" i="35"/>
  <c r="F840" i="1"/>
  <c r="S840" i="1" s="1"/>
  <c r="K184" i="31"/>
  <c r="X201" i="34"/>
  <c r="X51" i="34"/>
  <c r="I944" i="34"/>
  <c r="Y944" i="34" s="1"/>
  <c r="I731" i="34"/>
  <c r="Y731" i="34" s="1"/>
  <c r="I1052" i="35" l="1"/>
  <c r="I1053" i="35" s="1"/>
  <c r="M717" i="31"/>
  <c r="K724" i="31"/>
  <c r="H724" i="31"/>
  <c r="K722" i="31"/>
  <c r="H722" i="31"/>
  <c r="K2174" i="3"/>
  <c r="F2174" i="3"/>
  <c r="C2174" i="3"/>
  <c r="F13" i="30"/>
  <c r="F2178" i="3"/>
  <c r="K2178" i="3" s="1"/>
  <c r="H148" i="31"/>
  <c r="N15" i="30"/>
  <c r="L15" i="30"/>
  <c r="H1816" i="3"/>
  <c r="F1705" i="3"/>
  <c r="E1" i="30"/>
  <c r="H1" i="30"/>
  <c r="L1" i="30"/>
  <c r="E71" i="30"/>
  <c r="E70" i="30"/>
  <c r="E69" i="30"/>
  <c r="E65" i="30"/>
  <c r="E64" i="30"/>
  <c r="E63" i="30"/>
  <c r="C1079" i="1"/>
  <c r="F794" i="1"/>
  <c r="I158" i="34" s="1"/>
  <c r="Y158" i="34" s="1"/>
  <c r="K36" i="31"/>
  <c r="K38" i="31"/>
  <c r="C593" i="1"/>
  <c r="C600" i="1"/>
  <c r="C16" i="29"/>
  <c r="H166" i="31" l="1"/>
  <c r="H161" i="31"/>
  <c r="C759" i="1"/>
  <c r="F759" i="1" s="1"/>
  <c r="C758" i="1"/>
  <c r="F758" i="1" s="1"/>
  <c r="C757" i="1"/>
  <c r="F757" i="1" s="1"/>
  <c r="F756" i="1"/>
  <c r="C754" i="1"/>
  <c r="C753" i="1"/>
  <c r="C752" i="1"/>
  <c r="F725" i="1"/>
  <c r="H689" i="31"/>
  <c r="F2044" i="3"/>
  <c r="K689" i="31" s="1"/>
  <c r="N26" i="30"/>
  <c r="F234" i="5"/>
  <c r="F235" i="5"/>
  <c r="F236" i="5"/>
  <c r="F237" i="5"/>
  <c r="F238" i="5"/>
  <c r="F239" i="5"/>
  <c r="F240" i="5"/>
  <c r="F241" i="5"/>
  <c r="F242" i="5"/>
  <c r="F243" i="5"/>
  <c r="F244" i="5"/>
  <c r="F245" i="5"/>
  <c r="F246" i="5"/>
  <c r="F247" i="5"/>
  <c r="F248" i="5"/>
  <c r="F249" i="5"/>
  <c r="F250" i="5"/>
  <c r="F251" i="5"/>
  <c r="F252" i="5"/>
  <c r="F253" i="5"/>
  <c r="F254" i="5"/>
  <c r="F255" i="5"/>
  <c r="F256" i="5"/>
  <c r="F257" i="5"/>
  <c r="F258" i="5"/>
  <c r="F259" i="5"/>
  <c r="F260" i="5"/>
  <c r="F261" i="5"/>
  <c r="F262" i="5"/>
  <c r="F263" i="5"/>
  <c r="F264" i="5"/>
  <c r="F265" i="5"/>
  <c r="F266" i="5"/>
  <c r="F267" i="5"/>
  <c r="F268" i="5"/>
  <c r="F269" i="5"/>
  <c r="F270" i="5"/>
  <c r="F271" i="5"/>
  <c r="F272" i="5"/>
  <c r="F273" i="5"/>
  <c r="F274" i="5"/>
  <c r="F275" i="5"/>
  <c r="F276" i="5"/>
  <c r="F277" i="5"/>
  <c r="F278" i="5"/>
  <c r="F279" i="5"/>
  <c r="F280" i="5"/>
  <c r="F281" i="5"/>
  <c r="F282" i="5"/>
  <c r="F283" i="5"/>
  <c r="F284" i="5"/>
  <c r="E54" i="30"/>
  <c r="E56" i="30" s="1"/>
  <c r="E57" i="30" s="1"/>
  <c r="E59" i="30" s="1"/>
  <c r="H96" i="31"/>
  <c r="F265" i="1"/>
  <c r="K1069" i="31"/>
  <c r="H92" i="31"/>
  <c r="H91" i="31"/>
  <c r="F236" i="1"/>
  <c r="F238" i="1"/>
  <c r="H178" i="31"/>
  <c r="H175" i="31"/>
  <c r="F800" i="1"/>
  <c r="F799" i="1"/>
  <c r="I162" i="34" s="1"/>
  <c r="Y162" i="34" s="1"/>
  <c r="F796" i="1"/>
  <c r="H622" i="31"/>
  <c r="H652" i="31"/>
  <c r="H651" i="31"/>
  <c r="H649" i="31"/>
  <c r="H650" i="31"/>
  <c r="H648" i="31"/>
  <c r="H647" i="31"/>
  <c r="H646" i="31"/>
  <c r="H645" i="31"/>
  <c r="H643" i="31"/>
  <c r="H644" i="31"/>
  <c r="H642" i="31"/>
  <c r="H641" i="31"/>
  <c r="H640" i="31"/>
  <c r="H639" i="31"/>
  <c r="H637" i="31"/>
  <c r="H638" i="31"/>
  <c r="H636" i="31"/>
  <c r="H635" i="31"/>
  <c r="H634" i="31"/>
  <c r="H633" i="31"/>
  <c r="H631" i="31"/>
  <c r="H632" i="31"/>
  <c r="H630" i="31"/>
  <c r="H629" i="31"/>
  <c r="I150" i="34" l="1"/>
  <c r="Y150" i="34" s="1"/>
  <c r="O238" i="1"/>
  <c r="I76" i="34"/>
  <c r="Y76" i="34" s="1"/>
  <c r="W800" i="1"/>
  <c r="H800" i="1"/>
  <c r="K91" i="31"/>
  <c r="I75" i="34"/>
  <c r="Y75" i="34" s="1"/>
  <c r="K96" i="31"/>
  <c r="I80" i="34"/>
  <c r="Y80" i="34" s="1"/>
  <c r="K161" i="31"/>
  <c r="I145" i="34"/>
  <c r="Y145" i="34" s="1"/>
  <c r="S796" i="1"/>
  <c r="I159" i="34"/>
  <c r="Y159" i="34" s="1"/>
  <c r="Q2044" i="3"/>
  <c r="K166" i="31"/>
  <c r="V265" i="1"/>
  <c r="K178" i="31"/>
  <c r="O236" i="1"/>
  <c r="K92" i="31"/>
  <c r="W799" i="1"/>
  <c r="K175" i="31"/>
  <c r="H628" i="31" l="1"/>
  <c r="H627" i="31"/>
  <c r="H625" i="31"/>
  <c r="H626" i="31"/>
  <c r="H624" i="31"/>
  <c r="H623" i="31"/>
  <c r="H621" i="31"/>
  <c r="H619" i="31"/>
  <c r="H620" i="31"/>
  <c r="H618" i="31"/>
  <c r="H617" i="31"/>
  <c r="H616" i="31"/>
  <c r="H614" i="31"/>
  <c r="H615" i="31"/>
  <c r="H613" i="31"/>
  <c r="H612" i="31"/>
  <c r="H177" i="31"/>
  <c r="H176" i="31"/>
  <c r="F797" i="1"/>
  <c r="F148" i="1"/>
  <c r="I55" i="34" s="1"/>
  <c r="Y55" i="34" s="1"/>
  <c r="K177" i="31" l="1"/>
  <c r="I161" i="34"/>
  <c r="Y161" i="34" s="1"/>
  <c r="O797" i="1"/>
  <c r="H930" i="31"/>
  <c r="H933" i="31"/>
  <c r="H932" i="31"/>
  <c r="H931" i="31"/>
  <c r="H929" i="31"/>
  <c r="H928" i="31"/>
  <c r="H927" i="31"/>
  <c r="H926" i="31"/>
  <c r="H925" i="31"/>
  <c r="H924" i="31"/>
  <c r="H923" i="31"/>
  <c r="H922" i="31"/>
  <c r="H921" i="31"/>
  <c r="H920" i="31"/>
  <c r="H919" i="31"/>
  <c r="H918" i="31"/>
  <c r="H917" i="31"/>
  <c r="H840" i="31"/>
  <c r="H839" i="31"/>
  <c r="H838" i="31"/>
  <c r="H836" i="31"/>
  <c r="H837" i="31"/>
  <c r="H835" i="31"/>
  <c r="H834" i="31"/>
  <c r="H794" i="31"/>
  <c r="H793" i="31"/>
  <c r="H780" i="31"/>
  <c r="H716" i="31"/>
  <c r="H715" i="31"/>
  <c r="H714" i="31"/>
  <c r="H713" i="31"/>
  <c r="H712" i="31"/>
  <c r="H711" i="31"/>
  <c r="H710" i="31"/>
  <c r="H709" i="31"/>
  <c r="H708" i="31"/>
  <c r="H707" i="31"/>
  <c r="H706" i="31"/>
  <c r="H705" i="31"/>
  <c r="H704" i="31"/>
  <c r="H703" i="31"/>
  <c r="H702" i="31"/>
  <c r="H701" i="31"/>
  <c r="H700" i="31"/>
  <c r="H699" i="31"/>
  <c r="H655" i="31"/>
  <c r="H656" i="31"/>
  <c r="H654" i="31"/>
  <c r="H653" i="31"/>
  <c r="H539" i="31"/>
  <c r="H538" i="31"/>
  <c r="H507" i="31"/>
  <c r="H506" i="31"/>
  <c r="H505" i="31"/>
  <c r="H504" i="31"/>
  <c r="H503" i="31"/>
  <c r="H502" i="31"/>
  <c r="H501" i="31"/>
  <c r="H500" i="31"/>
  <c r="H496" i="31"/>
  <c r="H498" i="31"/>
  <c r="H499" i="31"/>
  <c r="H497" i="31"/>
  <c r="H438" i="31"/>
  <c r="H437" i="31"/>
  <c r="H416" i="31"/>
  <c r="H415" i="31"/>
  <c r="C488" i="1"/>
  <c r="S1134" i="3"/>
  <c r="S1135" i="3"/>
  <c r="S1136" i="3"/>
  <c r="S1138" i="3"/>
  <c r="S1139" i="3"/>
  <c r="S1141" i="3"/>
  <c r="S1143" i="3"/>
  <c r="S1144" i="3"/>
  <c r="S1146" i="3"/>
  <c r="S1147" i="3"/>
  <c r="S1151" i="3"/>
  <c r="S1152" i="3"/>
  <c r="S1153" i="3"/>
  <c r="F1049" i="3"/>
  <c r="F1045" i="3"/>
  <c r="F1041" i="3"/>
  <c r="F1040" i="3"/>
  <c r="F1039" i="3"/>
  <c r="F1036" i="3"/>
  <c r="K501" i="31" s="1"/>
  <c r="F1033" i="3"/>
  <c r="F1030" i="3"/>
  <c r="F1158" i="3"/>
  <c r="L1158" i="3" s="1"/>
  <c r="F767" i="3"/>
  <c r="K438" i="31" s="1"/>
  <c r="F681" i="3"/>
  <c r="L681" i="3" s="1"/>
  <c r="F956" i="3"/>
  <c r="H368" i="31"/>
  <c r="F426" i="3"/>
  <c r="H369" i="31"/>
  <c r="H366" i="31"/>
  <c r="H367" i="31"/>
  <c r="H365" i="31"/>
  <c r="H364" i="31"/>
  <c r="H363" i="31"/>
  <c r="H362" i="31"/>
  <c r="H361" i="31"/>
  <c r="H360" i="31"/>
  <c r="H358" i="31"/>
  <c r="H359" i="31"/>
  <c r="H357" i="31"/>
  <c r="H356" i="31"/>
  <c r="H291" i="31"/>
  <c r="H290" i="31"/>
  <c r="H289" i="31"/>
  <c r="H288" i="31"/>
  <c r="H287" i="31"/>
  <c r="H286" i="31"/>
  <c r="H285" i="31"/>
  <c r="H284" i="31"/>
  <c r="H282" i="31"/>
  <c r="H283" i="31"/>
  <c r="H281" i="31"/>
  <c r="F104" i="32" s="1"/>
  <c r="H174" i="31"/>
  <c r="H173" i="31"/>
  <c r="H90" i="31"/>
  <c r="K41" i="31"/>
  <c r="K27" i="31"/>
  <c r="K25" i="31"/>
  <c r="K898" i="5"/>
  <c r="K900" i="5"/>
  <c r="K902" i="5"/>
  <c r="K906" i="5"/>
  <c r="K907" i="5"/>
  <c r="K909" i="5"/>
  <c r="K910" i="5"/>
  <c r="K912" i="5"/>
  <c r="K914" i="5"/>
  <c r="K915" i="5"/>
  <c r="K917" i="5"/>
  <c r="K918" i="5"/>
  <c r="K920" i="5"/>
  <c r="K923" i="5"/>
  <c r="K927" i="5"/>
  <c r="K928" i="5"/>
  <c r="K932" i="5"/>
  <c r="F123" i="3"/>
  <c r="V123" i="3" s="1"/>
  <c r="Q15" i="30"/>
  <c r="N17" i="30"/>
  <c r="F801" i="1"/>
  <c r="E493" i="1"/>
  <c r="F493" i="1" s="1"/>
  <c r="J661" i="3"/>
  <c r="J662" i="3"/>
  <c r="J664" i="3"/>
  <c r="J665" i="3"/>
  <c r="J667" i="3"/>
  <c r="J668" i="3"/>
  <c r="J669" i="3"/>
  <c r="J670" i="3"/>
  <c r="R74" i="3"/>
  <c r="F795" i="1"/>
  <c r="F208" i="5"/>
  <c r="F203" i="5"/>
  <c r="C192" i="5"/>
  <c r="J32" i="30"/>
  <c r="J29" i="30"/>
  <c r="C666" i="1"/>
  <c r="C668" i="1"/>
  <c r="C671" i="1"/>
  <c r="K2097" i="3"/>
  <c r="K2100" i="3"/>
  <c r="K2110" i="3"/>
  <c r="K2113" i="3"/>
  <c r="K2129" i="3"/>
  <c r="K2130" i="3"/>
  <c r="K2134" i="3"/>
  <c r="K2141" i="3"/>
  <c r="K2142" i="3"/>
  <c r="K2144" i="3"/>
  <c r="V124" i="3"/>
  <c r="V125" i="3"/>
  <c r="V126" i="3"/>
  <c r="F28" i="30"/>
  <c r="W3" i="30"/>
  <c r="F1426" i="1"/>
  <c r="F2274" i="3"/>
  <c r="F2273" i="3"/>
  <c r="F2272" i="3"/>
  <c r="F934" i="5"/>
  <c r="K934" i="5" s="1"/>
  <c r="F943" i="5"/>
  <c r="T943" i="5" s="1"/>
  <c r="F944" i="5"/>
  <c r="T944" i="5" s="1"/>
  <c r="F942" i="5"/>
  <c r="T942" i="5" s="1"/>
  <c r="F937" i="5"/>
  <c r="T937" i="5" s="1"/>
  <c r="F939" i="5"/>
  <c r="T939" i="5" s="1"/>
  <c r="F933" i="5"/>
  <c r="K933" i="5" s="1"/>
  <c r="F930" i="5"/>
  <c r="K930" i="5" s="1"/>
  <c r="F931" i="5"/>
  <c r="K931" i="5" s="1"/>
  <c r="F929" i="5"/>
  <c r="K929" i="5" s="1"/>
  <c r="F922" i="5"/>
  <c r="K922" i="5" s="1"/>
  <c r="F921" i="5"/>
  <c r="K921" i="5" s="1"/>
  <c r="F926" i="5"/>
  <c r="K926" i="5" s="1"/>
  <c r="F925" i="5"/>
  <c r="K925" i="5" s="1"/>
  <c r="F924" i="5"/>
  <c r="K924" i="5" s="1"/>
  <c r="F919" i="5"/>
  <c r="K919" i="5" s="1"/>
  <c r="F913" i="5"/>
  <c r="K913" i="5" s="1"/>
  <c r="F916" i="5"/>
  <c r="K916" i="5" s="1"/>
  <c r="F911" i="5"/>
  <c r="K911" i="5" s="1"/>
  <c r="F908" i="5"/>
  <c r="K908" i="5" s="1"/>
  <c r="P795" i="1" l="1"/>
  <c r="I160" i="34"/>
  <c r="Y160" i="34" s="1"/>
  <c r="K179" i="31"/>
  <c r="I163" i="34"/>
  <c r="Y163" i="34" s="1"/>
  <c r="J34" i="30"/>
  <c r="K500" i="31"/>
  <c r="L767" i="3"/>
  <c r="K930" i="31"/>
  <c r="K931" i="31"/>
  <c r="K928" i="31"/>
  <c r="K933" i="31"/>
  <c r="K924" i="31"/>
  <c r="K919" i="31"/>
  <c r="K918" i="31"/>
  <c r="K923" i="31"/>
  <c r="K925" i="31"/>
  <c r="K927" i="31"/>
  <c r="K916" i="31"/>
  <c r="K921" i="31"/>
  <c r="K416" i="31"/>
  <c r="K499" i="31"/>
  <c r="K506" i="31"/>
  <c r="K539" i="31"/>
  <c r="K502" i="31"/>
  <c r="K504" i="31"/>
  <c r="P801" i="1"/>
  <c r="K176" i="31"/>
  <c r="F470" i="5"/>
  <c r="F471" i="5"/>
  <c r="F465" i="5"/>
  <c r="K837" i="31" s="1"/>
  <c r="F467" i="5"/>
  <c r="K838" i="31" s="1"/>
  <c r="F155" i="5"/>
  <c r="F156" i="5"/>
  <c r="F154" i="5"/>
  <c r="C942" i="3"/>
  <c r="F942" i="3" s="1"/>
  <c r="C963" i="3"/>
  <c r="F938" i="3"/>
  <c r="F941" i="3"/>
  <c r="F957" i="3"/>
  <c r="F955" i="3"/>
  <c r="F946" i="3"/>
  <c r="F947" i="3"/>
  <c r="F967" i="3"/>
  <c r="F1394" i="1"/>
  <c r="F1393" i="1"/>
  <c r="F1392" i="1"/>
  <c r="F1389" i="1"/>
  <c r="F1388" i="1"/>
  <c r="F1387" i="1"/>
  <c r="F1386" i="1"/>
  <c r="C1396" i="1"/>
  <c r="F1396" i="1" s="1"/>
  <c r="C1397" i="1"/>
  <c r="F1397" i="1" s="1"/>
  <c r="C1398" i="1"/>
  <c r="F1398" i="1" s="1"/>
  <c r="I268" i="34" l="1"/>
  <c r="Y268" i="34" s="1"/>
  <c r="I267" i="34"/>
  <c r="K284" i="31"/>
  <c r="K283" i="31"/>
  <c r="K481" i="31"/>
  <c r="K840" i="31"/>
  <c r="K834" i="31" s="1"/>
  <c r="K780" i="31"/>
  <c r="F472" i="5"/>
  <c r="K472" i="5" s="1"/>
  <c r="F104" i="5"/>
  <c r="J104" i="5" s="1"/>
  <c r="F209" i="5"/>
  <c r="F207" i="5"/>
  <c r="J27" i="30"/>
  <c r="E29" i="30"/>
  <c r="F1778" i="3"/>
  <c r="F1739" i="3"/>
  <c r="F1555" i="3"/>
  <c r="F1598" i="3"/>
  <c r="F1632" i="3"/>
  <c r="C1852" i="3"/>
  <c r="F1852" i="3" s="1"/>
  <c r="F1826" i="3"/>
  <c r="Y267" i="34" l="1"/>
  <c r="K794" i="31"/>
  <c r="F1854" i="3"/>
  <c r="F1856" i="3" s="1"/>
  <c r="J1856" i="3" s="1"/>
  <c r="F63" i="30" s="1"/>
  <c r="K656" i="31"/>
  <c r="K653" i="31" s="1"/>
  <c r="F1204" i="1"/>
  <c r="F1203" i="1"/>
  <c r="F1202" i="1"/>
  <c r="C1197" i="1"/>
  <c r="F1197" i="1" s="1"/>
  <c r="F1194" i="1"/>
  <c r="F1228" i="1"/>
  <c r="I242" i="34" s="1"/>
  <c r="Y242" i="34" s="1"/>
  <c r="C1231" i="1"/>
  <c r="F1231" i="1" s="1"/>
  <c r="I243" i="34" s="1"/>
  <c r="F1236" i="1"/>
  <c r="F1237" i="1"/>
  <c r="F1238" i="1"/>
  <c r="F1240" i="1"/>
  <c r="F1241" i="1"/>
  <c r="C1242" i="1"/>
  <c r="F1242" i="1" s="1"/>
  <c r="F1243" i="1"/>
  <c r="F903" i="1"/>
  <c r="F868" i="1"/>
  <c r="C629" i="1"/>
  <c r="F601" i="1"/>
  <c r="F602" i="1"/>
  <c r="F603" i="1"/>
  <c r="F604" i="1"/>
  <c r="C605" i="1"/>
  <c r="F605" i="1" s="1"/>
  <c r="F600" i="1"/>
  <c r="I245" i="34" l="1"/>
  <c r="Y245" i="34" s="1"/>
  <c r="I132" i="34"/>
  <c r="Y132" i="34" s="1"/>
  <c r="K148" i="31"/>
  <c r="Y243" i="34"/>
  <c r="G29" i="30"/>
  <c r="F1245" i="1"/>
  <c r="J1245" i="1" s="1"/>
  <c r="F1206" i="1"/>
  <c r="F246" i="1"/>
  <c r="J246" i="1" s="1"/>
  <c r="C242" i="1"/>
  <c r="F242" i="1" s="1"/>
  <c r="F234" i="1"/>
  <c r="I14" i="30"/>
  <c r="D132" i="21"/>
  <c r="D68" i="21"/>
  <c r="E23" i="33"/>
  <c r="E14" i="33"/>
  <c r="E15" i="33" s="1"/>
  <c r="E12" i="33"/>
  <c r="E11" i="33"/>
  <c r="E10" i="33"/>
  <c r="E9" i="33"/>
  <c r="E8" i="33"/>
  <c r="E7" i="33"/>
  <c r="E6" i="33"/>
  <c r="E3" i="33"/>
  <c r="E2" i="33"/>
  <c r="I106" i="32"/>
  <c r="I208" i="32"/>
  <c r="I228" i="32"/>
  <c r="I235" i="32"/>
  <c r="I238" i="32"/>
  <c r="I241" i="32"/>
  <c r="I284" i="32"/>
  <c r="I285" i="32"/>
  <c r="I286" i="32"/>
  <c r="I288" i="32"/>
  <c r="I289" i="32"/>
  <c r="I290" i="32"/>
  <c r="I292" i="32"/>
  <c r="I293" i="32"/>
  <c r="I239" i="34" l="1"/>
  <c r="Y239" i="34" s="1"/>
  <c r="X234" i="1"/>
  <c r="X3" i="1" s="1"/>
  <c r="T5" i="30" s="1"/>
  <c r="T10" i="30" s="1"/>
  <c r="T11" i="30" s="1"/>
  <c r="I74" i="34"/>
  <c r="Y74" i="34" s="1"/>
  <c r="J242" i="1"/>
  <c r="K90" i="31"/>
  <c r="E4" i="33"/>
  <c r="E13" i="33"/>
  <c r="E24" i="33"/>
  <c r="F280" i="32"/>
  <c r="F279" i="32"/>
  <c r="F278" i="32"/>
  <c r="F277" i="32"/>
  <c r="F276" i="32"/>
  <c r="F275" i="32"/>
  <c r="F274" i="32"/>
  <c r="F273" i="32"/>
  <c r="F272" i="32"/>
  <c r="F271" i="32"/>
  <c r="F270" i="32"/>
  <c r="F269" i="32"/>
  <c r="F268" i="32"/>
  <c r="F267" i="32"/>
  <c r="F266" i="32"/>
  <c r="F265" i="32"/>
  <c r="F264" i="32"/>
  <c r="F263" i="32"/>
  <c r="F262" i="32"/>
  <c r="F261" i="32"/>
  <c r="F260" i="32"/>
  <c r="F259" i="32"/>
  <c r="F258" i="32"/>
  <c r="F257" i="32"/>
  <c r="F256" i="32"/>
  <c r="F255" i="32"/>
  <c r="F254" i="32"/>
  <c r="F253" i="32"/>
  <c r="F252" i="32"/>
  <c r="F251" i="32"/>
  <c r="F250" i="32"/>
  <c r="F249" i="32"/>
  <c r="F248" i="32"/>
  <c r="F247" i="32"/>
  <c r="F246" i="32"/>
  <c r="F245" i="32"/>
  <c r="F244" i="32"/>
  <c r="F243" i="32"/>
  <c r="F242" i="32"/>
  <c r="F241" i="32"/>
  <c r="F240" i="32"/>
  <c r="F239" i="32"/>
  <c r="F238" i="32"/>
  <c r="F237" i="32"/>
  <c r="F236" i="32"/>
  <c r="F235" i="32"/>
  <c r="F234" i="32"/>
  <c r="F232" i="32"/>
  <c r="F231" i="32"/>
  <c r="F230" i="32"/>
  <c r="F229" i="32"/>
  <c r="F228" i="32"/>
  <c r="F227" i="32"/>
  <c r="F226" i="32"/>
  <c r="F225" i="32"/>
  <c r="F224" i="32"/>
  <c r="F223" i="32"/>
  <c r="F221" i="32"/>
  <c r="F220" i="32"/>
  <c r="F219" i="32"/>
  <c r="F218" i="32"/>
  <c r="F217" i="32"/>
  <c r="F216" i="32"/>
  <c r="F215" i="32"/>
  <c r="F214" i="32"/>
  <c r="F213" i="32"/>
  <c r="F212" i="32"/>
  <c r="F211" i="32"/>
  <c r="F210" i="32"/>
  <c r="F209" i="32"/>
  <c r="F208" i="32"/>
  <c r="F207" i="32"/>
  <c r="F206" i="32"/>
  <c r="F205" i="32"/>
  <c r="F204" i="32"/>
  <c r="F203" i="32"/>
  <c r="F202" i="32"/>
  <c r="F201" i="32"/>
  <c r="F200" i="32"/>
  <c r="F199" i="32"/>
  <c r="F198" i="32"/>
  <c r="F197" i="32"/>
  <c r="F196" i="32"/>
  <c r="F195" i="32"/>
  <c r="F194" i="32"/>
  <c r="F193" i="32"/>
  <c r="F192" i="32"/>
  <c r="F191" i="32"/>
  <c r="F190" i="32"/>
  <c r="F189" i="32"/>
  <c r="F188" i="32"/>
  <c r="F187" i="32"/>
  <c r="F186" i="32"/>
  <c r="F185" i="32"/>
  <c r="F184" i="32"/>
  <c r="F183" i="32"/>
  <c r="F182" i="32"/>
  <c r="F181" i="32"/>
  <c r="F180" i="32"/>
  <c r="F179" i="32"/>
  <c r="F178" i="32"/>
  <c r="F177" i="32"/>
  <c r="F176" i="32"/>
  <c r="F175" i="32"/>
  <c r="F174" i="32"/>
  <c r="F173" i="32"/>
  <c r="F172" i="32"/>
  <c r="F171" i="32"/>
  <c r="F170" i="32"/>
  <c r="F169" i="32"/>
  <c r="F168" i="32"/>
  <c r="F167" i="32"/>
  <c r="F166" i="32"/>
  <c r="F165" i="32"/>
  <c r="F164" i="32"/>
  <c r="F163" i="32"/>
  <c r="F162" i="32"/>
  <c r="F161" i="32"/>
  <c r="F160" i="32"/>
  <c r="F159" i="32"/>
  <c r="F158" i="32"/>
  <c r="F157" i="32"/>
  <c r="F156" i="32"/>
  <c r="F155" i="32"/>
  <c r="F154" i="32"/>
  <c r="F153" i="32"/>
  <c r="F152" i="32"/>
  <c r="F151" i="32"/>
  <c r="F150" i="32"/>
  <c r="F149" i="32"/>
  <c r="F148" i="32"/>
  <c r="F147" i="32"/>
  <c r="F146" i="32"/>
  <c r="F145" i="32"/>
  <c r="F144" i="32"/>
  <c r="F143" i="32"/>
  <c r="F142" i="32"/>
  <c r="F141" i="32"/>
  <c r="F140" i="32"/>
  <c r="F139" i="32"/>
  <c r="F138" i="32"/>
  <c r="F137" i="32"/>
  <c r="F136" i="32"/>
  <c r="F135" i="32"/>
  <c r="F134" i="32"/>
  <c r="F133" i="32"/>
  <c r="F132" i="32"/>
  <c r="F131" i="32"/>
  <c r="F130" i="32"/>
  <c r="F129" i="32"/>
  <c r="F128" i="32"/>
  <c r="F127" i="32"/>
  <c r="F126" i="32"/>
  <c r="F125" i="32"/>
  <c r="F124" i="32"/>
  <c r="F123" i="32"/>
  <c r="F122" i="32"/>
  <c r="F121" i="32"/>
  <c r="F120" i="32"/>
  <c r="F119" i="32"/>
  <c r="F118" i="32"/>
  <c r="F117" i="32"/>
  <c r="F116" i="32"/>
  <c r="F115" i="32"/>
  <c r="F114" i="32"/>
  <c r="F113" i="32"/>
  <c r="F112" i="32"/>
  <c r="F111" i="32"/>
  <c r="F110" i="32"/>
  <c r="F109" i="32"/>
  <c r="F108" i="32"/>
  <c r="F107" i="32"/>
  <c r="F106" i="32"/>
  <c r="F105" i="32"/>
  <c r="F103" i="32"/>
  <c r="F102" i="32"/>
  <c r="F101" i="32"/>
  <c r="F100" i="32"/>
  <c r="F99" i="32"/>
  <c r="F98" i="32"/>
  <c r="F97" i="32"/>
  <c r="F96" i="32"/>
  <c r="F95" i="32"/>
  <c r="F94" i="32"/>
  <c r="F93" i="32"/>
  <c r="F92" i="32"/>
  <c r="F91" i="32"/>
  <c r="F90" i="32"/>
  <c r="F89" i="32"/>
  <c r="F88" i="32"/>
  <c r="F87" i="32"/>
  <c r="F86" i="32"/>
  <c r="F85" i="32"/>
  <c r="F84" i="32"/>
  <c r="F83" i="32"/>
  <c r="F82" i="32"/>
  <c r="F81" i="32"/>
  <c r="F80" i="32"/>
  <c r="F79" i="32"/>
  <c r="F78" i="32"/>
  <c r="F77" i="32"/>
  <c r="F74" i="32"/>
  <c r="F73" i="32"/>
  <c r="F72" i="32"/>
  <c r="F71" i="32"/>
  <c r="F70" i="32"/>
  <c r="F69" i="32"/>
  <c r="F68" i="32"/>
  <c r="F67" i="32"/>
  <c r="F66" i="32"/>
  <c r="F65" i="32"/>
  <c r="F64" i="32"/>
  <c r="F63" i="32"/>
  <c r="F62" i="32"/>
  <c r="F61" i="32"/>
  <c r="F60" i="32"/>
  <c r="F59" i="32"/>
  <c r="F58" i="32"/>
  <c r="F57" i="32"/>
  <c r="F56" i="32"/>
  <c r="F55" i="32"/>
  <c r="F54" i="32"/>
  <c r="F53" i="32"/>
  <c r="F52" i="32"/>
  <c r="F51" i="32"/>
  <c r="F50" i="32"/>
  <c r="F49" i="32"/>
  <c r="F48" i="32"/>
  <c r="F47" i="32"/>
  <c r="F46" i="32"/>
  <c r="F45" i="32"/>
  <c r="F44" i="32"/>
  <c r="F43" i="32"/>
  <c r="F42" i="32"/>
  <c r="F41" i="32"/>
  <c r="F40" i="32"/>
  <c r="F39" i="32"/>
  <c r="F38" i="32"/>
  <c r="F37" i="32"/>
  <c r="F36" i="32"/>
  <c r="U6" i="30"/>
  <c r="Y2" i="3" s="1"/>
  <c r="L2" i="2"/>
  <c r="H8" i="30" s="1"/>
  <c r="M2" i="2"/>
  <c r="I8" i="30" s="1"/>
  <c r="N2" i="2"/>
  <c r="J8" i="30" s="1"/>
  <c r="O2" i="2"/>
  <c r="K8" i="30" s="1"/>
  <c r="Q2" i="2"/>
  <c r="M8" i="30" s="1"/>
  <c r="U2" i="2"/>
  <c r="Q8" i="30" s="1"/>
  <c r="V2" i="2"/>
  <c r="R8" i="30" s="1"/>
  <c r="W2" i="2"/>
  <c r="S8" i="30" s="1"/>
  <c r="X2" i="2"/>
  <c r="U8" i="30" s="1"/>
  <c r="N3" i="5"/>
  <c r="J7" i="30" s="1"/>
  <c r="O3" i="5"/>
  <c r="K7" i="30" s="1"/>
  <c r="P3" i="5"/>
  <c r="L7" i="30" s="1"/>
  <c r="Q3" i="5"/>
  <c r="M7" i="30" s="1"/>
  <c r="R3" i="5"/>
  <c r="N7" i="30" s="1"/>
  <c r="V3" i="5"/>
  <c r="R7" i="30" s="1"/>
  <c r="W3" i="5"/>
  <c r="S7" i="30" s="1"/>
  <c r="I3" i="5"/>
  <c r="E7" i="30" s="1"/>
  <c r="N4" i="3"/>
  <c r="I6" i="30" s="1"/>
  <c r="N2" i="3" s="1"/>
  <c r="O4" i="3"/>
  <c r="J6" i="30" s="1"/>
  <c r="O2" i="3" s="1"/>
  <c r="P4" i="3"/>
  <c r="K6" i="30" s="1"/>
  <c r="P2" i="3" s="1"/>
  <c r="M3" i="1"/>
  <c r="I5" i="30" s="1"/>
  <c r="R3" i="1"/>
  <c r="N5" i="30" s="1"/>
  <c r="W3" i="1"/>
  <c r="S5" i="30" s="1"/>
  <c r="N43" i="31"/>
  <c r="K1073" i="31"/>
  <c r="I291" i="32" s="1"/>
  <c r="I287" i="32" l="1"/>
  <c r="M1070" i="31"/>
  <c r="E16" i="33"/>
  <c r="K1076" i="31"/>
  <c r="H1057" i="31"/>
  <c r="H1058" i="31"/>
  <c r="H1056" i="31"/>
  <c r="H1055" i="31"/>
  <c r="H1054" i="31"/>
  <c r="H1053" i="31"/>
  <c r="H1039" i="31"/>
  <c r="H1052" i="31"/>
  <c r="H1051" i="31"/>
  <c r="H1050" i="31"/>
  <c r="H1049" i="31"/>
  <c r="H1048" i="31"/>
  <c r="H1047" i="31"/>
  <c r="H1045" i="31"/>
  <c r="H1046" i="31"/>
  <c r="H1044" i="31"/>
  <c r="H1043" i="31"/>
  <c r="H1042" i="31"/>
  <c r="H1041" i="31"/>
  <c r="H1040" i="31"/>
  <c r="H1037" i="31"/>
  <c r="H1038" i="31"/>
  <c r="H1036" i="31"/>
  <c r="H1035" i="31"/>
  <c r="H1034" i="31"/>
  <c r="H1033" i="31"/>
  <c r="H1032" i="31"/>
  <c r="H1031" i="31"/>
  <c r="H1030" i="31"/>
  <c r="H1028" i="31"/>
  <c r="H1029" i="31"/>
  <c r="H1027" i="31"/>
  <c r="H1026" i="31"/>
  <c r="H1025" i="31"/>
  <c r="H1024" i="31"/>
  <c r="H1023" i="31"/>
  <c r="H1022" i="31"/>
  <c r="H1020" i="31"/>
  <c r="H1021" i="31"/>
  <c r="H1019" i="31"/>
  <c r="H1018" i="31"/>
  <c r="H1017" i="31"/>
  <c r="H1016" i="31"/>
  <c r="H1015" i="31"/>
  <c r="H1014" i="31"/>
  <c r="H1013" i="31"/>
  <c r="H1012" i="31"/>
  <c r="H1011" i="31"/>
  <c r="H1010" i="31"/>
  <c r="H1009" i="31"/>
  <c r="H1008" i="31"/>
  <c r="H1007" i="31"/>
  <c r="H1006" i="31"/>
  <c r="H1005" i="31"/>
  <c r="H1004" i="31"/>
  <c r="H1003" i="31"/>
  <c r="H1001" i="31"/>
  <c r="H1002" i="31"/>
  <c r="H1000" i="31"/>
  <c r="H999" i="31"/>
  <c r="H998" i="31"/>
  <c r="H997" i="31"/>
  <c r="H996" i="31"/>
  <c r="H995" i="31"/>
  <c r="H994" i="31"/>
  <c r="H993" i="31"/>
  <c r="H992" i="31"/>
  <c r="H991" i="31"/>
  <c r="H990" i="31"/>
  <c r="H989" i="31"/>
  <c r="H988" i="31"/>
  <c r="H987" i="31"/>
  <c r="H985" i="31"/>
  <c r="H986" i="31"/>
  <c r="H984" i="31"/>
  <c r="H983" i="31"/>
  <c r="H982" i="31"/>
  <c r="H981" i="31"/>
  <c r="H980" i="31"/>
  <c r="H979" i="31"/>
  <c r="H978" i="31"/>
  <c r="H977" i="31"/>
  <c r="H976" i="31"/>
  <c r="H974" i="31"/>
  <c r="H975" i="31"/>
  <c r="H973" i="31"/>
  <c r="H972" i="31"/>
  <c r="H971" i="31"/>
  <c r="H970" i="31"/>
  <c r="H969" i="31"/>
  <c r="H968" i="31"/>
  <c r="H967" i="31"/>
  <c r="H966" i="31"/>
  <c r="H965" i="31"/>
  <c r="H963" i="31"/>
  <c r="H964" i="31"/>
  <c r="H962" i="31"/>
  <c r="H961" i="31"/>
  <c r="H960" i="31"/>
  <c r="H892" i="31"/>
  <c r="H891" i="31"/>
  <c r="H890" i="31"/>
  <c r="H889" i="31"/>
  <c r="H888" i="31"/>
  <c r="H886" i="31"/>
  <c r="H887" i="31"/>
  <c r="H885" i="31"/>
  <c r="H884" i="31"/>
  <c r="H772" i="31"/>
  <c r="H959" i="31"/>
  <c r="H958" i="31"/>
  <c r="H957" i="31"/>
  <c r="H956" i="31"/>
  <c r="H954" i="31"/>
  <c r="H955" i="31"/>
  <c r="H953" i="31"/>
  <c r="H952" i="31"/>
  <c r="H951" i="31"/>
  <c r="H950" i="31"/>
  <c r="H949" i="31"/>
  <c r="H948" i="31"/>
  <c r="H947" i="31"/>
  <c r="H945" i="31"/>
  <c r="H946" i="31"/>
  <c r="H944" i="31"/>
  <c r="H943" i="31"/>
  <c r="H942" i="31"/>
  <c r="H941" i="31"/>
  <c r="H940" i="31"/>
  <c r="H939" i="31"/>
  <c r="H937" i="31"/>
  <c r="H938" i="31"/>
  <c r="H936" i="31"/>
  <c r="H935" i="31"/>
  <c r="H916" i="31"/>
  <c r="H915" i="31"/>
  <c r="H914" i="31"/>
  <c r="H913" i="31"/>
  <c r="H912" i="31"/>
  <c r="H910" i="31"/>
  <c r="H911" i="31"/>
  <c r="H909" i="31"/>
  <c r="H908" i="31"/>
  <c r="H906" i="31"/>
  <c r="H907" i="31"/>
  <c r="H905" i="31"/>
  <c r="H904" i="31"/>
  <c r="H903" i="31"/>
  <c r="H902" i="31"/>
  <c r="H901" i="31"/>
  <c r="H900" i="31"/>
  <c r="H899" i="31"/>
  <c r="H898" i="31"/>
  <c r="H897" i="31"/>
  <c r="H895" i="31"/>
  <c r="H896" i="31"/>
  <c r="H894" i="31"/>
  <c r="H893" i="31"/>
  <c r="H883" i="31"/>
  <c r="H882" i="31"/>
  <c r="H881" i="31"/>
  <c r="H880" i="31"/>
  <c r="H879" i="31"/>
  <c r="H878" i="31"/>
  <c r="H876" i="31"/>
  <c r="H877" i="31"/>
  <c r="H875" i="31"/>
  <c r="H874" i="31"/>
  <c r="H873" i="31"/>
  <c r="H872" i="31"/>
  <c r="H871" i="31"/>
  <c r="H870" i="31"/>
  <c r="H869" i="31"/>
  <c r="H868" i="31"/>
  <c r="H867" i="31"/>
  <c r="H866" i="31"/>
  <c r="H864" i="31"/>
  <c r="H865" i="31"/>
  <c r="H863" i="31"/>
  <c r="H862" i="31"/>
  <c r="H860" i="31"/>
  <c r="H861" i="31"/>
  <c r="H859" i="31"/>
  <c r="H858" i="31"/>
  <c r="H856" i="31"/>
  <c r="H857" i="31"/>
  <c r="H855" i="31"/>
  <c r="H854" i="31"/>
  <c r="H853" i="31"/>
  <c r="H851" i="31"/>
  <c r="H852" i="31"/>
  <c r="H850" i="31"/>
  <c r="H849" i="31"/>
  <c r="H848" i="31"/>
  <c r="H847" i="31"/>
  <c r="H845" i="31"/>
  <c r="H843" i="31"/>
  <c r="H844" i="31"/>
  <c r="H842" i="31"/>
  <c r="H841" i="31"/>
  <c r="H831" i="31"/>
  <c r="H832" i="31"/>
  <c r="H833" i="31"/>
  <c r="H830" i="31"/>
  <c r="H829" i="31"/>
  <c r="H828" i="31"/>
  <c r="H826" i="31"/>
  <c r="H827" i="31"/>
  <c r="H825" i="31"/>
  <c r="H824" i="31"/>
  <c r="H822" i="31"/>
  <c r="H823" i="31"/>
  <c r="H821" i="31"/>
  <c r="H820" i="31"/>
  <c r="H819" i="31"/>
  <c r="H818" i="31"/>
  <c r="H816" i="31"/>
  <c r="H815" i="31"/>
  <c r="H814" i="31"/>
  <c r="H813" i="31"/>
  <c r="H812" i="31"/>
  <c r="H811" i="31"/>
  <c r="H810" i="31"/>
  <c r="H808" i="31"/>
  <c r="H809" i="31"/>
  <c r="H807" i="31"/>
  <c r="H806" i="31"/>
  <c r="H805" i="31"/>
  <c r="H804" i="31"/>
  <c r="H803" i="31"/>
  <c r="H802" i="31"/>
  <c r="H801" i="31"/>
  <c r="H800" i="31"/>
  <c r="H799" i="31"/>
  <c r="H797" i="31"/>
  <c r="H798" i="31"/>
  <c r="H796" i="31"/>
  <c r="H795" i="31"/>
  <c r="H792" i="31"/>
  <c r="H791" i="31"/>
  <c r="H790" i="31"/>
  <c r="H789" i="31"/>
  <c r="H787" i="31"/>
  <c r="H788" i="31"/>
  <c r="H786" i="31"/>
  <c r="H785" i="31"/>
  <c r="H784" i="31"/>
  <c r="H783" i="31"/>
  <c r="H782" i="31"/>
  <c r="H781" i="31"/>
  <c r="H779" i="31"/>
  <c r="H777" i="31"/>
  <c r="H778" i="31"/>
  <c r="H776" i="31"/>
  <c r="H775" i="31"/>
  <c r="H774" i="31"/>
  <c r="H773" i="31"/>
  <c r="H771" i="31"/>
  <c r="H770" i="31"/>
  <c r="H769" i="31"/>
  <c r="H767" i="31"/>
  <c r="H768" i="31"/>
  <c r="H766" i="31"/>
  <c r="H765" i="31"/>
  <c r="H764" i="31"/>
  <c r="H763" i="31"/>
  <c r="H762" i="31"/>
  <c r="H761" i="31"/>
  <c r="H759" i="31"/>
  <c r="H760" i="31"/>
  <c r="H758" i="31"/>
  <c r="H757" i="31"/>
  <c r="H756" i="31"/>
  <c r="H755" i="31"/>
  <c r="H754" i="31"/>
  <c r="H753" i="31"/>
  <c r="H751" i="31"/>
  <c r="H752" i="31"/>
  <c r="H750" i="31"/>
  <c r="H749" i="31"/>
  <c r="H748" i="31"/>
  <c r="H747" i="31"/>
  <c r="M1077" i="31" l="1"/>
  <c r="I294" i="32"/>
  <c r="E25" i="33"/>
  <c r="E27" i="33" s="1"/>
  <c r="H681" i="31"/>
  <c r="H680" i="31"/>
  <c r="H678" i="31"/>
  <c r="H679" i="31"/>
  <c r="H677" i="31"/>
  <c r="H676" i="31"/>
  <c r="H675" i="31"/>
  <c r="H674" i="31"/>
  <c r="H672" i="31"/>
  <c r="H673" i="31"/>
  <c r="H671" i="31"/>
  <c r="H670" i="31"/>
  <c r="H669" i="31"/>
  <c r="H663" i="31"/>
  <c r="H533" i="31"/>
  <c r="H323" i="31"/>
  <c r="H299" i="31"/>
  <c r="H303" i="31"/>
  <c r="H745" i="31"/>
  <c r="H746" i="31"/>
  <c r="H744" i="31"/>
  <c r="H743" i="31"/>
  <c r="H742" i="31"/>
  <c r="H741" i="31"/>
  <c r="H739" i="31"/>
  <c r="H740" i="31"/>
  <c r="H738" i="31"/>
  <c r="H737" i="31"/>
  <c r="H736" i="31"/>
  <c r="H735" i="31"/>
  <c r="H734" i="31"/>
  <c r="H733" i="31"/>
  <c r="H732" i="31"/>
  <c r="H731" i="31"/>
  <c r="H729" i="31"/>
  <c r="H730" i="31"/>
  <c r="H728" i="31"/>
  <c r="H727" i="31"/>
  <c r="H726" i="31"/>
  <c r="H725" i="31"/>
  <c r="H723" i="31"/>
  <c r="H721" i="31"/>
  <c r="H719" i="31"/>
  <c r="H720" i="31"/>
  <c r="H718" i="31"/>
  <c r="H717" i="31"/>
  <c r="H698" i="31"/>
  <c r="H697" i="31"/>
  <c r="H696" i="31"/>
  <c r="H695" i="31"/>
  <c r="H694" i="31"/>
  <c r="H693" i="31"/>
  <c r="H692" i="31"/>
  <c r="H691" i="31"/>
  <c r="H690" i="31"/>
  <c r="H688" i="31"/>
  <c r="H687" i="31"/>
  <c r="H686" i="31"/>
  <c r="H684" i="31"/>
  <c r="H685" i="31"/>
  <c r="H683" i="31"/>
  <c r="H682" i="31"/>
  <c r="H668" i="31"/>
  <c r="H667" i="31"/>
  <c r="H665" i="31"/>
  <c r="H666" i="31"/>
  <c r="H664" i="31"/>
  <c r="H662" i="31"/>
  <c r="H661" i="31"/>
  <c r="H659" i="31"/>
  <c r="H660" i="31"/>
  <c r="H658" i="31"/>
  <c r="H657" i="31"/>
  <c r="H611" i="31"/>
  <c r="H610" i="31"/>
  <c r="H608" i="31"/>
  <c r="H609" i="31"/>
  <c r="H607" i="31"/>
  <c r="H606" i="31"/>
  <c r="H605" i="31"/>
  <c r="H604" i="31"/>
  <c r="H603" i="31"/>
  <c r="H602" i="31"/>
  <c r="H600" i="31"/>
  <c r="H601" i="31"/>
  <c r="H599" i="31"/>
  <c r="H598" i="31"/>
  <c r="H597" i="31"/>
  <c r="H596" i="31"/>
  <c r="H595" i="31"/>
  <c r="H594" i="31"/>
  <c r="H592" i="31"/>
  <c r="H593" i="31"/>
  <c r="H591" i="31"/>
  <c r="H590" i="31"/>
  <c r="H589" i="31"/>
  <c r="H588" i="31"/>
  <c r="H587" i="31"/>
  <c r="H586" i="31"/>
  <c r="H585" i="31"/>
  <c r="H583" i="31"/>
  <c r="H584" i="31"/>
  <c r="H582" i="31"/>
  <c r="H581" i="31"/>
  <c r="H580" i="31"/>
  <c r="H579" i="31"/>
  <c r="H578" i="31"/>
  <c r="H576" i="31"/>
  <c r="H577" i="31"/>
  <c r="H575" i="31"/>
  <c r="H574" i="31"/>
  <c r="H573" i="31"/>
  <c r="H572" i="31"/>
  <c r="H571" i="31"/>
  <c r="H570" i="31"/>
  <c r="H569" i="31"/>
  <c r="H568" i="31"/>
  <c r="H567" i="31"/>
  <c r="H566" i="31"/>
  <c r="H565" i="31"/>
  <c r="H564" i="31"/>
  <c r="H563" i="31"/>
  <c r="H562" i="31"/>
  <c r="H561" i="31"/>
  <c r="H559" i="31"/>
  <c r="H560" i="31"/>
  <c r="H558" i="31"/>
  <c r="H557" i="31"/>
  <c r="H556" i="31"/>
  <c r="H555" i="31"/>
  <c r="H554" i="31"/>
  <c r="H553" i="31"/>
  <c r="H552" i="31"/>
  <c r="H551" i="31"/>
  <c r="H550" i="31"/>
  <c r="H549" i="31"/>
  <c r="H548" i="31"/>
  <c r="H547" i="31"/>
  <c r="H546" i="31"/>
  <c r="H545" i="31"/>
  <c r="H544" i="31"/>
  <c r="H542" i="31"/>
  <c r="H543" i="31"/>
  <c r="H541" i="31"/>
  <c r="H540" i="31"/>
  <c r="H537" i="31" l="1"/>
  <c r="H536" i="31"/>
  <c r="H535" i="31"/>
  <c r="H534" i="31"/>
  <c r="H532" i="31"/>
  <c r="H531" i="31"/>
  <c r="H529" i="31"/>
  <c r="H530" i="31"/>
  <c r="H528" i="31"/>
  <c r="H527" i="31"/>
  <c r="H526" i="31"/>
  <c r="H525" i="31"/>
  <c r="H524" i="31"/>
  <c r="H523" i="31"/>
  <c r="H522" i="31"/>
  <c r="H521" i="31"/>
  <c r="H520" i="31"/>
  <c r="H519" i="31"/>
  <c r="H518" i="31"/>
  <c r="H516" i="31"/>
  <c r="H517" i="31"/>
  <c r="H515" i="31"/>
  <c r="H514" i="31"/>
  <c r="H513" i="31"/>
  <c r="H512" i="31"/>
  <c r="H511" i="31"/>
  <c r="H509" i="31"/>
  <c r="H510" i="31"/>
  <c r="H508" i="31"/>
  <c r="H495" i="31"/>
  <c r="H494" i="31"/>
  <c r="H493" i="31"/>
  <c r="H492" i="31"/>
  <c r="H491" i="31"/>
  <c r="H490" i="31"/>
  <c r="H488" i="31"/>
  <c r="H489" i="31"/>
  <c r="H487" i="31"/>
  <c r="H486" i="31"/>
  <c r="H485" i="31"/>
  <c r="H484" i="31"/>
  <c r="H483" i="31"/>
  <c r="H482" i="31"/>
  <c r="H481" i="31"/>
  <c r="H480" i="31"/>
  <c r="H479" i="31"/>
  <c r="H478" i="31"/>
  <c r="H477" i="31"/>
  <c r="H475" i="31"/>
  <c r="H476" i="31"/>
  <c r="H474" i="31"/>
  <c r="H473" i="31"/>
  <c r="H472" i="31"/>
  <c r="H471" i="31"/>
  <c r="H470" i="31"/>
  <c r="H469" i="31"/>
  <c r="H468" i="31"/>
  <c r="H467" i="31"/>
  <c r="H465" i="31"/>
  <c r="H466" i="31"/>
  <c r="H464" i="31"/>
  <c r="H463" i="31"/>
  <c r="H462" i="31"/>
  <c r="H461" i="31"/>
  <c r="H459" i="31"/>
  <c r="H460" i="31"/>
  <c r="H458" i="31"/>
  <c r="H457" i="31"/>
  <c r="H456" i="31"/>
  <c r="H455" i="31"/>
  <c r="H454" i="31"/>
  <c r="H453" i="31"/>
  <c r="H452" i="31"/>
  <c r="H451" i="31"/>
  <c r="H450" i="31"/>
  <c r="H449" i="31"/>
  <c r="H447" i="31"/>
  <c r="H448" i="31"/>
  <c r="H446" i="31"/>
  <c r="H445" i="31"/>
  <c r="H444" i="31"/>
  <c r="H443" i="31"/>
  <c r="H442" i="31"/>
  <c r="H440" i="31"/>
  <c r="H441" i="31"/>
  <c r="H439" i="31"/>
  <c r="H436" i="31"/>
  <c r="H435" i="31"/>
  <c r="H434" i="31"/>
  <c r="H433" i="31"/>
  <c r="H430" i="31"/>
  <c r="H431" i="31"/>
  <c r="H432" i="31"/>
  <c r="H429" i="31"/>
  <c r="H428" i="31"/>
  <c r="H427" i="31"/>
  <c r="H426" i="31"/>
  <c r="H425" i="31"/>
  <c r="H424" i="31"/>
  <c r="H423" i="31"/>
  <c r="H422" i="31"/>
  <c r="H421" i="31"/>
  <c r="H419" i="31"/>
  <c r="H420" i="31"/>
  <c r="H418" i="31"/>
  <c r="H417" i="31"/>
  <c r="H414" i="31"/>
  <c r="H413" i="31"/>
  <c r="H412" i="31"/>
  <c r="H411" i="31"/>
  <c r="H410" i="31"/>
  <c r="H409" i="31"/>
  <c r="H407" i="31"/>
  <c r="H408" i="31"/>
  <c r="H406" i="31"/>
  <c r="H405" i="31"/>
  <c r="H404" i="31"/>
  <c r="H403" i="31"/>
  <c r="H402" i="31"/>
  <c r="H401" i="31"/>
  <c r="H400" i="31"/>
  <c r="H399" i="31"/>
  <c r="H397" i="31"/>
  <c r="H398" i="31"/>
  <c r="H396" i="31"/>
  <c r="H395" i="31"/>
  <c r="H394" i="31"/>
  <c r="H393" i="31"/>
  <c r="H392" i="31"/>
  <c r="H391" i="31"/>
  <c r="H390" i="31"/>
  <c r="H389" i="31"/>
  <c r="H388" i="31"/>
  <c r="H387" i="31" l="1"/>
  <c r="H386" i="31"/>
  <c r="H385" i="31"/>
  <c r="H384" i="31"/>
  <c r="H383" i="31"/>
  <c r="H382" i="31"/>
  <c r="H381" i="31"/>
  <c r="H380" i="31"/>
  <c r="H379" i="31"/>
  <c r="H378" i="31"/>
  <c r="H377" i="31"/>
  <c r="H376" i="31"/>
  <c r="H375" i="31"/>
  <c r="H374" i="31"/>
  <c r="H372" i="31"/>
  <c r="H373" i="31"/>
  <c r="H371" i="31"/>
  <c r="H370" i="31"/>
  <c r="H355" i="31"/>
  <c r="H353" i="31"/>
  <c r="H354" i="31"/>
  <c r="H352" i="31"/>
  <c r="H351" i="31"/>
  <c r="H350" i="31"/>
  <c r="H349" i="31"/>
  <c r="H347" i="31"/>
  <c r="H348" i="31"/>
  <c r="H346" i="31"/>
  <c r="H345" i="31"/>
  <c r="H344" i="31"/>
  <c r="H343" i="31"/>
  <c r="H341" i="31"/>
  <c r="H342" i="31"/>
  <c r="H340" i="31"/>
  <c r="H339" i="31"/>
  <c r="H338" i="31"/>
  <c r="H337" i="31"/>
  <c r="H335" i="31"/>
  <c r="H336" i="31"/>
  <c r="H334" i="31"/>
  <c r="H333" i="31"/>
  <c r="H332" i="31"/>
  <c r="H330" i="31"/>
  <c r="H331" i="31"/>
  <c r="H329" i="31"/>
  <c r="H328" i="31"/>
  <c r="H327" i="31"/>
  <c r="H326" i="31"/>
  <c r="H325" i="31"/>
  <c r="H324" i="31"/>
  <c r="H322" i="31"/>
  <c r="H321" i="31"/>
  <c r="H320" i="31"/>
  <c r="H319" i="31"/>
  <c r="H318" i="31"/>
  <c r="H317" i="31"/>
  <c r="H316" i="31"/>
  <c r="H315" i="31"/>
  <c r="H313" i="31"/>
  <c r="H314" i="31"/>
  <c r="H312" i="31"/>
  <c r="H311" i="31"/>
  <c r="H310" i="31"/>
  <c r="H309" i="31"/>
  <c r="H308" i="31"/>
  <c r="H307" i="31"/>
  <c r="H306" i="31"/>
  <c r="H305" i="31"/>
  <c r="H304" i="31"/>
  <c r="H302" i="31"/>
  <c r="H301" i="31"/>
  <c r="H300" i="31"/>
  <c r="H298" i="31"/>
  <c r="H296" i="31"/>
  <c r="H297" i="31"/>
  <c r="H295" i="31"/>
  <c r="H294" i="31"/>
  <c r="H293" i="31"/>
  <c r="H292" i="31"/>
  <c r="H242" i="31"/>
  <c r="H241" i="31"/>
  <c r="H232" i="31"/>
  <c r="H231" i="31"/>
  <c r="H280" i="31"/>
  <c r="H278" i="31"/>
  <c r="H279" i="31"/>
  <c r="H277" i="31"/>
  <c r="H276" i="31"/>
  <c r="H274" i="31"/>
  <c r="H275" i="31"/>
  <c r="H273" i="31"/>
  <c r="H272" i="31"/>
  <c r="H271" i="31"/>
  <c r="H269" i="31"/>
  <c r="H270" i="31"/>
  <c r="H268" i="31"/>
  <c r="H267" i="31"/>
  <c r="H266" i="31"/>
  <c r="H264" i="31"/>
  <c r="H265" i="31"/>
  <c r="H263" i="31"/>
  <c r="H262" i="31"/>
  <c r="H261" i="31"/>
  <c r="H260" i="31"/>
  <c r="H259" i="31"/>
  <c r="H257" i="31"/>
  <c r="H258" i="31"/>
  <c r="H256" i="31"/>
  <c r="H255" i="31"/>
  <c r="H254" i="31"/>
  <c r="H253" i="31"/>
  <c r="H252" i="31"/>
  <c r="H251" i="31"/>
  <c r="H250" i="31"/>
  <c r="H249" i="31"/>
  <c r="H247" i="31"/>
  <c r="H248" i="31"/>
  <c r="H246" i="31"/>
  <c r="H245" i="31"/>
  <c r="H244" i="31"/>
  <c r="H243" i="31"/>
  <c r="H240" i="31"/>
  <c r="H239" i="31"/>
  <c r="H237" i="31"/>
  <c r="H238" i="31"/>
  <c r="H236" i="31"/>
  <c r="H235" i="31"/>
  <c r="H234" i="31"/>
  <c r="H233" i="31"/>
  <c r="H230" i="31"/>
  <c r="H229" i="31"/>
  <c r="H227" i="31"/>
  <c r="H228" i="31"/>
  <c r="H226" i="31"/>
  <c r="H225" i="31"/>
  <c r="H224" i="31"/>
  <c r="H223" i="31"/>
  <c r="H222" i="31"/>
  <c r="H221" i="31"/>
  <c r="H219" i="31"/>
  <c r="H220" i="31"/>
  <c r="H218" i="31"/>
  <c r="H217" i="31"/>
  <c r="H216" i="31"/>
  <c r="H215" i="31"/>
  <c r="H214" i="31"/>
  <c r="H213" i="31"/>
  <c r="H211" i="31"/>
  <c r="H212" i="31"/>
  <c r="H210" i="31"/>
  <c r="H209" i="31"/>
  <c r="H208" i="31"/>
  <c r="H207" i="31"/>
  <c r="H206" i="31"/>
  <c r="H204" i="31"/>
  <c r="H205" i="31"/>
  <c r="H203" i="31"/>
  <c r="H202" i="31"/>
  <c r="H201" i="31"/>
  <c r="H200" i="31"/>
  <c r="H198" i="31"/>
  <c r="H199" i="31"/>
  <c r="H197" i="31"/>
  <c r="H196" i="31"/>
  <c r="H195" i="31"/>
  <c r="H194" i="31"/>
  <c r="H192" i="31"/>
  <c r="H193" i="31"/>
  <c r="H191" i="31"/>
  <c r="H190" i="31"/>
  <c r="H189" i="31"/>
  <c r="H187" i="31"/>
  <c r="H188" i="31"/>
  <c r="H186" i="31"/>
  <c r="H185" i="31"/>
  <c r="H179" i="31"/>
  <c r="H172" i="31"/>
  <c r="H170" i="31"/>
  <c r="H171" i="31"/>
  <c r="H167" i="31"/>
  <c r="H169" i="31"/>
  <c r="H168" i="31"/>
  <c r="H164" i="31"/>
  <c r="H165" i="31"/>
  <c r="H163" i="31"/>
  <c r="H162" i="31"/>
  <c r="H159" i="31"/>
  <c r="H160" i="31"/>
  <c r="H158" i="31"/>
  <c r="H157" i="31"/>
  <c r="H155" i="31"/>
  <c r="H156" i="31"/>
  <c r="H154" i="31"/>
  <c r="H153" i="31"/>
  <c r="H151" i="31"/>
  <c r="H152" i="31"/>
  <c r="H150" i="31"/>
  <c r="H149" i="31"/>
  <c r="H146" i="31"/>
  <c r="H147" i="31"/>
  <c r="H145" i="31"/>
  <c r="H144" i="31"/>
  <c r="H143" i="31"/>
  <c r="H142" i="31"/>
  <c r="H141" i="31"/>
  <c r="H140" i="31"/>
  <c r="H139" i="31"/>
  <c r="H138" i="31"/>
  <c r="H137" i="31"/>
  <c r="H136" i="31"/>
  <c r="H135" i="31"/>
  <c r="H134" i="31"/>
  <c r="H132" i="31"/>
  <c r="H133" i="31"/>
  <c r="H131" i="31"/>
  <c r="H130" i="31"/>
  <c r="H128" i="31"/>
  <c r="H129" i="31"/>
  <c r="H127" i="31"/>
  <c r="H126" i="31"/>
  <c r="H125" i="31"/>
  <c r="H124" i="31"/>
  <c r="H123" i="31"/>
  <c r="H122" i="31"/>
  <c r="H121" i="31"/>
  <c r="H120" i="31"/>
  <c r="H119" i="31"/>
  <c r="H118" i="31"/>
  <c r="H116" i="31"/>
  <c r="H117" i="31"/>
  <c r="H115" i="31"/>
  <c r="H114" i="31"/>
  <c r="H113" i="31"/>
  <c r="H112" i="31"/>
  <c r="H111" i="31"/>
  <c r="H109" i="31"/>
  <c r="H110" i="31"/>
  <c r="H108" i="31"/>
  <c r="H107" i="31"/>
  <c r="H106" i="31"/>
  <c r="H105" i="31"/>
  <c r="H104" i="31"/>
  <c r="H103" i="31"/>
  <c r="H102" i="31"/>
  <c r="H100" i="31"/>
  <c r="H101" i="31"/>
  <c r="H99" i="31"/>
  <c r="H98" i="31"/>
  <c r="H83" i="31"/>
  <c r="H82" i="31"/>
  <c r="H73" i="31"/>
  <c r="H97" i="31"/>
  <c r="H95" i="31"/>
  <c r="H94" i="31"/>
  <c r="H93" i="31"/>
  <c r="H89" i="31"/>
  <c r="H88" i="31"/>
  <c r="H87" i="31"/>
  <c r="H86" i="31"/>
  <c r="H85" i="31"/>
  <c r="H84" i="31"/>
  <c r="H81" i="31"/>
  <c r="H80" i="31"/>
  <c r="H79" i="31"/>
  <c r="H78" i="31"/>
  <c r="H77" i="31"/>
  <c r="H76" i="31"/>
  <c r="H75" i="31"/>
  <c r="H74" i="31"/>
  <c r="H72" i="31"/>
  <c r="H71" i="31"/>
  <c r="H69" i="31"/>
  <c r="H70" i="31"/>
  <c r="H68" i="31"/>
  <c r="H67" i="31"/>
  <c r="H66" i="31"/>
  <c r="H65" i="31"/>
  <c r="H64" i="31"/>
  <c r="H63" i="31"/>
  <c r="H62" i="31" l="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I31" i="32" l="1"/>
  <c r="K34" i="31"/>
  <c r="K32" i="31"/>
  <c r="K30" i="31"/>
  <c r="I29" i="32"/>
  <c r="I30" i="32" l="1"/>
  <c r="I33" i="32" s="1"/>
  <c r="K43" i="31"/>
  <c r="M44" i="31" s="1"/>
  <c r="F845" i="5"/>
  <c r="F850" i="5"/>
  <c r="F38" i="2"/>
  <c r="F2003" i="3"/>
  <c r="F2002" i="3"/>
  <c r="F2001" i="3"/>
  <c r="F1998" i="3"/>
  <c r="F1997" i="3"/>
  <c r="F1994" i="3"/>
  <c r="F1967" i="3"/>
  <c r="F1966" i="3"/>
  <c r="F1965" i="3"/>
  <c r="F1964" i="3"/>
  <c r="F1963" i="3"/>
  <c r="F1962" i="3"/>
  <c r="F1959" i="3"/>
  <c r="F1958" i="3"/>
  <c r="F1955" i="3"/>
  <c r="F1928" i="3"/>
  <c r="F1924" i="3"/>
  <c r="F1926" i="3" s="1"/>
  <c r="F1921" i="3"/>
  <c r="F1922" i="3" s="1"/>
  <c r="F1918" i="3"/>
  <c r="F1919" i="3" s="1"/>
  <c r="F1890" i="3"/>
  <c r="F1889" i="3"/>
  <c r="F1888" i="3"/>
  <c r="F1885" i="3"/>
  <c r="F1884" i="3"/>
  <c r="F1881" i="3"/>
  <c r="F1929" i="3" l="1"/>
  <c r="F1930" i="3" s="1"/>
  <c r="K667" i="31"/>
  <c r="K33" i="32"/>
  <c r="K34" i="32" s="1"/>
  <c r="H15" i="33"/>
  <c r="H16" i="33" s="1"/>
  <c r="K899" i="31"/>
  <c r="K903" i="31"/>
  <c r="F1956" i="3"/>
  <c r="K673" i="31" s="1"/>
  <c r="F2005" i="3"/>
  <c r="F1960" i="3"/>
  <c r="F1995" i="3"/>
  <c r="K679" i="31" s="1"/>
  <c r="F1886" i="3"/>
  <c r="T1886" i="3" s="1"/>
  <c r="F1892" i="3"/>
  <c r="F1882" i="3"/>
  <c r="F1968" i="3"/>
  <c r="K675" i="31" s="1"/>
  <c r="F1999" i="3"/>
  <c r="K680" i="31" s="1"/>
  <c r="K669" i="31" l="1"/>
  <c r="K668" i="31"/>
  <c r="K660" i="31"/>
  <c r="T1882" i="3"/>
  <c r="K662" i="31"/>
  <c r="K1892" i="3"/>
  <c r="K681" i="31"/>
  <c r="K676" i="31" s="1"/>
  <c r="I193" i="32" s="1"/>
  <c r="I194" i="32" s="1"/>
  <c r="K674" i="31"/>
  <c r="K670" i="31" s="1"/>
  <c r="I191" i="32" s="1"/>
  <c r="I192" i="32" s="1"/>
  <c r="K661" i="31"/>
  <c r="U3" i="5"/>
  <c r="Q7" i="30" s="1"/>
  <c r="K666" i="31"/>
  <c r="K663" i="31" s="1"/>
  <c r="F2006" i="3"/>
  <c r="F1893" i="3"/>
  <c r="E36" i="30" s="1"/>
  <c r="F1969" i="3"/>
  <c r="F1712" i="3"/>
  <c r="F1711" i="3"/>
  <c r="F1708" i="3"/>
  <c r="F1707" i="3"/>
  <c r="F1825" i="3"/>
  <c r="F1824" i="3"/>
  <c r="F1823" i="3"/>
  <c r="F1820" i="3"/>
  <c r="F1819" i="3"/>
  <c r="F1816" i="3"/>
  <c r="F1787" i="3"/>
  <c r="F1786" i="3"/>
  <c r="F1785" i="3"/>
  <c r="F1784" i="3"/>
  <c r="F1783" i="3"/>
  <c r="F1782" i="3"/>
  <c r="F1779" i="3"/>
  <c r="F1775" i="3"/>
  <c r="F1748" i="3"/>
  <c r="F1747" i="3"/>
  <c r="F1746" i="3"/>
  <c r="F1743" i="3"/>
  <c r="F1742" i="3"/>
  <c r="F1677" i="3"/>
  <c r="F1674" i="3"/>
  <c r="F1675" i="3" s="1"/>
  <c r="K627" i="31" s="1"/>
  <c r="F1671" i="3"/>
  <c r="F1639" i="3"/>
  <c r="F1635" i="3"/>
  <c r="K621" i="31" s="1"/>
  <c r="F1601" i="3"/>
  <c r="F1602" i="3" s="1"/>
  <c r="K616" i="31" s="1"/>
  <c r="F1714" i="3" l="1"/>
  <c r="F1709" i="3"/>
  <c r="F1827" i="3"/>
  <c r="K652" i="31" s="1"/>
  <c r="I189" i="32"/>
  <c r="I190" i="32" s="1"/>
  <c r="S2006" i="3"/>
  <c r="E33" i="30"/>
  <c r="K657" i="31"/>
  <c r="E34" i="30"/>
  <c r="J1969" i="3"/>
  <c r="F64" i="30" s="1"/>
  <c r="E35" i="30"/>
  <c r="S1930" i="3"/>
  <c r="F1637" i="3"/>
  <c r="F1642" i="3"/>
  <c r="K622" i="31" s="1"/>
  <c r="F1679" i="3"/>
  <c r="K628" i="31" s="1"/>
  <c r="K634" i="31"/>
  <c r="K633" i="31"/>
  <c r="K632" i="31"/>
  <c r="F1599" i="3"/>
  <c r="F1780" i="3"/>
  <c r="K645" i="31" s="1"/>
  <c r="F1817" i="3"/>
  <c r="K650" i="31" s="1"/>
  <c r="F1672" i="3"/>
  <c r="K626" i="31" s="1"/>
  <c r="F1740" i="3"/>
  <c r="K638" i="31" s="1"/>
  <c r="F1776" i="3"/>
  <c r="K644" i="31" s="1"/>
  <c r="F1750" i="3"/>
  <c r="K640" i="31" s="1"/>
  <c r="F1788" i="3"/>
  <c r="K646" i="31" s="1"/>
  <c r="F1633" i="3"/>
  <c r="K620" i="31" s="1"/>
  <c r="F1744" i="3"/>
  <c r="K639" i="31" s="1"/>
  <c r="F1821" i="3"/>
  <c r="K651" i="31" s="1"/>
  <c r="F1715" i="3" l="1"/>
  <c r="F1719" i="3" s="1"/>
  <c r="K617" i="31"/>
  <c r="I187" i="32"/>
  <c r="I188" i="32" s="1"/>
  <c r="M657" i="31"/>
  <c r="K641" i="31"/>
  <c r="K623" i="31"/>
  <c r="K647" i="31"/>
  <c r="K635" i="31"/>
  <c r="F1604" i="3"/>
  <c r="K615" i="31"/>
  <c r="K612" i="31" s="1"/>
  <c r="K629" i="31"/>
  <c r="E38" i="30"/>
  <c r="I181" i="32"/>
  <c r="I182" i="32" s="1"/>
  <c r="I179" i="32"/>
  <c r="I180" i="32" s="1"/>
  <c r="F1643" i="3"/>
  <c r="T1643" i="3" s="1"/>
  <c r="I175" i="32"/>
  <c r="I176" i="32" s="1"/>
  <c r="I177" i="32"/>
  <c r="I178" i="32" s="1"/>
  <c r="F1680" i="3"/>
  <c r="K1680" i="3" s="1"/>
  <c r="I185" i="32"/>
  <c r="I186" i="32" s="1"/>
  <c r="F1789" i="3"/>
  <c r="M641" i="31" s="1"/>
  <c r="F1828" i="3"/>
  <c r="F1832" i="3" s="1"/>
  <c r="F1751" i="3"/>
  <c r="M612" i="31" l="1"/>
  <c r="M614" i="31" s="1"/>
  <c r="E47" i="30"/>
  <c r="T1604" i="3"/>
  <c r="E41" i="30"/>
  <c r="K1828" i="3"/>
  <c r="E44" i="30"/>
  <c r="U1715" i="3"/>
  <c r="E43" i="30"/>
  <c r="K1751" i="3"/>
  <c r="E42" i="30"/>
  <c r="W17" i="30"/>
  <c r="K1789" i="3"/>
  <c r="I183" i="32"/>
  <c r="I184" i="32" s="1"/>
  <c r="E45" i="30"/>
  <c r="E46" i="30"/>
  <c r="I173" i="32"/>
  <c r="I174" i="32" s="1"/>
  <c r="F792" i="1"/>
  <c r="R137" i="3"/>
  <c r="R101" i="3"/>
  <c r="R110" i="3"/>
  <c r="R111" i="3"/>
  <c r="R113" i="3"/>
  <c r="R114" i="3"/>
  <c r="R124" i="3"/>
  <c r="R125" i="3"/>
  <c r="R126" i="3"/>
  <c r="R138" i="3"/>
  <c r="K172" i="31" l="1"/>
  <c r="I156" i="34"/>
  <c r="Y156" i="34" s="1"/>
  <c r="V792" i="1"/>
  <c r="E49" i="30"/>
  <c r="L123" i="21"/>
  <c r="J146" i="1"/>
  <c r="J147" i="1"/>
  <c r="J149" i="1"/>
  <c r="J150" i="1"/>
  <c r="J161" i="1"/>
  <c r="J165" i="1"/>
  <c r="J166" i="1"/>
  <c r="J181" i="1"/>
  <c r="J182" i="1"/>
  <c r="J189" i="1"/>
  <c r="J190" i="1"/>
  <c r="J193" i="1"/>
  <c r="J194" i="1"/>
  <c r="J201" i="1"/>
  <c r="J202" i="1"/>
  <c r="J204" i="1"/>
  <c r="J205" i="1"/>
  <c r="J207" i="1"/>
  <c r="J208" i="1"/>
  <c r="J209" i="1"/>
  <c r="J213" i="1"/>
  <c r="J217" i="1"/>
  <c r="J218" i="1"/>
  <c r="J220" i="1"/>
  <c r="J221" i="1"/>
  <c r="J227" i="1"/>
  <c r="J239" i="1"/>
  <c r="J240" i="1"/>
  <c r="J241" i="1"/>
  <c r="J248" i="1"/>
  <c r="J249" i="1"/>
  <c r="J267" i="1"/>
  <c r="J268" i="1"/>
  <c r="F16" i="29" l="1"/>
  <c r="F1035" i="5"/>
  <c r="F966" i="3"/>
  <c r="K485" i="31" s="1"/>
  <c r="F963" i="3"/>
  <c r="K483" i="31" s="1"/>
  <c r="F961" i="3"/>
  <c r="K482" i="31" s="1"/>
  <c r="F951" i="3"/>
  <c r="F950" i="3"/>
  <c r="F949" i="3"/>
  <c r="F945" i="3"/>
  <c r="K478" i="31" s="1"/>
  <c r="F940" i="3"/>
  <c r="K477" i="31" s="1"/>
  <c r="F937" i="3"/>
  <c r="F936" i="3"/>
  <c r="K476" i="31" l="1"/>
  <c r="K479" i="31"/>
  <c r="F969" i="3"/>
  <c r="F18" i="29"/>
  <c r="K1058" i="31"/>
  <c r="K1055" i="31" s="1"/>
  <c r="F237" i="3"/>
  <c r="F774" i="3"/>
  <c r="S774" i="3" s="1"/>
  <c r="F773" i="3"/>
  <c r="S773" i="3" s="1"/>
  <c r="F772" i="3"/>
  <c r="S772" i="3" s="1"/>
  <c r="A79" i="27"/>
  <c r="A73" i="27"/>
  <c r="A74" i="27"/>
  <c r="A75" i="27"/>
  <c r="A76" i="27"/>
  <c r="A77" i="27"/>
  <c r="A78" i="27"/>
  <c r="A69" i="27"/>
  <c r="A70" i="27"/>
  <c r="A71" i="27"/>
  <c r="A72" i="27"/>
  <c r="A65" i="27"/>
  <c r="A66" i="27"/>
  <c r="A67" i="27"/>
  <c r="A68" i="27"/>
  <c r="A39" i="27"/>
  <c r="A40" i="27"/>
  <c r="A41" i="27"/>
  <c r="A42" i="27"/>
  <c r="A43" i="27"/>
  <c r="A44" i="27"/>
  <c r="A45" i="27"/>
  <c r="A46" i="27"/>
  <c r="A47" i="27"/>
  <c r="A48" i="27"/>
  <c r="A49" i="27"/>
  <c r="A50" i="27"/>
  <c r="A51" i="27"/>
  <c r="A52" i="27"/>
  <c r="A53" i="27"/>
  <c r="A54" i="27"/>
  <c r="A55" i="27"/>
  <c r="A56" i="27"/>
  <c r="A57" i="27"/>
  <c r="A58" i="27"/>
  <c r="A59" i="27"/>
  <c r="A60" i="27"/>
  <c r="A61" i="27"/>
  <c r="A62" i="27"/>
  <c r="A63" i="27"/>
  <c r="A64" i="27"/>
  <c r="A38" i="27"/>
  <c r="A4" i="27"/>
  <c r="A5" i="27"/>
  <c r="A6" i="27"/>
  <c r="A7" i="27"/>
  <c r="A8" i="27"/>
  <c r="A9" i="27"/>
  <c r="A10" i="27"/>
  <c r="A11" i="27"/>
  <c r="A12" i="27"/>
  <c r="A13" i="27"/>
  <c r="A14" i="27"/>
  <c r="A15" i="27"/>
  <c r="A16" i="27"/>
  <c r="A17" i="27"/>
  <c r="A18" i="27"/>
  <c r="A19" i="27"/>
  <c r="A20" i="27"/>
  <c r="A21" i="27"/>
  <c r="A22" i="27"/>
  <c r="A23" i="27"/>
  <c r="A24" i="27"/>
  <c r="A25" i="27"/>
  <c r="A26" i="27"/>
  <c r="A27" i="27"/>
  <c r="A28" i="27"/>
  <c r="A29" i="27"/>
  <c r="A30" i="27"/>
  <c r="A31" i="27"/>
  <c r="A32" i="27"/>
  <c r="A33" i="27"/>
  <c r="A34" i="27"/>
  <c r="A35" i="27"/>
  <c r="A36" i="27"/>
  <c r="A3" i="27"/>
  <c r="L13" i="26"/>
  <c r="D13" i="26"/>
  <c r="D25" i="26"/>
  <c r="D16" i="26"/>
  <c r="D23" i="26"/>
  <c r="D22" i="26"/>
  <c r="D21" i="26"/>
  <c r="D20" i="26"/>
  <c r="D19" i="26"/>
  <c r="D18" i="26"/>
  <c r="D17" i="26"/>
  <c r="D24" i="26"/>
  <c r="D15" i="26"/>
  <c r="D14" i="26"/>
  <c r="D26" i="26"/>
  <c r="D35" i="25"/>
  <c r="L32" i="25"/>
  <c r="D32" i="25"/>
  <c r="D31" i="25"/>
  <c r="D30" i="25"/>
  <c r="D29" i="25"/>
  <c r="D28" i="25"/>
  <c r="D27" i="25"/>
  <c r="D26" i="25"/>
  <c r="D25" i="25"/>
  <c r="D24" i="25"/>
  <c r="D23" i="25"/>
  <c r="D22" i="25"/>
  <c r="D21" i="25"/>
  <c r="D20" i="25"/>
  <c r="D19" i="25"/>
  <c r="D18" i="25"/>
  <c r="D17" i="25"/>
  <c r="D16" i="25"/>
  <c r="D33" i="25"/>
  <c r="D15" i="25"/>
  <c r="D14" i="25"/>
  <c r="D13" i="25"/>
  <c r="D34" i="25"/>
  <c r="D52" i="24"/>
  <c r="B77" i="27" s="1"/>
  <c r="D51" i="24"/>
  <c r="B76" i="27" s="1"/>
  <c r="D50" i="24"/>
  <c r="B75" i="27" s="1"/>
  <c r="D54" i="24"/>
  <c r="B79" i="27" s="1"/>
  <c r="D49" i="24"/>
  <c r="B74" i="27" s="1"/>
  <c r="D48" i="24"/>
  <c r="B73" i="27" s="1"/>
  <c r="D47" i="24"/>
  <c r="B72" i="27" s="1"/>
  <c r="D46" i="24"/>
  <c r="B71" i="27" s="1"/>
  <c r="D45" i="24"/>
  <c r="B70" i="27" s="1"/>
  <c r="D44" i="24"/>
  <c r="B69" i="27" s="1"/>
  <c r="D43" i="24"/>
  <c r="B68" i="27" s="1"/>
  <c r="D42" i="24"/>
  <c r="B67" i="27" s="1"/>
  <c r="D41" i="24"/>
  <c r="B66" i="27" s="1"/>
  <c r="D40" i="24"/>
  <c r="B65" i="27" s="1"/>
  <c r="D39" i="24"/>
  <c r="B64" i="27" s="1"/>
  <c r="D38" i="24"/>
  <c r="B63" i="27" s="1"/>
  <c r="D37" i="24"/>
  <c r="B62" i="27" s="1"/>
  <c r="D36" i="24"/>
  <c r="B61" i="27" s="1"/>
  <c r="D35" i="24"/>
  <c r="B60" i="27" s="1"/>
  <c r="D34" i="24"/>
  <c r="B59" i="27" s="1"/>
  <c r="D33" i="24"/>
  <c r="B58" i="27" s="1"/>
  <c r="D32" i="24"/>
  <c r="B57" i="27" s="1"/>
  <c r="D31" i="24"/>
  <c r="B56" i="27" s="1"/>
  <c r="D30" i="24"/>
  <c r="B55" i="27" s="1"/>
  <c r="D29" i="24"/>
  <c r="B54" i="27" s="1"/>
  <c r="D28" i="24"/>
  <c r="B53" i="27" s="1"/>
  <c r="D27" i="24"/>
  <c r="B52" i="27" s="1"/>
  <c r="D26" i="24"/>
  <c r="B51" i="27" s="1"/>
  <c r="D25" i="24"/>
  <c r="B50" i="27" s="1"/>
  <c r="D24" i="24"/>
  <c r="B49" i="27" s="1"/>
  <c r="D23" i="24"/>
  <c r="B48" i="27" s="1"/>
  <c r="D22" i="24"/>
  <c r="B47" i="27" s="1"/>
  <c r="D21" i="24"/>
  <c r="B46" i="27" s="1"/>
  <c r="D53" i="24"/>
  <c r="B78" i="27" s="1"/>
  <c r="D20" i="24"/>
  <c r="B45" i="27" s="1"/>
  <c r="D19" i="24"/>
  <c r="B44" i="27" s="1"/>
  <c r="D18" i="24"/>
  <c r="B43" i="27" s="1"/>
  <c r="D17" i="24"/>
  <c r="B42" i="27" s="1"/>
  <c r="D16" i="24"/>
  <c r="B41" i="27" s="1"/>
  <c r="D15" i="24"/>
  <c r="B40" i="27" s="1"/>
  <c r="D14" i="24"/>
  <c r="B39" i="27" s="1"/>
  <c r="D13" i="24"/>
  <c r="B38" i="27" s="1"/>
  <c r="B13" i="24"/>
  <c r="D46" i="23"/>
  <c r="B36" i="27" s="1"/>
  <c r="D45" i="23"/>
  <c r="B35" i="27" s="1"/>
  <c r="D44" i="23"/>
  <c r="B34" i="27" s="1"/>
  <c r="D43" i="23"/>
  <c r="B33" i="27" s="1"/>
  <c r="D42" i="23"/>
  <c r="B32" i="27" s="1"/>
  <c r="D41" i="23"/>
  <c r="B31" i="27" s="1"/>
  <c r="D40" i="23"/>
  <c r="B30" i="27" s="1"/>
  <c r="D39" i="23"/>
  <c r="B29" i="27" s="1"/>
  <c r="D38" i="23"/>
  <c r="B28" i="27" s="1"/>
  <c r="D37" i="23"/>
  <c r="B27" i="27" s="1"/>
  <c r="D36" i="23"/>
  <c r="B26" i="27" s="1"/>
  <c r="D35" i="23"/>
  <c r="B25" i="27" s="1"/>
  <c r="D34" i="23"/>
  <c r="B24" i="27" s="1"/>
  <c r="D33" i="23"/>
  <c r="B23" i="27" s="1"/>
  <c r="D32" i="23"/>
  <c r="B22" i="27" s="1"/>
  <c r="D31" i="23"/>
  <c r="B21" i="27" s="1"/>
  <c r="D30" i="23"/>
  <c r="B20" i="27" s="1"/>
  <c r="D29" i="23"/>
  <c r="B19" i="27" s="1"/>
  <c r="D28" i="23"/>
  <c r="B18" i="27" s="1"/>
  <c r="D27" i="23"/>
  <c r="B17" i="27" s="1"/>
  <c r="D26" i="23"/>
  <c r="B16" i="27" s="1"/>
  <c r="D25" i="23"/>
  <c r="B15" i="27" s="1"/>
  <c r="D24" i="23"/>
  <c r="B14" i="27" s="1"/>
  <c r="D23" i="23"/>
  <c r="B13" i="27" s="1"/>
  <c r="D22" i="23"/>
  <c r="B12" i="27" s="1"/>
  <c r="D21" i="23"/>
  <c r="B11" i="27" s="1"/>
  <c r="D20" i="23"/>
  <c r="B10" i="27" s="1"/>
  <c r="D19" i="23"/>
  <c r="B9" i="27" s="1"/>
  <c r="D18" i="23"/>
  <c r="B8" i="27" s="1"/>
  <c r="D17" i="23"/>
  <c r="B7" i="27" s="1"/>
  <c r="D16" i="23"/>
  <c r="B6" i="27" s="1"/>
  <c r="D15" i="23"/>
  <c r="B5" i="27" s="1"/>
  <c r="D14" i="23"/>
  <c r="B4" i="27" s="1"/>
  <c r="D13" i="23"/>
  <c r="B3" i="27" s="1"/>
  <c r="B13" i="23"/>
  <c r="L38" i="22"/>
  <c r="D38" i="22"/>
  <c r="D41" i="22"/>
  <c r="D43" i="22"/>
  <c r="D42" i="22"/>
  <c r="D40" i="22"/>
  <c r="D39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B11" i="22"/>
  <c r="F2132" i="3"/>
  <c r="K2132" i="3" s="1"/>
  <c r="F2133" i="3"/>
  <c r="K2133" i="3" s="1"/>
  <c r="F2131" i="3"/>
  <c r="D90" i="21"/>
  <c r="B77" i="28" s="1"/>
  <c r="F2145" i="3"/>
  <c r="K716" i="31" s="1"/>
  <c r="F2143" i="3"/>
  <c r="K715" i="31" s="1"/>
  <c r="F2140" i="3"/>
  <c r="K713" i="31" s="1"/>
  <c r="F2139" i="3"/>
  <c r="K2139" i="3" s="1"/>
  <c r="F2138" i="3"/>
  <c r="K712" i="31" s="1"/>
  <c r="F2137" i="3"/>
  <c r="K2137" i="3" s="1"/>
  <c r="F2136" i="3"/>
  <c r="K2136" i="3" s="1"/>
  <c r="C2135" i="3"/>
  <c r="F2135" i="3" s="1"/>
  <c r="K710" i="31" s="1"/>
  <c r="F2128" i="3"/>
  <c r="K707" i="31" s="1"/>
  <c r="F2127" i="3"/>
  <c r="K2127" i="3" s="1"/>
  <c r="F2126" i="3"/>
  <c r="K2126" i="3" s="1"/>
  <c r="F2125" i="3"/>
  <c r="K2125" i="3" s="1"/>
  <c r="F2124" i="3"/>
  <c r="K2124" i="3" s="1"/>
  <c r="F2123" i="3"/>
  <c r="K2123" i="3" s="1"/>
  <c r="F2122" i="3"/>
  <c r="K2122" i="3" s="1"/>
  <c r="F2121" i="3"/>
  <c r="K2121" i="3" s="1"/>
  <c r="F2120" i="3"/>
  <c r="K2120" i="3" s="1"/>
  <c r="F2119" i="3"/>
  <c r="K2119" i="3" s="1"/>
  <c r="F2118" i="3"/>
  <c r="K2118" i="3" s="1"/>
  <c r="F2117" i="3"/>
  <c r="K2117" i="3" s="1"/>
  <c r="F2116" i="3"/>
  <c r="K2116" i="3" s="1"/>
  <c r="F2115" i="3"/>
  <c r="K2115" i="3" s="1"/>
  <c r="F2114" i="3"/>
  <c r="F2112" i="3"/>
  <c r="K2112" i="3" s="1"/>
  <c r="F2111" i="3"/>
  <c r="F2109" i="3"/>
  <c r="K2109" i="3" s="1"/>
  <c r="F2108" i="3"/>
  <c r="K2108" i="3" s="1"/>
  <c r="F2107" i="3"/>
  <c r="K2107" i="3" s="1"/>
  <c r="F2106" i="3"/>
  <c r="K2106" i="3" s="1"/>
  <c r="F2105" i="3"/>
  <c r="K2105" i="3" s="1"/>
  <c r="F2104" i="3"/>
  <c r="K2104" i="3" s="1"/>
  <c r="F2103" i="3"/>
  <c r="K2103" i="3" s="1"/>
  <c r="F2102" i="3"/>
  <c r="K2102" i="3" s="1"/>
  <c r="F2101" i="3"/>
  <c r="F2099" i="3"/>
  <c r="K2099" i="3" s="1"/>
  <c r="F2098" i="3"/>
  <c r="F2096" i="3"/>
  <c r="K2096" i="3" s="1"/>
  <c r="F2095" i="3"/>
  <c r="K2095" i="3" s="1"/>
  <c r="F2094" i="3"/>
  <c r="K2101" i="3" l="1"/>
  <c r="K704" i="31"/>
  <c r="K2111" i="3"/>
  <c r="K705" i="31"/>
  <c r="K2098" i="3"/>
  <c r="K703" i="31"/>
  <c r="K2094" i="3"/>
  <c r="K702" i="31"/>
  <c r="K2114" i="3"/>
  <c r="K706" i="31"/>
  <c r="K2131" i="3"/>
  <c r="K709" i="31"/>
  <c r="L68" i="21"/>
  <c r="M473" i="31"/>
  <c r="I18" i="29"/>
  <c r="E9" i="30" s="1"/>
  <c r="J30" i="30"/>
  <c r="K30" i="30" s="1"/>
  <c r="K2135" i="3"/>
  <c r="K2140" i="3"/>
  <c r="K2143" i="3"/>
  <c r="K2128" i="3"/>
  <c r="K2138" i="3"/>
  <c r="K2145" i="3"/>
  <c r="X9" i="30"/>
  <c r="M1053" i="31" s="1"/>
  <c r="I2" i="29"/>
  <c r="K1053" i="31"/>
  <c r="I277" i="32" s="1"/>
  <c r="I279" i="32"/>
  <c r="I280" i="32" s="1"/>
  <c r="I15" i="30"/>
  <c r="I16" i="30" s="1"/>
  <c r="L132" i="21"/>
  <c r="K473" i="31"/>
  <c r="K969" i="3"/>
  <c r="D32" i="21"/>
  <c r="B23" i="28" s="1"/>
  <c r="F867" i="1"/>
  <c r="F866" i="1"/>
  <c r="F863" i="1"/>
  <c r="F864" i="1" s="1"/>
  <c r="I172" i="34" s="1"/>
  <c r="Y172" i="34" s="1"/>
  <c r="D66" i="21"/>
  <c r="B56" i="28" s="1"/>
  <c r="F866" i="3"/>
  <c r="K462" i="31" s="1"/>
  <c r="F863" i="3"/>
  <c r="K461" i="31" s="1"/>
  <c r="F860" i="3"/>
  <c r="K460" i="31" s="1"/>
  <c r="F890" i="3"/>
  <c r="F891" i="3"/>
  <c r="F894" i="3"/>
  <c r="K467" i="31" s="1"/>
  <c r="F897" i="3"/>
  <c r="K468" i="31" s="1"/>
  <c r="F900" i="3"/>
  <c r="D92" i="21"/>
  <c r="B79" i="28" s="1"/>
  <c r="D122" i="21"/>
  <c r="F145" i="2"/>
  <c r="F144" i="2"/>
  <c r="F143" i="2"/>
  <c r="F142" i="2"/>
  <c r="F141" i="2"/>
  <c r="F140" i="2"/>
  <c r="F135" i="2"/>
  <c r="F134" i="2"/>
  <c r="F133" i="2"/>
  <c r="F130" i="2"/>
  <c r="K987" i="31" s="1"/>
  <c r="F127" i="2"/>
  <c r="K986" i="31" s="1"/>
  <c r="I145" i="32" l="1"/>
  <c r="I146" i="32" s="1"/>
  <c r="N473" i="31"/>
  <c r="W9" i="30"/>
  <c r="Y9" i="30" s="1"/>
  <c r="K990" i="31"/>
  <c r="K988" i="31"/>
  <c r="I201" i="32"/>
  <c r="I202" i="32" s="1"/>
  <c r="K466" i="31"/>
  <c r="K457" i="31"/>
  <c r="I141" i="32" s="1"/>
  <c r="I142" i="32" s="1"/>
  <c r="L48" i="24"/>
  <c r="L90" i="21"/>
  <c r="C77" i="28" s="1"/>
  <c r="F147" i="2"/>
  <c r="F65" i="30" s="1"/>
  <c r="F66" i="30" s="1"/>
  <c r="B107" i="28"/>
  <c r="B107" i="27"/>
  <c r="F869" i="1"/>
  <c r="I173" i="34" s="1"/>
  <c r="F869" i="3"/>
  <c r="K188" i="31"/>
  <c r="C118" i="28"/>
  <c r="D123" i="21"/>
  <c r="F170" i="2"/>
  <c r="F171" i="2" s="1"/>
  <c r="F172" i="2" s="1"/>
  <c r="C109" i="28" s="1"/>
  <c r="D56" i="21"/>
  <c r="B46" i="28" s="1"/>
  <c r="F430" i="3"/>
  <c r="F429" i="3"/>
  <c r="F425" i="3"/>
  <c r="F424" i="3"/>
  <c r="F420" i="3"/>
  <c r="F419" i="3"/>
  <c r="F418" i="3"/>
  <c r="F415" i="3"/>
  <c r="K362" i="31" s="1"/>
  <c r="F412" i="3"/>
  <c r="K360" i="31" s="1"/>
  <c r="F410" i="3"/>
  <c r="I169" i="34" l="1"/>
  <c r="Y169" i="34" s="1"/>
  <c r="Y173" i="34"/>
  <c r="K367" i="31"/>
  <c r="K369" i="31"/>
  <c r="K359" i="31"/>
  <c r="F431" i="3"/>
  <c r="K364" i="31"/>
  <c r="K983" i="31"/>
  <c r="I261" i="32" s="1"/>
  <c r="I262" i="32" s="1"/>
  <c r="I147" i="2"/>
  <c r="I17" i="30"/>
  <c r="I18" i="30" s="1"/>
  <c r="K189" i="31"/>
  <c r="K185" i="31" s="1"/>
  <c r="I77" i="32" s="1"/>
  <c r="I78" i="32" s="1"/>
  <c r="S869" i="3"/>
  <c r="M457" i="31"/>
  <c r="L40" i="22"/>
  <c r="L15" i="26"/>
  <c r="L122" i="21"/>
  <c r="C107" i="28" s="1"/>
  <c r="F871" i="1"/>
  <c r="B109" i="27"/>
  <c r="B109" i="28"/>
  <c r="B108" i="28"/>
  <c r="B108" i="27"/>
  <c r="C108" i="28"/>
  <c r="L24" i="26"/>
  <c r="L42" i="22"/>
  <c r="L17" i="26"/>
  <c r="B118" i="28"/>
  <c r="B118" i="27"/>
  <c r="L66" i="21"/>
  <c r="C56" i="28" s="1"/>
  <c r="L23" i="22"/>
  <c r="L30" i="24"/>
  <c r="F109" i="5"/>
  <c r="D131" i="21"/>
  <c r="F520" i="2"/>
  <c r="F519" i="2"/>
  <c r="F518" i="2"/>
  <c r="F517" i="2"/>
  <c r="F516" i="2"/>
  <c r="F515" i="2"/>
  <c r="F514" i="2"/>
  <c r="F513" i="2"/>
  <c r="F512" i="2"/>
  <c r="F511" i="2"/>
  <c r="F510" i="2"/>
  <c r="F509" i="2"/>
  <c r="F508" i="2"/>
  <c r="F507" i="2"/>
  <c r="F506" i="2"/>
  <c r="F505" i="2"/>
  <c r="F504" i="2"/>
  <c r="F500" i="2"/>
  <c r="F498" i="2"/>
  <c r="F497" i="2"/>
  <c r="F496" i="2"/>
  <c r="F492" i="2"/>
  <c r="F488" i="2"/>
  <c r="D50" i="21"/>
  <c r="B40" i="28" s="1"/>
  <c r="F211" i="3"/>
  <c r="K327" i="31" s="1"/>
  <c r="F208" i="3"/>
  <c r="K325" i="31" s="1"/>
  <c r="C206" i="3"/>
  <c r="F206" i="3" s="1"/>
  <c r="F205" i="3"/>
  <c r="F203" i="3"/>
  <c r="F202" i="3"/>
  <c r="F200" i="3"/>
  <c r="F199" i="3"/>
  <c r="B94" i="21"/>
  <c r="D94" i="21"/>
  <c r="F18" i="5"/>
  <c r="F20" i="5" s="1"/>
  <c r="F21" i="5" s="1"/>
  <c r="D91" i="21"/>
  <c r="B78" i="28" s="1"/>
  <c r="F2278" i="3"/>
  <c r="F2277" i="3"/>
  <c r="F2276" i="3"/>
  <c r="F2275" i="3"/>
  <c r="F2269" i="3"/>
  <c r="F2266" i="3"/>
  <c r="F2267" i="3" s="1"/>
  <c r="F480" i="3"/>
  <c r="S480" i="3" s="1"/>
  <c r="D61" i="21"/>
  <c r="B51" i="28" s="1"/>
  <c r="F635" i="3"/>
  <c r="F634" i="3"/>
  <c r="C631" i="3"/>
  <c r="F631" i="3" s="1"/>
  <c r="F624" i="3"/>
  <c r="F620" i="3"/>
  <c r="F617" i="3"/>
  <c r="F2270" i="3" l="1"/>
  <c r="K741" i="31" s="1"/>
  <c r="F2279" i="3"/>
  <c r="K742" i="31" s="1"/>
  <c r="K356" i="31"/>
  <c r="K322" i="31"/>
  <c r="K324" i="31"/>
  <c r="S871" i="1"/>
  <c r="K323" i="31"/>
  <c r="J109" i="5"/>
  <c r="K379" i="31"/>
  <c r="L33" i="23"/>
  <c r="L32" i="21"/>
  <c r="C23" i="28" s="1"/>
  <c r="F213" i="3"/>
  <c r="S213" i="3" s="1"/>
  <c r="B117" i="27"/>
  <c r="B117" i="28"/>
  <c r="L94" i="21"/>
  <c r="L34" i="25"/>
  <c r="B81" i="28"/>
  <c r="B81" i="27"/>
  <c r="K740" i="31"/>
  <c r="F521" i="2"/>
  <c r="F637" i="3"/>
  <c r="K319" i="31" l="1"/>
  <c r="I111" i="32" s="1"/>
  <c r="I112" i="32" s="1"/>
  <c r="C81" i="28"/>
  <c r="K737" i="31"/>
  <c r="I203" i="32" s="1"/>
  <c r="I204" i="32" s="1"/>
  <c r="L131" i="21"/>
  <c r="C117" i="28" s="1"/>
  <c r="L25" i="26"/>
  <c r="F2280" i="3"/>
  <c r="T2280" i="3" s="1"/>
  <c r="L61" i="21"/>
  <c r="C51" i="28" s="1"/>
  <c r="L25" i="24"/>
  <c r="L18" i="22"/>
  <c r="L50" i="21"/>
  <c r="C40" i="28" s="1"/>
  <c r="L13" i="22"/>
  <c r="L15" i="24"/>
  <c r="D49" i="21"/>
  <c r="B39" i="28" s="1"/>
  <c r="F174" i="3"/>
  <c r="K318" i="31" s="1"/>
  <c r="F171" i="3"/>
  <c r="K316" i="31" s="1"/>
  <c r="F169" i="3"/>
  <c r="K315" i="31" s="1"/>
  <c r="F167" i="3"/>
  <c r="K314" i="31" s="1"/>
  <c r="K311" i="31" l="1"/>
  <c r="L49" i="24"/>
  <c r="L91" i="21"/>
  <c r="C78" i="28" s="1"/>
  <c r="F176" i="3"/>
  <c r="M176" i="3" s="1"/>
  <c r="D33" i="21"/>
  <c r="B24" i="28" s="1"/>
  <c r="F902" i="1"/>
  <c r="F901" i="1"/>
  <c r="F897" i="1"/>
  <c r="F899" i="1" s="1"/>
  <c r="F894" i="1"/>
  <c r="F895" i="1" s="1"/>
  <c r="I177" i="34" s="1"/>
  <c r="D85" i="21"/>
  <c r="B73" i="28" s="1"/>
  <c r="D84" i="21"/>
  <c r="B72" i="28" s="1"/>
  <c r="D83" i="21"/>
  <c r="B71" i="28" s="1"/>
  <c r="D87" i="21"/>
  <c r="B74" i="28" s="1"/>
  <c r="D88" i="21"/>
  <c r="B75" i="28" s="1"/>
  <c r="D89" i="21"/>
  <c r="B76" i="28" s="1"/>
  <c r="K194" i="31" l="1"/>
  <c r="I178" i="34"/>
  <c r="Y178" i="34" s="1"/>
  <c r="Y177" i="34"/>
  <c r="I109" i="32"/>
  <c r="I110" i="32" s="1"/>
  <c r="M311" i="31"/>
  <c r="K193" i="31"/>
  <c r="F904" i="1"/>
  <c r="L49" i="21"/>
  <c r="C39" i="28" s="1"/>
  <c r="L12" i="22"/>
  <c r="L14" i="24"/>
  <c r="K195" i="31" l="1"/>
  <c r="K190" i="31" s="1"/>
  <c r="I79" i="32" s="1"/>
  <c r="I80" i="32" s="1"/>
  <c r="I179" i="34"/>
  <c r="Y179" i="34" s="1"/>
  <c r="F906" i="1"/>
  <c r="I174" i="34" l="1"/>
  <c r="Y174" i="34" s="1"/>
  <c r="Q3" i="1"/>
  <c r="M5" i="30" s="1"/>
  <c r="T906" i="1"/>
  <c r="L33" i="21"/>
  <c r="C24" i="28" s="1"/>
  <c r="L34" i="23"/>
  <c r="L84" i="21"/>
  <c r="C72" i="28" s="1"/>
  <c r="L51" i="24"/>
  <c r="L85" i="21"/>
  <c r="C73" i="28" s="1"/>
  <c r="L52" i="24"/>
  <c r="L83" i="21"/>
  <c r="C71" i="28" s="1"/>
  <c r="L50" i="24"/>
  <c r="L115" i="21"/>
  <c r="C102" i="28" s="1"/>
  <c r="D78" i="21" l="1"/>
  <c r="B67" i="28" s="1"/>
  <c r="F1449" i="3"/>
  <c r="K589" i="31" s="1"/>
  <c r="F1446" i="3"/>
  <c r="F1445" i="3"/>
  <c r="F1444" i="3"/>
  <c r="F1440" i="3"/>
  <c r="K586" i="31" s="1"/>
  <c r="F1437" i="3"/>
  <c r="K585" i="31" s="1"/>
  <c r="F1434" i="3"/>
  <c r="F1433" i="3"/>
  <c r="F1432" i="3"/>
  <c r="F1431" i="3"/>
  <c r="D79" i="21"/>
  <c r="B68" i="28" s="1"/>
  <c r="F1490" i="3"/>
  <c r="K597" i="31" s="1"/>
  <c r="F1487" i="3"/>
  <c r="K595" i="31" s="1"/>
  <c r="F1484" i="3"/>
  <c r="K594" i="31" s="1"/>
  <c r="F1480" i="3"/>
  <c r="F1479" i="3"/>
  <c r="F1478" i="3"/>
  <c r="F1477" i="3"/>
  <c r="F1476" i="3"/>
  <c r="D116" i="21"/>
  <c r="F1047" i="5"/>
  <c r="K959" i="31" s="1"/>
  <c r="F1044" i="5"/>
  <c r="K958" i="31" s="1"/>
  <c r="F1040" i="5"/>
  <c r="K957" i="31" s="1"/>
  <c r="F1037" i="5"/>
  <c r="K956" i="31" s="1"/>
  <c r="D73" i="21"/>
  <c r="B62" i="28" s="1"/>
  <c r="F1191" i="3"/>
  <c r="K546" i="31" s="1"/>
  <c r="F1187" i="3"/>
  <c r="K544" i="31" s="1"/>
  <c r="F1183" i="3"/>
  <c r="F1182" i="3"/>
  <c r="F1181" i="3"/>
  <c r="K593" i="31" l="1"/>
  <c r="K590" i="31" s="1"/>
  <c r="I167" i="32" s="1"/>
  <c r="I168" i="32" s="1"/>
  <c r="F1048" i="5"/>
  <c r="K955" i="31"/>
  <c r="K952" i="31" s="1"/>
  <c r="I254" i="32" s="1"/>
  <c r="I255" i="32" s="1"/>
  <c r="K584" i="31"/>
  <c r="K543" i="31"/>
  <c r="K540" i="31" s="1"/>
  <c r="I157" i="32" s="1"/>
  <c r="I158" i="32" s="1"/>
  <c r="K588" i="31"/>
  <c r="B103" i="27"/>
  <c r="B103" i="28"/>
  <c r="F1453" i="3"/>
  <c r="S1453" i="3" s="1"/>
  <c r="F1493" i="3"/>
  <c r="S1493" i="3" s="1"/>
  <c r="F1193" i="3"/>
  <c r="M1193" i="3" s="1"/>
  <c r="M4" i="3" s="1"/>
  <c r="H6" i="30" s="1"/>
  <c r="M2" i="3" s="1"/>
  <c r="K581" i="31" l="1"/>
  <c r="I165" i="32" s="1"/>
  <c r="I166" i="32" s="1"/>
  <c r="J1048" i="5"/>
  <c r="L116" i="21"/>
  <c r="C103" i="28" s="1"/>
  <c r="L35" i="25"/>
  <c r="L73" i="21"/>
  <c r="C62" i="28" s="1"/>
  <c r="L29" i="22"/>
  <c r="L36" i="24"/>
  <c r="L79" i="21"/>
  <c r="C68" i="28" s="1"/>
  <c r="L42" i="24"/>
  <c r="L34" i="22"/>
  <c r="L78" i="21"/>
  <c r="C67" i="28" s="1"/>
  <c r="L33" i="22"/>
  <c r="L41" i="24"/>
  <c r="D112" i="21"/>
  <c r="F872" i="5"/>
  <c r="D111" i="21"/>
  <c r="D110" i="21"/>
  <c r="D109" i="21"/>
  <c r="D108" i="21"/>
  <c r="D107" i="21"/>
  <c r="D106" i="21"/>
  <c r="D105" i="21"/>
  <c r="D104" i="21"/>
  <c r="D103" i="21"/>
  <c r="D100" i="21"/>
  <c r="D22" i="21"/>
  <c r="B13" i="28" s="1"/>
  <c r="F535" i="1"/>
  <c r="F533" i="1"/>
  <c r="F532" i="1"/>
  <c r="F531" i="1"/>
  <c r="F527" i="1"/>
  <c r="F524" i="1"/>
  <c r="F523" i="1"/>
  <c r="C522" i="1"/>
  <c r="F522" i="1" s="1"/>
  <c r="F520" i="1"/>
  <c r="F519" i="1"/>
  <c r="I117" i="34" s="1"/>
  <c r="D20" i="21"/>
  <c r="B11" i="28" s="1"/>
  <c r="F462" i="1"/>
  <c r="F461" i="1"/>
  <c r="F460" i="1"/>
  <c r="F459" i="1"/>
  <c r="C456" i="1"/>
  <c r="F456" i="1" s="1"/>
  <c r="F453" i="1"/>
  <c r="F111" i="5"/>
  <c r="J111" i="5" s="1"/>
  <c r="F112" i="5"/>
  <c r="J112" i="5" s="1"/>
  <c r="F113" i="5"/>
  <c r="J113" i="5" s="1"/>
  <c r="F114" i="5"/>
  <c r="J114" i="5" s="1"/>
  <c r="F115" i="5"/>
  <c r="J115" i="5" s="1"/>
  <c r="F116" i="5"/>
  <c r="J116" i="5" s="1"/>
  <c r="F110" i="5"/>
  <c r="I118" i="34" l="1"/>
  <c r="Y118" i="34" s="1"/>
  <c r="Y117" i="34"/>
  <c r="K123" i="31"/>
  <c r="I107" i="34"/>
  <c r="K135" i="31"/>
  <c r="I119" i="34"/>
  <c r="Y119" i="34" s="1"/>
  <c r="K138" i="31"/>
  <c r="I122" i="34"/>
  <c r="Y122" i="34" s="1"/>
  <c r="I121" i="34"/>
  <c r="Y121" i="34" s="1"/>
  <c r="K124" i="31"/>
  <c r="I108" i="34"/>
  <c r="Y108" i="34" s="1"/>
  <c r="I109" i="34"/>
  <c r="Y109" i="34" s="1"/>
  <c r="K770" i="31"/>
  <c r="K133" i="31"/>
  <c r="K125" i="31"/>
  <c r="K120" i="31" s="1"/>
  <c r="I54" i="32" s="1"/>
  <c r="I55" i="32" s="1"/>
  <c r="F874" i="5"/>
  <c r="M874" i="5" s="1"/>
  <c r="K907" i="31"/>
  <c r="K904" i="31" s="1"/>
  <c r="I246" i="32" s="1"/>
  <c r="I247" i="32" s="1"/>
  <c r="J110" i="5"/>
  <c r="K134" i="31"/>
  <c r="K137" i="31"/>
  <c r="F538" i="1"/>
  <c r="F465" i="1"/>
  <c r="B92" i="28"/>
  <c r="B92" i="27"/>
  <c r="B96" i="28"/>
  <c r="B96" i="27"/>
  <c r="B99" i="27"/>
  <c r="B99" i="28"/>
  <c r="B87" i="27"/>
  <c r="B87" i="28"/>
  <c r="B93" i="28"/>
  <c r="B93" i="27"/>
  <c r="B97" i="28"/>
  <c r="B97" i="27"/>
  <c r="B90" i="28"/>
  <c r="B90" i="27"/>
  <c r="B94" i="28"/>
  <c r="B94" i="27"/>
  <c r="B98" i="28"/>
  <c r="B98" i="27"/>
  <c r="B91" i="27"/>
  <c r="B91" i="28"/>
  <c r="B95" i="27"/>
  <c r="B95" i="28"/>
  <c r="Y107" i="34" l="1"/>
  <c r="I104" i="34"/>
  <c r="Y104" i="34" s="1"/>
  <c r="I114" i="34"/>
  <c r="Y114" i="34" s="1"/>
  <c r="L112" i="21"/>
  <c r="C99" i="28" s="1"/>
  <c r="L29" i="25"/>
  <c r="K130" i="31"/>
  <c r="I58" i="32" s="1"/>
  <c r="I59" i="32" s="1"/>
  <c r="J465" i="1"/>
  <c r="M120" i="31"/>
  <c r="S538" i="1"/>
  <c r="M130" i="31"/>
  <c r="L23" i="23"/>
  <c r="L20" i="21"/>
  <c r="C11" i="28" s="1"/>
  <c r="L21" i="23"/>
  <c r="L22" i="21"/>
  <c r="C13" i="28" s="1"/>
  <c r="D25" i="21" l="1"/>
  <c r="B16" i="28" s="1"/>
  <c r="D24" i="21"/>
  <c r="B15" i="28" s="1"/>
  <c r="D23" i="21"/>
  <c r="B14" i="28" s="1"/>
  <c r="F629" i="1" l="1"/>
  <c r="I136" i="34" s="1"/>
  <c r="F597" i="1"/>
  <c r="Y136" i="34" l="1"/>
  <c r="I133" i="34"/>
  <c r="Y133" i="34" s="1"/>
  <c r="F642" i="1"/>
  <c r="K642" i="1" s="1"/>
  <c r="K152" i="31"/>
  <c r="K149" i="31" s="1"/>
  <c r="I64" i="32" s="1"/>
  <c r="I65" i="32" s="1"/>
  <c r="M152" i="31"/>
  <c r="C598" i="1"/>
  <c r="F598" i="1" s="1"/>
  <c r="F596" i="1"/>
  <c r="F595" i="1"/>
  <c r="F594" i="1"/>
  <c r="F593" i="1"/>
  <c r="F562" i="1"/>
  <c r="F563" i="1"/>
  <c r="F566" i="1"/>
  <c r="F567" i="1"/>
  <c r="F568" i="1"/>
  <c r="F561" i="1"/>
  <c r="C569" i="1"/>
  <c r="F569" i="1" s="1"/>
  <c r="C564" i="1"/>
  <c r="F564" i="1" s="1"/>
  <c r="F666" i="1"/>
  <c r="F667" i="1"/>
  <c r="F668" i="1"/>
  <c r="F669" i="1"/>
  <c r="F670" i="1"/>
  <c r="F671" i="1"/>
  <c r="F672" i="1"/>
  <c r="D55" i="21"/>
  <c r="B45" i="28" s="1"/>
  <c r="D54" i="21"/>
  <c r="B44" i="28" s="1"/>
  <c r="D53" i="21"/>
  <c r="B43" i="28" s="1"/>
  <c r="D52" i="21"/>
  <c r="B42" i="28" s="1"/>
  <c r="D51" i="21"/>
  <c r="B41" i="28" s="1"/>
  <c r="F384" i="3"/>
  <c r="F383" i="3"/>
  <c r="F380" i="3"/>
  <c r="F381" i="3" s="1"/>
  <c r="F353" i="3"/>
  <c r="F352" i="3"/>
  <c r="F351" i="3"/>
  <c r="F350" i="3"/>
  <c r="F349" i="3"/>
  <c r="F345" i="3"/>
  <c r="F344" i="3"/>
  <c r="F341" i="3"/>
  <c r="F342" i="3" s="1"/>
  <c r="F315" i="3"/>
  <c r="F314" i="3"/>
  <c r="F313" i="3"/>
  <c r="F309" i="3"/>
  <c r="F308" i="3"/>
  <c r="F305" i="3"/>
  <c r="F278" i="3"/>
  <c r="F277" i="3"/>
  <c r="F276" i="3"/>
  <c r="F272" i="3"/>
  <c r="F271" i="3"/>
  <c r="F268" i="3"/>
  <c r="F241" i="3"/>
  <c r="F242" i="3" s="1"/>
  <c r="K332" i="31" s="1"/>
  <c r="F238" i="3"/>
  <c r="F236" i="3"/>
  <c r="D31" i="21"/>
  <c r="B22" i="28" s="1"/>
  <c r="Y167" i="34"/>
  <c r="I140" i="34" l="1"/>
  <c r="I131" i="34"/>
  <c r="F606" i="1"/>
  <c r="F570" i="1"/>
  <c r="I126" i="34"/>
  <c r="I127" i="34"/>
  <c r="Y127" i="34" s="1"/>
  <c r="F385" i="3"/>
  <c r="K355" i="31" s="1"/>
  <c r="L26" i="23"/>
  <c r="K142" i="31"/>
  <c r="L25" i="21"/>
  <c r="C16" i="28" s="1"/>
  <c r="K147" i="31"/>
  <c r="K156" i="31"/>
  <c r="K153" i="31" s="1"/>
  <c r="I66" i="32" s="1"/>
  <c r="I67" i="32" s="1"/>
  <c r="K143" i="31"/>
  <c r="F306" i="3"/>
  <c r="K342" i="31" s="1"/>
  <c r="F674" i="1"/>
  <c r="V674" i="1" s="1"/>
  <c r="V3" i="1" s="1"/>
  <c r="R5" i="30" s="1"/>
  <c r="F311" i="3"/>
  <c r="F354" i="3"/>
  <c r="K350" i="31" s="1"/>
  <c r="F316" i="3"/>
  <c r="K344" i="31" s="1"/>
  <c r="F269" i="3"/>
  <c r="K336" i="31" s="1"/>
  <c r="F347" i="3"/>
  <c r="F274" i="3"/>
  <c r="K348" i="31"/>
  <c r="F280" i="3"/>
  <c r="F239" i="3"/>
  <c r="F646" i="1" l="1"/>
  <c r="Y131" i="34"/>
  <c r="I128" i="34"/>
  <c r="Y128" i="34" s="1"/>
  <c r="Y126" i="34"/>
  <c r="I123" i="34"/>
  <c r="Y123" i="34" s="1"/>
  <c r="I137" i="34"/>
  <c r="Y137" i="34" s="1"/>
  <c r="Y140" i="34"/>
  <c r="Y168" i="34"/>
  <c r="I164" i="34"/>
  <c r="Y164" i="34" s="1"/>
  <c r="K144" i="31"/>
  <c r="I62" i="32" s="1"/>
  <c r="I63" i="32" s="1"/>
  <c r="I3" i="1"/>
  <c r="E5" i="30" s="1"/>
  <c r="K349" i="31"/>
  <c r="K345" i="31" s="1"/>
  <c r="I119" i="32" s="1"/>
  <c r="I120" i="32" s="1"/>
  <c r="K343" i="31"/>
  <c r="K339" i="31" s="1"/>
  <c r="I117" i="32" s="1"/>
  <c r="I118" i="32" s="1"/>
  <c r="K337" i="31"/>
  <c r="K180" i="31"/>
  <c r="I75" i="32" s="1"/>
  <c r="I76" i="32" s="1"/>
  <c r="K139" i="31"/>
  <c r="I60" i="32" s="1"/>
  <c r="I61" i="32" s="1"/>
  <c r="F23" i="30"/>
  <c r="F387" i="3"/>
  <c r="L387" i="3" s="1"/>
  <c r="K354" i="31"/>
  <c r="K351" i="31" s="1"/>
  <c r="F244" i="3"/>
  <c r="J244" i="3" s="1"/>
  <c r="K331" i="31"/>
  <c r="K328" i="31" s="1"/>
  <c r="I113" i="32" s="1"/>
  <c r="I114" i="32" s="1"/>
  <c r="F282" i="3"/>
  <c r="J282" i="3" s="1"/>
  <c r="K338" i="31"/>
  <c r="K570" i="1"/>
  <c r="M139" i="31"/>
  <c r="K606" i="1"/>
  <c r="M144" i="31"/>
  <c r="L27" i="23"/>
  <c r="F318" i="3"/>
  <c r="J318" i="3" s="1"/>
  <c r="F356" i="3"/>
  <c r="L24" i="21"/>
  <c r="C15" i="28" s="1"/>
  <c r="L25" i="23"/>
  <c r="L23" i="21"/>
  <c r="C14" i="28" s="1"/>
  <c r="L24" i="23"/>
  <c r="I121" i="32" l="1"/>
  <c r="I122" i="32" s="1"/>
  <c r="K333" i="31"/>
  <c r="I115" i="32" s="1"/>
  <c r="I116" i="32" s="1"/>
  <c r="M333" i="31"/>
  <c r="L16" i="24"/>
  <c r="L51" i="21"/>
  <c r="C41" i="28" s="1"/>
  <c r="S356" i="3"/>
  <c r="M345" i="31"/>
  <c r="L54" i="21"/>
  <c r="C44" i="28" s="1"/>
  <c r="L19" i="24"/>
  <c r="L55" i="21"/>
  <c r="C45" i="28" s="1"/>
  <c r="L32" i="23"/>
  <c r="L20" i="24"/>
  <c r="L53" i="21"/>
  <c r="C43" i="28" s="1"/>
  <c r="L18" i="24"/>
  <c r="L52" i="21"/>
  <c r="C42" i="28" s="1"/>
  <c r="L17" i="24"/>
  <c r="L31" i="21"/>
  <c r="C22" i="28" s="1"/>
  <c r="D98" i="21"/>
  <c r="F166" i="5"/>
  <c r="K784" i="31" s="1"/>
  <c r="F163" i="5"/>
  <c r="F162" i="5"/>
  <c r="F161" i="5"/>
  <c r="F159" i="5"/>
  <c r="K781" i="31" s="1"/>
  <c r="F152" i="5"/>
  <c r="K779" i="31" s="1"/>
  <c r="F150" i="5"/>
  <c r="K778" i="31" s="1"/>
  <c r="F149" i="5"/>
  <c r="M328" i="31" l="1"/>
  <c r="M330" i="31" s="1"/>
  <c r="K782" i="31"/>
  <c r="K775" i="31" s="1"/>
  <c r="I215" i="32" s="1"/>
  <c r="I216" i="32" s="1"/>
  <c r="B85" i="28"/>
  <c r="B85" i="27"/>
  <c r="F170" i="5"/>
  <c r="J170" i="5" s="1"/>
  <c r="F848" i="5"/>
  <c r="F847" i="5"/>
  <c r="F846" i="5"/>
  <c r="F843" i="5"/>
  <c r="F842" i="5"/>
  <c r="F841" i="5"/>
  <c r="F840" i="5"/>
  <c r="F839" i="5"/>
  <c r="F838" i="5"/>
  <c r="F837" i="5"/>
  <c r="F836" i="5"/>
  <c r="F852" i="5" l="1"/>
  <c r="K896" i="31"/>
  <c r="K901" i="31"/>
  <c r="K897" i="31"/>
  <c r="K898" i="31"/>
  <c r="L98" i="21"/>
  <c r="C85" i="28" s="1"/>
  <c r="L33" i="25"/>
  <c r="M893" i="31" l="1"/>
  <c r="J852" i="5"/>
  <c r="K893" i="31"/>
  <c r="I244" i="32" s="1"/>
  <c r="I245" i="32" s="1"/>
  <c r="L111" i="21"/>
  <c r="C98" i="28" s="1"/>
  <c r="L28" i="25"/>
  <c r="D46" i="21"/>
  <c r="B36" i="28" s="1"/>
  <c r="F1425" i="1"/>
  <c r="F1424" i="1"/>
  <c r="I275" i="34" s="1"/>
  <c r="Y275" i="34" s="1"/>
  <c r="F1422" i="1"/>
  <c r="F1418" i="1"/>
  <c r="F1416" i="1"/>
  <c r="E1415" i="1"/>
  <c r="F1415" i="1" s="1"/>
  <c r="F1413" i="1"/>
  <c r="F1412" i="1"/>
  <c r="F1411" i="1"/>
  <c r="F1410" i="1"/>
  <c r="F1409" i="1"/>
  <c r="F1408" i="1"/>
  <c r="F1407" i="1"/>
  <c r="F1406" i="1"/>
  <c r="F1405" i="1"/>
  <c r="F1402" i="1"/>
  <c r="F1400" i="1"/>
  <c r="I269" i="34" s="1"/>
  <c r="K287" i="31" l="1"/>
  <c r="I271" i="34"/>
  <c r="Y271" i="34" s="1"/>
  <c r="Y269" i="34"/>
  <c r="K288" i="31"/>
  <c r="I272" i="34"/>
  <c r="Y272" i="34" s="1"/>
  <c r="I270" i="34"/>
  <c r="Y270" i="34" s="1"/>
  <c r="K290" i="31"/>
  <c r="I274" i="34"/>
  <c r="Y274" i="34" s="1"/>
  <c r="K291" i="31"/>
  <c r="F1428" i="1"/>
  <c r="K285" i="31"/>
  <c r="K286" i="31"/>
  <c r="D124" i="21"/>
  <c r="F364" i="2"/>
  <c r="K1034" i="31" s="1"/>
  <c r="F361" i="2"/>
  <c r="K1032" i="31" s="1"/>
  <c r="F358" i="2"/>
  <c r="K1030" i="31" s="1"/>
  <c r="F356" i="2"/>
  <c r="F355" i="2"/>
  <c r="F354" i="2"/>
  <c r="F353" i="2"/>
  <c r="I264" i="34" l="1"/>
  <c r="Y264" i="34" s="1"/>
  <c r="K280" i="31"/>
  <c r="K1029" i="31"/>
  <c r="K1026" i="31" s="1"/>
  <c r="J1428" i="1"/>
  <c r="B110" i="28"/>
  <c r="B110" i="27"/>
  <c r="L46" i="21"/>
  <c r="C36" i="28" s="1"/>
  <c r="L46" i="23"/>
  <c r="F366" i="2"/>
  <c r="R366" i="2" s="1"/>
  <c r="R2" i="2" s="1"/>
  <c r="N8" i="30" s="1"/>
  <c r="D99" i="21"/>
  <c r="F202" i="5"/>
  <c r="K792" i="31" s="1"/>
  <c r="F198" i="5"/>
  <c r="F197" i="5"/>
  <c r="F196" i="5"/>
  <c r="F194" i="5"/>
  <c r="K789" i="31" s="1"/>
  <c r="F192" i="5"/>
  <c r="K788" i="31" s="1"/>
  <c r="I103" i="32" l="1"/>
  <c r="I104" i="32" s="1"/>
  <c r="N280" i="31"/>
  <c r="K790" i="31"/>
  <c r="K785" i="31" s="1"/>
  <c r="N1026" i="31"/>
  <c r="I271" i="32"/>
  <c r="I272" i="32" s="1"/>
  <c r="L124" i="21"/>
  <c r="C110" i="28" s="1"/>
  <c r="L43" i="22"/>
  <c r="L18" i="26"/>
  <c r="B86" i="28"/>
  <c r="B86" i="27"/>
  <c r="F211" i="5"/>
  <c r="J211" i="5" s="1"/>
  <c r="I217" i="32" l="1"/>
  <c r="I218" i="32" s="1"/>
  <c r="M786" i="31"/>
  <c r="L99" i="21"/>
  <c r="C86" i="28" s="1"/>
  <c r="L16" i="25"/>
  <c r="F551" i="5"/>
  <c r="K861" i="31" s="1"/>
  <c r="F546" i="5"/>
  <c r="K857" i="31" s="1"/>
  <c r="F541" i="5"/>
  <c r="K853" i="31" s="1"/>
  <c r="K849" i="31" l="1"/>
  <c r="I234" i="32" s="1"/>
  <c r="I236" i="32" s="1"/>
  <c r="F553" i="5"/>
  <c r="J553" i="5" s="1"/>
  <c r="D102" i="21"/>
  <c r="F366" i="5"/>
  <c r="F365" i="5"/>
  <c r="F364" i="5"/>
  <c r="F363" i="5"/>
  <c r="F362" i="5"/>
  <c r="F361" i="5"/>
  <c r="F360" i="5"/>
  <c r="F359" i="5"/>
  <c r="F358" i="5"/>
  <c r="F357" i="5"/>
  <c r="F356" i="5"/>
  <c r="F353" i="5"/>
  <c r="F352" i="5"/>
  <c r="F349" i="5"/>
  <c r="D81" i="21"/>
  <c r="B70" i="28" s="1"/>
  <c r="F1567" i="3"/>
  <c r="F1566" i="3"/>
  <c r="F1565" i="3"/>
  <c r="F1564" i="3"/>
  <c r="F1563" i="3"/>
  <c r="F1562" i="3"/>
  <c r="F1559" i="3"/>
  <c r="F1558" i="3"/>
  <c r="D101" i="21"/>
  <c r="F322" i="5"/>
  <c r="F321" i="5"/>
  <c r="F320" i="5"/>
  <c r="F319" i="5"/>
  <c r="F318" i="5"/>
  <c r="F317" i="5"/>
  <c r="F316" i="5"/>
  <c r="F313" i="5"/>
  <c r="F312" i="5"/>
  <c r="F309" i="5"/>
  <c r="B88" i="28" l="1"/>
  <c r="B88" i="27"/>
  <c r="B89" i="28"/>
  <c r="B89" i="27"/>
  <c r="L107" i="21"/>
  <c r="C94" i="28" s="1"/>
  <c r="L24" i="25"/>
  <c r="F1560" i="3"/>
  <c r="F314" i="5"/>
  <c r="F354" i="5"/>
  <c r="F1556" i="3"/>
  <c r="K609" i="31" s="1"/>
  <c r="F1568" i="3"/>
  <c r="F350" i="5"/>
  <c r="F367" i="5"/>
  <c r="F310" i="5"/>
  <c r="F323" i="5"/>
  <c r="K610" i="31" l="1"/>
  <c r="I594" i="34"/>
  <c r="K611" i="31"/>
  <c r="K606" i="31" s="1"/>
  <c r="I171" i="32" s="1"/>
  <c r="I172" i="32" s="1"/>
  <c r="I595" i="34"/>
  <c r="I590" i="34" s="1"/>
  <c r="F1569" i="3"/>
  <c r="T1569" i="3" s="1"/>
  <c r="F368" i="5"/>
  <c r="K368" i="5" s="1"/>
  <c r="F324" i="5"/>
  <c r="K324" i="5" s="1"/>
  <c r="I276" i="34" l="1"/>
  <c r="Y276" i="34" s="1"/>
  <c r="Y590" i="34"/>
  <c r="K819" i="31"/>
  <c r="K816" i="31" s="1"/>
  <c r="I221" i="32" s="1"/>
  <c r="I222" i="32" s="1"/>
  <c r="K823" i="31"/>
  <c r="K820" i="31" s="1"/>
  <c r="I223" i="32" s="1"/>
  <c r="I224" i="32" s="1"/>
  <c r="L101" i="21"/>
  <c r="C88" i="28" s="1"/>
  <c r="L18" i="25"/>
  <c r="L102" i="21"/>
  <c r="C89" i="28" s="1"/>
  <c r="L19" i="25"/>
  <c r="L81" i="21"/>
  <c r="C70" i="28" s="1"/>
  <c r="L44" i="24"/>
  <c r="D130" i="21"/>
  <c r="D129" i="21"/>
  <c r="D128" i="21"/>
  <c r="D127" i="21"/>
  <c r="D126" i="21"/>
  <c r="D125" i="21"/>
  <c r="D121" i="21"/>
  <c r="D120" i="21"/>
  <c r="B120" i="21"/>
  <c r="D115" i="21"/>
  <c r="D114" i="21"/>
  <c r="D113" i="21"/>
  <c r="D97" i="21"/>
  <c r="D96" i="21"/>
  <c r="D95" i="21"/>
  <c r="D80" i="21"/>
  <c r="B69" i="28" s="1"/>
  <c r="D77" i="21"/>
  <c r="B66" i="28" s="1"/>
  <c r="D76" i="21"/>
  <c r="B65" i="28" s="1"/>
  <c r="D75" i="21"/>
  <c r="B64" i="28" s="1"/>
  <c r="D74" i="21"/>
  <c r="B63" i="28" s="1"/>
  <c r="D72" i="21"/>
  <c r="B61" i="28" s="1"/>
  <c r="D71" i="21"/>
  <c r="B60" i="28" s="1"/>
  <c r="D70" i="21"/>
  <c r="B59" i="28" s="1"/>
  <c r="D69" i="21"/>
  <c r="B58" i="28" s="1"/>
  <c r="D67" i="21"/>
  <c r="B57" i="28" s="1"/>
  <c r="D65" i="21"/>
  <c r="B55" i="28" s="1"/>
  <c r="D64" i="21"/>
  <c r="B54" i="28" s="1"/>
  <c r="D63" i="21"/>
  <c r="B53" i="28" s="1"/>
  <c r="D62" i="21"/>
  <c r="B52" i="28" s="1"/>
  <c r="D60" i="21"/>
  <c r="B50" i="28" s="1"/>
  <c r="D59" i="21"/>
  <c r="B49" i="28" s="1"/>
  <c r="D58" i="21"/>
  <c r="B48" i="28" s="1"/>
  <c r="D57" i="21"/>
  <c r="B47" i="28" s="1"/>
  <c r="D48" i="21"/>
  <c r="B38" i="28" s="1"/>
  <c r="B48" i="21"/>
  <c r="D45" i="21"/>
  <c r="B35" i="28" s="1"/>
  <c r="D44" i="21"/>
  <c r="B34" i="28" s="1"/>
  <c r="D43" i="21"/>
  <c r="B33" i="28" s="1"/>
  <c r="D42" i="21"/>
  <c r="B32" i="28" s="1"/>
  <c r="D41" i="21"/>
  <c r="B31" i="28" s="1"/>
  <c r="D40" i="21"/>
  <c r="B30" i="28" s="1"/>
  <c r="D39" i="21"/>
  <c r="B29" i="28" s="1"/>
  <c r="D38" i="21"/>
  <c r="B28" i="28" s="1"/>
  <c r="D37" i="21"/>
  <c r="B27" i="28" s="1"/>
  <c r="D36" i="21"/>
  <c r="B26" i="28" s="1"/>
  <c r="D35" i="21"/>
  <c r="B25" i="28" s="1"/>
  <c r="D30" i="21"/>
  <c r="B21" i="28" s="1"/>
  <c r="D29" i="21"/>
  <c r="B20" i="28" s="1"/>
  <c r="D28" i="21"/>
  <c r="B19" i="28" s="1"/>
  <c r="D27" i="21"/>
  <c r="B18" i="28" s="1"/>
  <c r="D26" i="21"/>
  <c r="B17" i="28" s="1"/>
  <c r="D21" i="21"/>
  <c r="B12" i="28" s="1"/>
  <c r="D19" i="21"/>
  <c r="B10" i="28" s="1"/>
  <c r="D18" i="21"/>
  <c r="B9" i="28" s="1"/>
  <c r="D17" i="21"/>
  <c r="B8" i="28" s="1"/>
  <c r="D16" i="21"/>
  <c r="B7" i="28" s="1"/>
  <c r="D15" i="21"/>
  <c r="B6" i="28" s="1"/>
  <c r="D14" i="21"/>
  <c r="B5" i="28" s="1"/>
  <c r="D13" i="21"/>
  <c r="B4" i="28" s="1"/>
  <c r="D12" i="21"/>
  <c r="B3" i="28" s="1"/>
  <c r="B12" i="21"/>
  <c r="F327" i="2"/>
  <c r="K1025" i="31" s="1"/>
  <c r="F323" i="2"/>
  <c r="F322" i="2"/>
  <c r="F321" i="2"/>
  <c r="F318" i="2"/>
  <c r="K1022" i="31" s="1"/>
  <c r="F315" i="2"/>
  <c r="K1021" i="31" s="1"/>
  <c r="F461" i="2"/>
  <c r="F460" i="2"/>
  <c r="F459" i="2"/>
  <c r="F458" i="2"/>
  <c r="F457" i="2"/>
  <c r="F456" i="2"/>
  <c r="F455" i="2"/>
  <c r="F454" i="2"/>
  <c r="F453" i="2"/>
  <c r="F452" i="2"/>
  <c r="F451" i="2"/>
  <c r="F450" i="2"/>
  <c r="F449" i="2"/>
  <c r="F448" i="2"/>
  <c r="F447" i="2"/>
  <c r="F446" i="2"/>
  <c r="F445" i="2"/>
  <c r="F444" i="2"/>
  <c r="F443" i="2"/>
  <c r="F442" i="2"/>
  <c r="F438" i="2"/>
  <c r="K1050" i="31" s="1"/>
  <c r="F436" i="2"/>
  <c r="F435" i="2"/>
  <c r="F434" i="2"/>
  <c r="F430" i="2"/>
  <c r="K1047" i="31" s="1"/>
  <c r="F426" i="2"/>
  <c r="K1046" i="31" s="1"/>
  <c r="F101" i="2"/>
  <c r="F100" i="2"/>
  <c r="F99" i="2"/>
  <c r="F98" i="2"/>
  <c r="F97" i="2"/>
  <c r="F96" i="2"/>
  <c r="F95" i="2"/>
  <c r="F94" i="2"/>
  <c r="F93" i="2"/>
  <c r="F92" i="2"/>
  <c r="F91" i="2"/>
  <c r="F90" i="2"/>
  <c r="F89" i="2"/>
  <c r="F88" i="2"/>
  <c r="F87" i="2"/>
  <c r="F86" i="2"/>
  <c r="F81" i="2"/>
  <c r="K980" i="31" s="1"/>
  <c r="F78" i="2"/>
  <c r="F77" i="2"/>
  <c r="F76" i="2"/>
  <c r="F72" i="2"/>
  <c r="F71" i="2"/>
  <c r="F70" i="2"/>
  <c r="F67" i="2"/>
  <c r="K976" i="31" s="1"/>
  <c r="F64" i="2"/>
  <c r="K975" i="31" s="1"/>
  <c r="F1012" i="5"/>
  <c r="K951" i="31" s="1"/>
  <c r="F1009" i="5"/>
  <c r="K949" i="31" s="1"/>
  <c r="F1007" i="5"/>
  <c r="K948" i="31" s="1"/>
  <c r="F1005" i="5"/>
  <c r="K947" i="31" s="1"/>
  <c r="F1003" i="5"/>
  <c r="F1002" i="5"/>
  <c r="F1001" i="5"/>
  <c r="F1000" i="5"/>
  <c r="K977" i="31" l="1"/>
  <c r="K1023" i="31"/>
  <c r="K1018" i="31" s="1"/>
  <c r="I269" i="32" s="1"/>
  <c r="I270" i="32" s="1"/>
  <c r="K979" i="31"/>
  <c r="K982" i="31"/>
  <c r="K1049" i="31"/>
  <c r="K1052" i="31"/>
  <c r="K946" i="31"/>
  <c r="K943" i="31" s="1"/>
  <c r="I252" i="32" s="1"/>
  <c r="I253" i="32" s="1"/>
  <c r="B111" i="28"/>
  <c r="B111" i="27"/>
  <c r="B115" i="28"/>
  <c r="B115" i="27"/>
  <c r="B112" i="27"/>
  <c r="B112" i="28"/>
  <c r="B116" i="27"/>
  <c r="B116" i="28"/>
  <c r="B105" i="28"/>
  <c r="B105" i="27"/>
  <c r="B113" i="27"/>
  <c r="B113" i="28"/>
  <c r="B106" i="27"/>
  <c r="B106" i="28"/>
  <c r="B114" i="27"/>
  <c r="B114" i="28"/>
  <c r="B83" i="27"/>
  <c r="B83" i="28"/>
  <c r="B102" i="28"/>
  <c r="B102" i="27"/>
  <c r="B84" i="28"/>
  <c r="B84" i="27"/>
  <c r="B100" i="28"/>
  <c r="B100" i="27"/>
  <c r="B82" i="28"/>
  <c r="B82" i="27"/>
  <c r="B101" i="28"/>
  <c r="B101" i="27"/>
  <c r="F329" i="2"/>
  <c r="F465" i="2"/>
  <c r="F103" i="2"/>
  <c r="I103" i="2" s="1"/>
  <c r="F1014" i="5"/>
  <c r="T2" i="2" l="1"/>
  <c r="P8" i="30" s="1"/>
  <c r="S329" i="2"/>
  <c r="S2" i="2" s="1"/>
  <c r="O8" i="30" s="1"/>
  <c r="K465" i="2"/>
  <c r="K2" i="2" s="1"/>
  <c r="G8" i="30" s="1"/>
  <c r="K972" i="31"/>
  <c r="I259" i="32" s="1"/>
  <c r="I260" i="32" s="1"/>
  <c r="K1043" i="31"/>
  <c r="I275" i="32" s="1"/>
  <c r="I276" i="32" s="1"/>
  <c r="M972" i="31"/>
  <c r="J1014" i="5"/>
  <c r="L130" i="21"/>
  <c r="C116" i="28" s="1"/>
  <c r="L16" i="26"/>
  <c r="L41" i="22"/>
  <c r="L128" i="21"/>
  <c r="C114" i="28" s="1"/>
  <c r="L22" i="26"/>
  <c r="L121" i="21"/>
  <c r="C106" i="28" s="1"/>
  <c r="L14" i="26"/>
  <c r="L39" i="22"/>
  <c r="F977" i="5"/>
  <c r="K942" i="31" s="1"/>
  <c r="F974" i="5"/>
  <c r="F973" i="5"/>
  <c r="F972" i="5"/>
  <c r="F970" i="5"/>
  <c r="K939" i="31" s="1"/>
  <c r="F968" i="5"/>
  <c r="K938" i="31" s="1"/>
  <c r="K940" i="31" l="1"/>
  <c r="K935" i="31" s="1"/>
  <c r="I250" i="32" s="1"/>
  <c r="I251" i="32" s="1"/>
  <c r="L44" i="22"/>
  <c r="F979" i="5"/>
  <c r="F905" i="5"/>
  <c r="K905" i="5" s="1"/>
  <c r="F904" i="5"/>
  <c r="K904" i="5" s="1"/>
  <c r="F903" i="5"/>
  <c r="F901" i="5"/>
  <c r="K913" i="31" s="1"/>
  <c r="F899" i="5"/>
  <c r="K912" i="31" s="1"/>
  <c r="F897" i="5"/>
  <c r="K897" i="5" s="1"/>
  <c r="F896" i="5"/>
  <c r="M935" i="31" l="1"/>
  <c r="K903" i="5"/>
  <c r="K914" i="31"/>
  <c r="K896" i="5"/>
  <c r="K911" i="31"/>
  <c r="K901" i="5"/>
  <c r="K899" i="5"/>
  <c r="F946" i="5"/>
  <c r="J979" i="5"/>
  <c r="L114" i="21"/>
  <c r="C101" i="28" s="1"/>
  <c r="L31" i="25"/>
  <c r="K3" i="5"/>
  <c r="G7" i="30" s="1"/>
  <c r="K908" i="31" l="1"/>
  <c r="M908" i="31"/>
  <c r="L113" i="21"/>
  <c r="C100" i="28" s="1"/>
  <c r="L30" i="25"/>
  <c r="F711" i="5"/>
  <c r="K892" i="31" s="1"/>
  <c r="F709" i="5"/>
  <c r="F708" i="5"/>
  <c r="F705" i="5"/>
  <c r="F704" i="5"/>
  <c r="F702" i="5"/>
  <c r="F701" i="5"/>
  <c r="F696" i="5"/>
  <c r="K883" i="31" s="1"/>
  <c r="F694" i="5"/>
  <c r="F693" i="5"/>
  <c r="F691" i="5"/>
  <c r="K880" i="31" s="1"/>
  <c r="F688" i="5"/>
  <c r="F687" i="5"/>
  <c r="F686" i="5"/>
  <c r="F685" i="5"/>
  <c r="F684" i="5"/>
  <c r="F683" i="5"/>
  <c r="F682" i="5"/>
  <c r="F681" i="5"/>
  <c r="F680" i="5"/>
  <c r="F679" i="5"/>
  <c r="F677" i="5"/>
  <c r="F676" i="5"/>
  <c r="F671" i="5"/>
  <c r="K873" i="31" s="1"/>
  <c r="F668" i="5"/>
  <c r="F667" i="5"/>
  <c r="F666" i="5"/>
  <c r="F664" i="5"/>
  <c r="F662" i="5"/>
  <c r="F661" i="5"/>
  <c r="F660" i="5"/>
  <c r="F656" i="5"/>
  <c r="F655" i="5"/>
  <c r="F652" i="5"/>
  <c r="F651" i="5"/>
  <c r="F650" i="5"/>
  <c r="F649" i="5"/>
  <c r="F647" i="5"/>
  <c r="K866" i="31" s="1"/>
  <c r="F645" i="5"/>
  <c r="F644" i="5"/>
  <c r="F643" i="5"/>
  <c r="F642" i="5"/>
  <c r="I248" i="32" l="1"/>
  <c r="I249" i="32" s="1"/>
  <c r="M909" i="31"/>
  <c r="K877" i="31"/>
  <c r="K887" i="31"/>
  <c r="K890" i="31"/>
  <c r="K881" i="31"/>
  <c r="K865" i="31"/>
  <c r="K871" i="31"/>
  <c r="K867" i="31"/>
  <c r="K869" i="31"/>
  <c r="K878" i="31"/>
  <c r="K888" i="31"/>
  <c r="F713" i="5"/>
  <c r="T713" i="5" l="1"/>
  <c r="T3" i="5" s="1"/>
  <c r="P7" i="30" s="1"/>
  <c r="M862" i="31"/>
  <c r="K862" i="31"/>
  <c r="I240" i="32" s="1"/>
  <c r="L109" i="21"/>
  <c r="C96" i="28" s="1"/>
  <c r="L26" i="25"/>
  <c r="F812" i="5"/>
  <c r="F811" i="5"/>
  <c r="F810" i="5"/>
  <c r="F809" i="5"/>
  <c r="F807" i="5"/>
  <c r="F806" i="5"/>
  <c r="F805" i="5"/>
  <c r="F804" i="5"/>
  <c r="F802" i="5"/>
  <c r="F801" i="5"/>
  <c r="F800" i="5"/>
  <c r="F799" i="5"/>
  <c r="F797" i="5"/>
  <c r="F796" i="5"/>
  <c r="F795" i="5"/>
  <c r="F794" i="5"/>
  <c r="F792" i="5"/>
  <c r="F791" i="5"/>
  <c r="F790" i="5"/>
  <c r="F789" i="5"/>
  <c r="F787" i="5"/>
  <c r="F786" i="5"/>
  <c r="F785" i="5"/>
  <c r="F784" i="5"/>
  <c r="F782" i="5"/>
  <c r="F781" i="5"/>
  <c r="F780" i="5"/>
  <c r="F779" i="5"/>
  <c r="F774" i="5"/>
  <c r="F773" i="5"/>
  <c r="F772" i="5"/>
  <c r="F769" i="5"/>
  <c r="F768" i="5"/>
  <c r="F767" i="5"/>
  <c r="C766" i="5"/>
  <c r="F766" i="5" s="1"/>
  <c r="F765" i="5"/>
  <c r="F764" i="5"/>
  <c r="F763" i="5"/>
  <c r="F762" i="5"/>
  <c r="F759" i="5"/>
  <c r="F758" i="5"/>
  <c r="F757" i="5"/>
  <c r="F754" i="5"/>
  <c r="F753" i="5"/>
  <c r="F752" i="5"/>
  <c r="F751" i="5"/>
  <c r="C749" i="5"/>
  <c r="F749" i="5" s="1"/>
  <c r="F746" i="5"/>
  <c r="F745" i="5"/>
  <c r="F743" i="5"/>
  <c r="F742" i="5"/>
  <c r="F741" i="5"/>
  <c r="F740" i="5"/>
  <c r="F739" i="5"/>
  <c r="F737" i="5"/>
  <c r="F736" i="5"/>
  <c r="F735" i="5"/>
  <c r="F814" i="5" l="1"/>
  <c r="F618" i="5"/>
  <c r="F617" i="5"/>
  <c r="F615" i="5"/>
  <c r="F614" i="5"/>
  <c r="F611" i="5"/>
  <c r="F610" i="5"/>
  <c r="F609" i="5"/>
  <c r="F607" i="5"/>
  <c r="F606" i="5"/>
  <c r="F605" i="5"/>
  <c r="F604" i="5"/>
  <c r="F600" i="5"/>
  <c r="F597" i="5"/>
  <c r="F596" i="5"/>
  <c r="F595" i="5"/>
  <c r="F592" i="5"/>
  <c r="F591" i="5"/>
  <c r="F590" i="5"/>
  <c r="F587" i="5"/>
  <c r="F585" i="5"/>
  <c r="F584" i="5"/>
  <c r="F583" i="5"/>
  <c r="F582" i="5"/>
  <c r="F580" i="5"/>
  <c r="F579" i="5"/>
  <c r="F578" i="5"/>
  <c r="F577" i="5"/>
  <c r="I242" i="32" l="1"/>
  <c r="I243" i="32" s="1"/>
  <c r="L110" i="21"/>
  <c r="C97" i="28" s="1"/>
  <c r="L27" i="25"/>
  <c r="F620" i="5"/>
  <c r="F516" i="5"/>
  <c r="F515" i="5"/>
  <c r="F493" i="5"/>
  <c r="K848" i="31" l="1"/>
  <c r="K845" i="31" s="1"/>
  <c r="I232" i="32" s="1"/>
  <c r="I233" i="32" s="1"/>
  <c r="I237" i="32"/>
  <c r="I239" i="32" s="1"/>
  <c r="F495" i="5"/>
  <c r="X495" i="5" s="1"/>
  <c r="K844" i="31"/>
  <c r="K841" i="31" s="1"/>
  <c r="I230" i="32" s="1"/>
  <c r="I231" i="32" s="1"/>
  <c r="L108" i="21"/>
  <c r="C95" i="28" s="1"/>
  <c r="L25" i="25"/>
  <c r="F518" i="5"/>
  <c r="F440" i="5"/>
  <c r="F439" i="5"/>
  <c r="F438" i="5"/>
  <c r="F437" i="5"/>
  <c r="F436" i="5"/>
  <c r="F435" i="5"/>
  <c r="F434" i="5"/>
  <c r="F433" i="5"/>
  <c r="F432" i="5"/>
  <c r="F431" i="5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1" i="5"/>
  <c r="K815" i="31"/>
  <c r="K814" i="31"/>
  <c r="K804" i="31"/>
  <c r="K799" i="31"/>
  <c r="F233" i="5"/>
  <c r="F442" i="5" l="1"/>
  <c r="K827" i="31"/>
  <c r="F408" i="5"/>
  <c r="L408" i="5" s="1"/>
  <c r="K810" i="31"/>
  <c r="L105" i="21"/>
  <c r="C92" i="28" s="1"/>
  <c r="K833" i="31"/>
  <c r="K829" i="31" s="1"/>
  <c r="I227" i="32" s="1"/>
  <c r="I229" i="32" s="1"/>
  <c r="L22" i="25"/>
  <c r="K813" i="31"/>
  <c r="X3" i="5"/>
  <c r="U7" i="30" s="1"/>
  <c r="U10" i="30" s="1"/>
  <c r="U11" i="30" s="1"/>
  <c r="K800" i="31"/>
  <c r="K806" i="31"/>
  <c r="K828" i="31"/>
  <c r="K798" i="31"/>
  <c r="K802" i="31"/>
  <c r="K811" i="31"/>
  <c r="M518" i="5"/>
  <c r="L106" i="21"/>
  <c r="C93" i="28" s="1"/>
  <c r="L23" i="25"/>
  <c r="L442" i="5"/>
  <c r="F286" i="5"/>
  <c r="S286" i="5" s="1"/>
  <c r="F125" i="5"/>
  <c r="J125" i="5" s="1"/>
  <c r="F124" i="5"/>
  <c r="J124" i="5" s="1"/>
  <c r="F123" i="5"/>
  <c r="J123" i="5" s="1"/>
  <c r="F122" i="5"/>
  <c r="F119" i="5"/>
  <c r="K772" i="31" s="1"/>
  <c r="F107" i="5"/>
  <c r="J107" i="5" s="1"/>
  <c r="F106" i="5"/>
  <c r="F103" i="5"/>
  <c r="K768" i="31" s="1"/>
  <c r="F79" i="5"/>
  <c r="K764" i="31" s="1"/>
  <c r="F77" i="5"/>
  <c r="F76" i="5"/>
  <c r="F75" i="5"/>
  <c r="F72" i="5"/>
  <c r="F71" i="5"/>
  <c r="F46" i="5"/>
  <c r="K756" i="31" s="1"/>
  <c r="F44" i="5"/>
  <c r="F43" i="5"/>
  <c r="F42" i="5"/>
  <c r="F39" i="5"/>
  <c r="F38" i="5"/>
  <c r="K769" i="31" l="1"/>
  <c r="K774" i="31"/>
  <c r="K824" i="31"/>
  <c r="I225" i="32" s="1"/>
  <c r="I226" i="32" s="1"/>
  <c r="K752" i="31"/>
  <c r="L3" i="5"/>
  <c r="H7" i="30" s="1"/>
  <c r="K762" i="31"/>
  <c r="M3" i="5"/>
  <c r="I7" i="30" s="1"/>
  <c r="I10" i="30" s="1"/>
  <c r="J103" i="5"/>
  <c r="J106" i="5"/>
  <c r="S119" i="5"/>
  <c r="K754" i="31"/>
  <c r="K760" i="31"/>
  <c r="J122" i="5"/>
  <c r="K795" i="31"/>
  <c r="I219" i="32" s="1"/>
  <c r="I220" i="32" s="1"/>
  <c r="L103" i="21"/>
  <c r="C90" i="28" s="1"/>
  <c r="L20" i="25"/>
  <c r="L104" i="21"/>
  <c r="C91" i="28" s="1"/>
  <c r="L21" i="25"/>
  <c r="L100" i="21"/>
  <c r="C87" i="28" s="1"/>
  <c r="L17" i="25"/>
  <c r="F127" i="5"/>
  <c r="F81" i="5"/>
  <c r="S81" i="5" s="1"/>
  <c r="F48" i="5"/>
  <c r="J48" i="5" s="1"/>
  <c r="F2241" i="3"/>
  <c r="F2240" i="3"/>
  <c r="F2239" i="3"/>
  <c r="C2235" i="3"/>
  <c r="F2235" i="3" s="1"/>
  <c r="C2234" i="3"/>
  <c r="F2234" i="3" s="1"/>
  <c r="F2233" i="3"/>
  <c r="F2232" i="3"/>
  <c r="C2231" i="3"/>
  <c r="F2231" i="3" s="1"/>
  <c r="C2230" i="3"/>
  <c r="F2230" i="3" s="1"/>
  <c r="F2227" i="3"/>
  <c r="F2226" i="3"/>
  <c r="F2225" i="3"/>
  <c r="F2224" i="3"/>
  <c r="F2223" i="3"/>
  <c r="F2221" i="3"/>
  <c r="F2220" i="3"/>
  <c r="F2219" i="3"/>
  <c r="F2217" i="3"/>
  <c r="K730" i="31" s="1"/>
  <c r="C2193" i="3"/>
  <c r="F2193" i="3" s="1"/>
  <c r="F2190" i="3"/>
  <c r="Q2190" i="3" s="1"/>
  <c r="F2189" i="3"/>
  <c r="Q2189" i="3" s="1"/>
  <c r="F2188" i="3"/>
  <c r="Q2188" i="3" s="1"/>
  <c r="F2187" i="3"/>
  <c r="Q2187" i="3" s="1"/>
  <c r="F2186" i="3"/>
  <c r="Q2186" i="3" s="1"/>
  <c r="F2185" i="3"/>
  <c r="Q2185" i="3" s="1"/>
  <c r="F2184" i="3"/>
  <c r="Q2184" i="3" s="1"/>
  <c r="F2183" i="3"/>
  <c r="Q2183" i="3" s="1"/>
  <c r="F2182" i="3"/>
  <c r="Q2182" i="3" s="1"/>
  <c r="F2181" i="3"/>
  <c r="Q2181" i="3" s="1"/>
  <c r="F2180" i="3"/>
  <c r="Q2180" i="3" s="1"/>
  <c r="F2179" i="3"/>
  <c r="Q2179" i="3" s="1"/>
  <c r="F2177" i="3"/>
  <c r="F2176" i="3"/>
  <c r="F2175" i="3"/>
  <c r="F2171" i="3"/>
  <c r="Q2171" i="3" s="1"/>
  <c r="F2170" i="3"/>
  <c r="Q2170" i="3" s="1"/>
  <c r="K726" i="31" l="1"/>
  <c r="Q2193" i="3"/>
  <c r="K721" i="31"/>
  <c r="Q2175" i="3"/>
  <c r="F1057" i="5"/>
  <c r="X7" i="30" s="1"/>
  <c r="M747" i="31" s="1"/>
  <c r="S3" i="5"/>
  <c r="O7" i="30" s="1"/>
  <c r="K749" i="31"/>
  <c r="K757" i="31"/>
  <c r="I211" i="32" s="1"/>
  <c r="I212" i="32" s="1"/>
  <c r="I11" i="30"/>
  <c r="K731" i="31"/>
  <c r="J3" i="5"/>
  <c r="F7" i="30" s="1"/>
  <c r="K734" i="31"/>
  <c r="K723" i="31"/>
  <c r="K736" i="31"/>
  <c r="K720" i="31"/>
  <c r="K732" i="31"/>
  <c r="K765" i="31"/>
  <c r="M766" i="31" s="1"/>
  <c r="L96" i="21"/>
  <c r="C83" i="28" s="1"/>
  <c r="L14" i="25"/>
  <c r="L97" i="21"/>
  <c r="C84" i="28" s="1"/>
  <c r="L15" i="25"/>
  <c r="L95" i="21"/>
  <c r="L13" i="25"/>
  <c r="F2195" i="3"/>
  <c r="Q4" i="3" s="1"/>
  <c r="L6" i="30" s="1"/>
  <c r="Q2" i="3" s="1"/>
  <c r="F2243" i="3"/>
  <c r="L2243" i="3" s="1"/>
  <c r="F2088" i="3"/>
  <c r="K2088" i="3" s="1"/>
  <c r="F2087" i="3"/>
  <c r="K2087" i="3" s="1"/>
  <c r="F2086" i="3"/>
  <c r="K2086" i="3" s="1"/>
  <c r="F2085" i="3"/>
  <c r="K2085" i="3" s="1"/>
  <c r="F2084" i="3"/>
  <c r="K2084" i="3" s="1"/>
  <c r="F2083" i="3"/>
  <c r="K2083" i="3" s="1"/>
  <c r="F2082" i="3"/>
  <c r="K2082" i="3" s="1"/>
  <c r="F2081" i="3"/>
  <c r="K2081" i="3" s="1"/>
  <c r="F2080" i="3"/>
  <c r="F2078" i="3"/>
  <c r="K2078" i="3" s="1"/>
  <c r="F2077" i="3"/>
  <c r="F2074" i="3"/>
  <c r="K2074" i="3" s="1"/>
  <c r="F2073" i="3"/>
  <c r="K2073" i="3" s="1"/>
  <c r="F2072" i="3"/>
  <c r="K2072" i="3" s="1"/>
  <c r="F2071" i="3"/>
  <c r="C2068" i="3"/>
  <c r="F2068" i="3" s="1"/>
  <c r="K2068" i="3" s="1"/>
  <c r="C2067" i="3"/>
  <c r="F2067" i="3" s="1"/>
  <c r="K2067" i="3" s="1"/>
  <c r="C2066" i="3"/>
  <c r="F2066" i="3" s="1"/>
  <c r="K2066" i="3" s="1"/>
  <c r="C2065" i="3"/>
  <c r="F2065" i="3" s="1"/>
  <c r="T2065" i="3" s="1"/>
  <c r="C2064" i="3"/>
  <c r="F2064" i="3" s="1"/>
  <c r="C2063" i="3"/>
  <c r="F2063" i="3" s="1"/>
  <c r="F2060" i="3"/>
  <c r="K2060" i="3" s="1"/>
  <c r="F2059" i="3"/>
  <c r="K2059" i="3" s="1"/>
  <c r="F2058" i="3"/>
  <c r="F2055" i="3"/>
  <c r="K2055" i="3" s="1"/>
  <c r="F2054" i="3"/>
  <c r="K2054" i="3" s="1"/>
  <c r="F2053" i="3"/>
  <c r="K2053" i="3" s="1"/>
  <c r="F2052" i="3"/>
  <c r="K2052" i="3" s="1"/>
  <c r="F2051" i="3"/>
  <c r="K2051" i="3" s="1"/>
  <c r="F2050" i="3"/>
  <c r="K2050" i="3" s="1"/>
  <c r="F2049" i="3"/>
  <c r="K2049" i="3" s="1"/>
  <c r="F2048" i="3"/>
  <c r="K2048" i="3" s="1"/>
  <c r="F2047" i="3"/>
  <c r="F2046" i="3"/>
  <c r="K2046" i="3" s="1"/>
  <c r="F2045" i="3"/>
  <c r="F2043" i="3"/>
  <c r="F2041" i="3"/>
  <c r="K2041" i="3" s="1"/>
  <c r="F2040" i="3"/>
  <c r="K2040" i="3" s="1"/>
  <c r="F2039" i="3"/>
  <c r="F2037" i="3"/>
  <c r="K2037" i="3" s="1"/>
  <c r="C2035" i="3"/>
  <c r="F2035" i="3" s="1"/>
  <c r="T2035" i="3" s="1"/>
  <c r="C2034" i="3"/>
  <c r="F2034" i="3" s="1"/>
  <c r="K2034" i="3" s="1"/>
  <c r="F2033" i="3"/>
  <c r="T2033" i="3" s="1"/>
  <c r="F2032" i="3"/>
  <c r="F1529" i="3"/>
  <c r="K605" i="31" s="1"/>
  <c r="F1525" i="3"/>
  <c r="F1524" i="3"/>
  <c r="F1523" i="3"/>
  <c r="F1520" i="3"/>
  <c r="F1519" i="3"/>
  <c r="F1515" i="3"/>
  <c r="F1514" i="3"/>
  <c r="F1513" i="3"/>
  <c r="F1411" i="3"/>
  <c r="K580" i="31" s="1"/>
  <c r="F1404" i="3"/>
  <c r="K578" i="31" s="1"/>
  <c r="F1399" i="3"/>
  <c r="F1398" i="3"/>
  <c r="F1397" i="3"/>
  <c r="F1396" i="3"/>
  <c r="F1395" i="3"/>
  <c r="F1394" i="3"/>
  <c r="F1393" i="3"/>
  <c r="F1392" i="3"/>
  <c r="F1369" i="3"/>
  <c r="F1368" i="3"/>
  <c r="F1367" i="3"/>
  <c r="C1363" i="3"/>
  <c r="F1363" i="3" s="1"/>
  <c r="K571" i="31" s="1"/>
  <c r="F1360" i="3"/>
  <c r="F1359" i="3"/>
  <c r="F1355" i="3"/>
  <c r="F1354" i="3"/>
  <c r="F1353" i="3"/>
  <c r="F1352" i="3"/>
  <c r="F1351" i="3"/>
  <c r="F1348" i="3"/>
  <c r="K567" i="31" s="1"/>
  <c r="C1345" i="3"/>
  <c r="F1345" i="3" s="1"/>
  <c r="C1344" i="3"/>
  <c r="F1344" i="3" s="1"/>
  <c r="F1337" i="3"/>
  <c r="F1336" i="3"/>
  <c r="F1333" i="3"/>
  <c r="F1332" i="3"/>
  <c r="F1329" i="3"/>
  <c r="F1328" i="3"/>
  <c r="F1327" i="3"/>
  <c r="F1301" i="3"/>
  <c r="K556" i="31" s="1"/>
  <c r="F1298" i="3"/>
  <c r="F1295" i="3"/>
  <c r="F1294" i="3"/>
  <c r="F1293" i="3"/>
  <c r="F1290" i="3"/>
  <c r="F1289" i="3"/>
  <c r="F1288" i="3"/>
  <c r="F1287" i="3"/>
  <c r="F1286" i="3"/>
  <c r="F1285" i="3"/>
  <c r="C1282" i="3"/>
  <c r="F1282" i="3" s="1"/>
  <c r="K550" i="31" s="1"/>
  <c r="F1254" i="3"/>
  <c r="F1253" i="3"/>
  <c r="F1252" i="3"/>
  <c r="F1248" i="3"/>
  <c r="F1245" i="3"/>
  <c r="F1244" i="3"/>
  <c r="F1240" i="3"/>
  <c r="F1239" i="3"/>
  <c r="F1238" i="3"/>
  <c r="F1235" i="3"/>
  <c r="F1232" i="3"/>
  <c r="F1227" i="3"/>
  <c r="F1223" i="3"/>
  <c r="F1220" i="3"/>
  <c r="F1219" i="3"/>
  <c r="F1218" i="3"/>
  <c r="F1217" i="3"/>
  <c r="F1154" i="3"/>
  <c r="F1150" i="3"/>
  <c r="S1150" i="3" s="1"/>
  <c r="F1149" i="3"/>
  <c r="S1149" i="3" s="1"/>
  <c r="F1148" i="3"/>
  <c r="S1148" i="3" s="1"/>
  <c r="F1145" i="3"/>
  <c r="F1142" i="3"/>
  <c r="F1140" i="3"/>
  <c r="F1137" i="3"/>
  <c r="F1109" i="3"/>
  <c r="K524" i="31" s="1"/>
  <c r="F1106" i="3"/>
  <c r="F1105" i="3"/>
  <c r="F1101" i="3"/>
  <c r="F1100" i="3"/>
  <c r="F1099" i="3"/>
  <c r="F1096" i="3"/>
  <c r="K520" i="31" s="1"/>
  <c r="F1093" i="3"/>
  <c r="K519" i="31" s="1"/>
  <c r="F1112" i="3"/>
  <c r="K526" i="31" s="1"/>
  <c r="F1090" i="3"/>
  <c r="F1089" i="3"/>
  <c r="F1088" i="3"/>
  <c r="F1087" i="3"/>
  <c r="F1086" i="3"/>
  <c r="F1061" i="3"/>
  <c r="F1058" i="3"/>
  <c r="F1056" i="3"/>
  <c r="F1008" i="3"/>
  <c r="F1005" i="3"/>
  <c r="F1004" i="3"/>
  <c r="F1001" i="3"/>
  <c r="C996" i="3"/>
  <c r="F996" i="3" s="1"/>
  <c r="F992" i="3"/>
  <c r="F991" i="3"/>
  <c r="F990" i="3"/>
  <c r="F910" i="3"/>
  <c r="K472" i="31" s="1"/>
  <c r="F907" i="3"/>
  <c r="F906" i="3"/>
  <c r="F902" i="3"/>
  <c r="F901" i="3"/>
  <c r="F836" i="3"/>
  <c r="F835" i="3"/>
  <c r="F834" i="3"/>
  <c r="F833" i="3"/>
  <c r="F829" i="3"/>
  <c r="K454" i="31" s="1"/>
  <c r="F826" i="3"/>
  <c r="K453" i="31" s="1"/>
  <c r="F823" i="3"/>
  <c r="F822" i="3"/>
  <c r="F821" i="3"/>
  <c r="F817" i="3"/>
  <c r="F816" i="3"/>
  <c r="F815" i="3"/>
  <c r="F814" i="3"/>
  <c r="F811" i="3"/>
  <c r="K449" i="31" s="1"/>
  <c r="F808" i="3"/>
  <c r="F805" i="3"/>
  <c r="F783" i="3"/>
  <c r="F779" i="3"/>
  <c r="S776" i="3"/>
  <c r="F775" i="3"/>
  <c r="S775" i="3" s="1"/>
  <c r="F770" i="3"/>
  <c r="F763" i="3"/>
  <c r="F760" i="3"/>
  <c r="S760" i="3" s="1"/>
  <c r="F759" i="3"/>
  <c r="S759" i="3" s="1"/>
  <c r="F756" i="3"/>
  <c r="F753" i="3"/>
  <c r="F729" i="3"/>
  <c r="F728" i="3"/>
  <c r="F727" i="3"/>
  <c r="F726" i="3"/>
  <c r="F721" i="3"/>
  <c r="K425" i="31" s="1"/>
  <c r="F718" i="3"/>
  <c r="F717" i="3"/>
  <c r="F716" i="3"/>
  <c r="F712" i="3"/>
  <c r="K422" i="31" s="1"/>
  <c r="F709" i="3"/>
  <c r="K421" i="31" s="1"/>
  <c r="F706" i="3"/>
  <c r="K420" i="31" s="1"/>
  <c r="F677" i="3"/>
  <c r="F673" i="3"/>
  <c r="J673" i="3" s="1"/>
  <c r="F672" i="3"/>
  <c r="J672" i="3" s="1"/>
  <c r="F671" i="3"/>
  <c r="J671" i="3" s="1"/>
  <c r="F666" i="3"/>
  <c r="F663" i="3"/>
  <c r="F660" i="3"/>
  <c r="J660" i="3" s="1"/>
  <c r="F659" i="3"/>
  <c r="J659" i="3" s="1"/>
  <c r="F658" i="3"/>
  <c r="J658" i="3" s="1"/>
  <c r="F594" i="3"/>
  <c r="F593" i="3"/>
  <c r="F587" i="3"/>
  <c r="F584" i="3"/>
  <c r="F581" i="3"/>
  <c r="F580" i="3"/>
  <c r="F577" i="3"/>
  <c r="F576" i="3"/>
  <c r="C551" i="3"/>
  <c r="F551" i="3" s="1"/>
  <c r="K394" i="31" s="1"/>
  <c r="F547" i="3"/>
  <c r="K392" i="31" s="1"/>
  <c r="F544" i="3"/>
  <c r="F543" i="3"/>
  <c r="F542" i="3"/>
  <c r="F539" i="3"/>
  <c r="F516" i="3"/>
  <c r="K387" i="31" s="1"/>
  <c r="F512" i="3"/>
  <c r="K385" i="31" s="1"/>
  <c r="F508" i="3"/>
  <c r="F507" i="3"/>
  <c r="F506" i="3"/>
  <c r="C482" i="3"/>
  <c r="F482" i="3" s="1"/>
  <c r="J482" i="3" s="1"/>
  <c r="F477" i="3"/>
  <c r="S477" i="3" s="1"/>
  <c r="F476" i="3"/>
  <c r="S476" i="3" s="1"/>
  <c r="F473" i="3"/>
  <c r="S473" i="3" s="1"/>
  <c r="F470" i="3"/>
  <c r="S470" i="3" s="1"/>
  <c r="F467" i="3"/>
  <c r="J467" i="3" s="1"/>
  <c r="C466" i="3"/>
  <c r="F466" i="3" s="1"/>
  <c r="J466" i="3" s="1"/>
  <c r="C465" i="3"/>
  <c r="F465" i="3" s="1"/>
  <c r="J465" i="3" s="1"/>
  <c r="C464" i="3"/>
  <c r="F464" i="3" s="1"/>
  <c r="J464" i="3" s="1"/>
  <c r="C462" i="3"/>
  <c r="F462" i="3" s="1"/>
  <c r="F459" i="3"/>
  <c r="J459" i="3" s="1"/>
  <c r="F458" i="3"/>
  <c r="J458" i="3" s="1"/>
  <c r="F457" i="3"/>
  <c r="J457" i="3" s="1"/>
  <c r="F456" i="3"/>
  <c r="J456" i="3" s="1"/>
  <c r="F455" i="3"/>
  <c r="J455" i="3" s="1"/>
  <c r="F454" i="3"/>
  <c r="J454" i="3" s="1"/>
  <c r="F453" i="3"/>
  <c r="J453" i="3" s="1"/>
  <c r="F452" i="3"/>
  <c r="J452" i="3" s="1"/>
  <c r="K688" i="31" l="1"/>
  <c r="M688" i="31" s="1"/>
  <c r="K554" i="31"/>
  <c r="K747" i="31"/>
  <c r="M748" i="31" s="1"/>
  <c r="I209" i="32"/>
  <c r="I210" i="32" s="1"/>
  <c r="W7" i="30"/>
  <c r="Y7" i="30" s="1"/>
  <c r="K510" i="31"/>
  <c r="F1063" i="3"/>
  <c r="K537" i="31"/>
  <c r="S1154" i="3"/>
  <c r="K436" i="31"/>
  <c r="S763" i="3"/>
  <c r="K442" i="31"/>
  <c r="S779" i="3"/>
  <c r="K511" i="31"/>
  <c r="K531" i="31"/>
  <c r="S1137" i="3"/>
  <c r="K534" i="31"/>
  <c r="S1145" i="3"/>
  <c r="K432" i="31"/>
  <c r="S753" i="3"/>
  <c r="K433" i="31"/>
  <c r="S756" i="3"/>
  <c r="K444" i="31"/>
  <c r="S783" i="3"/>
  <c r="K532" i="31"/>
  <c r="S1140" i="3"/>
  <c r="K692" i="31"/>
  <c r="K698" i="31"/>
  <c r="K440" i="31"/>
  <c r="S770" i="3"/>
  <c r="K513" i="31"/>
  <c r="K533" i="31"/>
  <c r="S1142" i="3"/>
  <c r="K693" i="31"/>
  <c r="J462" i="3"/>
  <c r="F69" i="30" s="1"/>
  <c r="K374" i="31"/>
  <c r="K2045" i="3"/>
  <c r="K2043" i="3"/>
  <c r="K410" i="31"/>
  <c r="J666" i="3"/>
  <c r="K414" i="31"/>
  <c r="S677" i="3"/>
  <c r="K409" i="31"/>
  <c r="J663" i="3"/>
  <c r="F71" i="30" s="1"/>
  <c r="F2147" i="3"/>
  <c r="C82" i="28"/>
  <c r="L118" i="21"/>
  <c r="I213" i="32"/>
  <c r="I214" i="32" s="1"/>
  <c r="K717" i="31"/>
  <c r="I197" i="32" s="1"/>
  <c r="I198" i="32" s="1"/>
  <c r="K471" i="31"/>
  <c r="K602" i="31"/>
  <c r="K434" i="31"/>
  <c r="K448" i="31"/>
  <c r="K469" i="31"/>
  <c r="K523" i="31"/>
  <c r="K603" i="31"/>
  <c r="K727" i="31"/>
  <c r="I199" i="32" s="1"/>
  <c r="I200" i="32" s="1"/>
  <c r="K2032" i="3"/>
  <c r="K685" i="31"/>
  <c r="K2047" i="3"/>
  <c r="T2063" i="3"/>
  <c r="K2080" i="3"/>
  <c r="K686" i="31"/>
  <c r="K2039" i="3"/>
  <c r="K687" i="31"/>
  <c r="K2058" i="3"/>
  <c r="K690" i="31"/>
  <c r="K2064" i="3"/>
  <c r="K568" i="31"/>
  <c r="K573" i="31"/>
  <c r="K2071" i="3"/>
  <c r="K695" i="31"/>
  <c r="K2077" i="3"/>
  <c r="K697" i="31"/>
  <c r="K561" i="31"/>
  <c r="K601" i="31"/>
  <c r="K384" i="31"/>
  <c r="K381" i="31" s="1"/>
  <c r="I125" i="32" s="1"/>
  <c r="I126" i="32" s="1"/>
  <c r="K450" i="31"/>
  <c r="K452" i="31"/>
  <c r="K535" i="31"/>
  <c r="K553" i="31"/>
  <c r="K566" i="31"/>
  <c r="K570" i="31"/>
  <c r="K456" i="31"/>
  <c r="K490" i="31"/>
  <c r="K494" i="31"/>
  <c r="K518" i="31"/>
  <c r="K560" i="31"/>
  <c r="K492" i="31"/>
  <c r="K489" i="31"/>
  <c r="K491" i="31"/>
  <c r="K521" i="31"/>
  <c r="K551" i="31"/>
  <c r="K562" i="31"/>
  <c r="K577" i="31"/>
  <c r="K574" i="31" s="1"/>
  <c r="K412" i="31"/>
  <c r="K399" i="31"/>
  <c r="K401" i="31"/>
  <c r="K408" i="31"/>
  <c r="K424" i="31"/>
  <c r="K427" i="31"/>
  <c r="K402" i="31"/>
  <c r="K391" i="31"/>
  <c r="K388" i="31" s="1"/>
  <c r="I127" i="32" s="1"/>
  <c r="I128" i="32" s="1"/>
  <c r="K400" i="31"/>
  <c r="K404" i="31"/>
  <c r="K441" i="31"/>
  <c r="K375" i="31"/>
  <c r="K376" i="31"/>
  <c r="K380" i="31"/>
  <c r="K377" i="31"/>
  <c r="K373" i="31"/>
  <c r="L37" i="25"/>
  <c r="L89" i="21"/>
  <c r="C76" i="28" s="1"/>
  <c r="L47" i="24"/>
  <c r="L88" i="21"/>
  <c r="C75" i="28" s="1"/>
  <c r="L46" i="24"/>
  <c r="F1531" i="3"/>
  <c r="S1531" i="3" s="1"/>
  <c r="F1413" i="3"/>
  <c r="F1371" i="3"/>
  <c r="F1303" i="3"/>
  <c r="F1257" i="3"/>
  <c r="F1161" i="3"/>
  <c r="F1114" i="3"/>
  <c r="U1114" i="3" s="1"/>
  <c r="F1009" i="3"/>
  <c r="K1009" i="3" s="1"/>
  <c r="F914" i="3"/>
  <c r="S914" i="3" s="1"/>
  <c r="F838" i="3"/>
  <c r="S838" i="3" s="1"/>
  <c r="F784" i="3"/>
  <c r="F731" i="3"/>
  <c r="K731" i="3" s="1"/>
  <c r="F685" i="3"/>
  <c r="F596" i="3"/>
  <c r="F553" i="3"/>
  <c r="F518" i="3"/>
  <c r="S518" i="3" s="1"/>
  <c r="F483" i="3"/>
  <c r="M370" i="31" s="1"/>
  <c r="I163" i="32" l="1"/>
  <c r="I164" i="32" s="1"/>
  <c r="M574" i="31"/>
  <c r="U1063" i="3"/>
  <c r="U4" i="3" s="1"/>
  <c r="P6" i="30" s="1"/>
  <c r="U2" i="3" s="1"/>
  <c r="K1303" i="3"/>
  <c r="I207" i="32"/>
  <c r="K527" i="31"/>
  <c r="M528" i="31" s="1"/>
  <c r="K682" i="31"/>
  <c r="M682" i="31" s="1"/>
  <c r="M692" i="31"/>
  <c r="K495" i="31"/>
  <c r="K405" i="31"/>
  <c r="I132" i="32" s="1"/>
  <c r="I133" i="32" s="1"/>
  <c r="J596" i="3"/>
  <c r="F70" i="30" s="1"/>
  <c r="F72" i="30" s="1"/>
  <c r="N747" i="31"/>
  <c r="K463" i="31"/>
  <c r="K428" i="31"/>
  <c r="I136" i="32" s="1"/>
  <c r="I138" i="32" s="1"/>
  <c r="K598" i="31"/>
  <c r="I169" i="32" s="1"/>
  <c r="I170" i="32" s="1"/>
  <c r="L1371" i="3"/>
  <c r="M557" i="31"/>
  <c r="K547" i="31"/>
  <c r="I159" i="32" s="1"/>
  <c r="I160" i="32" s="1"/>
  <c r="K514" i="31"/>
  <c r="I151" i="32" s="1"/>
  <c r="I153" i="32" s="1"/>
  <c r="K445" i="31"/>
  <c r="I139" i="32" s="1"/>
  <c r="I140" i="32" s="1"/>
  <c r="K557" i="31"/>
  <c r="I161" i="32" s="1"/>
  <c r="I162" i="32" s="1"/>
  <c r="K486" i="31"/>
  <c r="I147" i="32" s="1"/>
  <c r="I148" i="32" s="1"/>
  <c r="S1413" i="3"/>
  <c r="K417" i="31"/>
  <c r="I134" i="32" s="1"/>
  <c r="I135" i="32" s="1"/>
  <c r="K395" i="31"/>
  <c r="M417" i="31"/>
  <c r="T553" i="3"/>
  <c r="M388" i="31"/>
  <c r="M428" i="31"/>
  <c r="M381" i="31"/>
  <c r="K370" i="31"/>
  <c r="L71" i="21"/>
  <c r="C60" i="28" s="1"/>
  <c r="L27" i="22"/>
  <c r="L34" i="24"/>
  <c r="L57" i="21"/>
  <c r="C47" i="28" s="1"/>
  <c r="L14" i="22"/>
  <c r="L21" i="24"/>
  <c r="L67" i="21"/>
  <c r="C57" i="28" s="1"/>
  <c r="L31" i="24"/>
  <c r="L24" i="22"/>
  <c r="L77" i="21"/>
  <c r="C66" i="28" s="1"/>
  <c r="L40" i="24"/>
  <c r="L32" i="22"/>
  <c r="L60" i="21"/>
  <c r="C50" i="28" s="1"/>
  <c r="L17" i="22"/>
  <c r="L24" i="24"/>
  <c r="L76" i="21"/>
  <c r="C65" i="28" s="1"/>
  <c r="L31" i="22"/>
  <c r="L39" i="24"/>
  <c r="L62" i="21"/>
  <c r="C52" i="28" s="1"/>
  <c r="L19" i="22"/>
  <c r="L26" i="24"/>
  <c r="L72" i="21"/>
  <c r="C61" i="28" s="1"/>
  <c r="L35" i="24"/>
  <c r="L28" i="22"/>
  <c r="L58" i="21"/>
  <c r="C48" i="28" s="1"/>
  <c r="L15" i="22"/>
  <c r="L22" i="24"/>
  <c r="L63" i="21"/>
  <c r="C53" i="28" s="1"/>
  <c r="L20" i="22"/>
  <c r="L27" i="24"/>
  <c r="L69" i="21"/>
  <c r="C58" i="28" s="1"/>
  <c r="L25" i="22"/>
  <c r="L32" i="24"/>
  <c r="L74" i="21"/>
  <c r="C63" i="28" s="1"/>
  <c r="L37" i="24"/>
  <c r="L80" i="21"/>
  <c r="C69" i="28" s="1"/>
  <c r="L35" i="22"/>
  <c r="L43" i="24"/>
  <c r="L65" i="21"/>
  <c r="C55" i="28" s="1"/>
  <c r="L29" i="24"/>
  <c r="L22" i="22"/>
  <c r="L59" i="21"/>
  <c r="C49" i="28" s="1"/>
  <c r="L23" i="24"/>
  <c r="L16" i="22"/>
  <c r="L64" i="21"/>
  <c r="C54" i="28" s="1"/>
  <c r="L21" i="22"/>
  <c r="L28" i="24"/>
  <c r="L70" i="21"/>
  <c r="C59" i="28" s="1"/>
  <c r="L26" i="22"/>
  <c r="L33" i="24"/>
  <c r="L75" i="21"/>
  <c r="C64" i="28" s="1"/>
  <c r="L38" i="24"/>
  <c r="L30" i="22"/>
  <c r="L87" i="21"/>
  <c r="C74" i="28" s="1"/>
  <c r="L45" i="24"/>
  <c r="F141" i="3"/>
  <c r="V141" i="3" s="1"/>
  <c r="F140" i="3"/>
  <c r="V140" i="3" s="1"/>
  <c r="F139" i="3"/>
  <c r="V139" i="3" s="1"/>
  <c r="F136" i="3"/>
  <c r="R136" i="3" s="1"/>
  <c r="F135" i="3"/>
  <c r="F133" i="3"/>
  <c r="W133" i="3" s="1"/>
  <c r="F132" i="3"/>
  <c r="W132" i="3" s="1"/>
  <c r="F131" i="3"/>
  <c r="W131" i="3" s="1"/>
  <c r="F130" i="3"/>
  <c r="W130" i="3" s="1"/>
  <c r="F129" i="3"/>
  <c r="W129" i="3" s="1"/>
  <c r="F128" i="3"/>
  <c r="W128" i="3" s="1"/>
  <c r="F127" i="3"/>
  <c r="F122" i="3"/>
  <c r="V122" i="3" s="1"/>
  <c r="F121" i="3"/>
  <c r="V121" i="3" s="1"/>
  <c r="F120" i="3"/>
  <c r="V120" i="3" s="1"/>
  <c r="F119" i="3"/>
  <c r="V119" i="3" s="1"/>
  <c r="F118" i="3"/>
  <c r="V118" i="3" s="1"/>
  <c r="F117" i="3"/>
  <c r="V117" i="3" s="1"/>
  <c r="F116" i="3"/>
  <c r="V116" i="3" s="1"/>
  <c r="F115" i="3"/>
  <c r="F112" i="3"/>
  <c r="F109" i="3"/>
  <c r="R109" i="3" s="1"/>
  <c r="F106" i="3"/>
  <c r="S106" i="3" s="1"/>
  <c r="F105" i="3"/>
  <c r="F102" i="3"/>
  <c r="F100" i="3"/>
  <c r="F98" i="3"/>
  <c r="R98" i="3" s="1"/>
  <c r="F97" i="3"/>
  <c r="R97" i="3" s="1"/>
  <c r="F96" i="3"/>
  <c r="R96" i="3" s="1"/>
  <c r="F95" i="3"/>
  <c r="R95" i="3" s="1"/>
  <c r="F94" i="3"/>
  <c r="R94" i="3" s="1"/>
  <c r="F93" i="3"/>
  <c r="R93" i="3" s="1"/>
  <c r="F92" i="3"/>
  <c r="R92" i="3" s="1"/>
  <c r="F91" i="3"/>
  <c r="R91" i="3" s="1"/>
  <c r="F90" i="3"/>
  <c r="R90" i="3" s="1"/>
  <c r="F89" i="3"/>
  <c r="R89" i="3" s="1"/>
  <c r="F88" i="3"/>
  <c r="R88" i="3" s="1"/>
  <c r="F87" i="3"/>
  <c r="R87" i="3" s="1"/>
  <c r="F86" i="3"/>
  <c r="R86" i="3" s="1"/>
  <c r="F85" i="3"/>
  <c r="R85" i="3" s="1"/>
  <c r="F84" i="3"/>
  <c r="R84" i="3" s="1"/>
  <c r="F83" i="3"/>
  <c r="R83" i="3" s="1"/>
  <c r="F82" i="3"/>
  <c r="R82" i="3" s="1"/>
  <c r="F81" i="3"/>
  <c r="R81" i="3" s="1"/>
  <c r="F80" i="3"/>
  <c r="R80" i="3" s="1"/>
  <c r="F79" i="3"/>
  <c r="R79" i="3" s="1"/>
  <c r="F78" i="3"/>
  <c r="F75" i="3"/>
  <c r="R75" i="3" s="1"/>
  <c r="F73" i="3"/>
  <c r="R73" i="3" s="1"/>
  <c r="F72" i="3"/>
  <c r="R72" i="3" s="1"/>
  <c r="F71" i="3"/>
  <c r="R71" i="3" s="1"/>
  <c r="F70" i="3"/>
  <c r="R70" i="3" s="1"/>
  <c r="F69" i="3"/>
  <c r="R69" i="3" s="1"/>
  <c r="F68" i="3"/>
  <c r="R68" i="3" s="1"/>
  <c r="F67" i="3"/>
  <c r="R67" i="3" s="1"/>
  <c r="F66" i="3"/>
  <c r="R66" i="3" s="1"/>
  <c r="F65" i="3"/>
  <c r="R65" i="3" s="1"/>
  <c r="F64" i="3"/>
  <c r="R64" i="3" s="1"/>
  <c r="F63" i="3"/>
  <c r="R63" i="3" s="1"/>
  <c r="F62" i="3"/>
  <c r="R62" i="3" s="1"/>
  <c r="F61" i="3"/>
  <c r="R61" i="3" s="1"/>
  <c r="F60" i="3"/>
  <c r="R60" i="3" s="1"/>
  <c r="F59" i="3"/>
  <c r="R59" i="3" s="1"/>
  <c r="F58" i="3"/>
  <c r="R58" i="3" s="1"/>
  <c r="F57" i="3"/>
  <c r="R57" i="3" s="1"/>
  <c r="F56" i="3"/>
  <c r="R56" i="3" s="1"/>
  <c r="F55" i="3"/>
  <c r="R55" i="3" s="1"/>
  <c r="F54" i="3"/>
  <c r="R54" i="3" s="1"/>
  <c r="F52" i="3"/>
  <c r="R52" i="3" s="1"/>
  <c r="F51" i="3"/>
  <c r="R51" i="3" s="1"/>
  <c r="F50" i="3"/>
  <c r="R50" i="3" s="1"/>
  <c r="F49" i="3"/>
  <c r="R49" i="3" s="1"/>
  <c r="F48" i="3"/>
  <c r="R48" i="3" s="1"/>
  <c r="F47" i="3"/>
  <c r="R47" i="3" s="1"/>
  <c r="F46" i="3"/>
  <c r="F45" i="3"/>
  <c r="J45" i="3" s="1"/>
  <c r="F44" i="3"/>
  <c r="J44" i="3" s="1"/>
  <c r="F43" i="3"/>
  <c r="J43" i="3" s="1"/>
  <c r="F42" i="3"/>
  <c r="J42" i="3" s="1"/>
  <c r="F41" i="3"/>
  <c r="J41" i="3" s="1"/>
  <c r="F40" i="3"/>
  <c r="J40" i="3" s="1"/>
  <c r="F39" i="3"/>
  <c r="J39" i="3" s="1"/>
  <c r="F38" i="3"/>
  <c r="J38" i="3" s="1"/>
  <c r="F37" i="3"/>
  <c r="J37" i="3" s="1"/>
  <c r="F36" i="3"/>
  <c r="J36" i="3" s="1"/>
  <c r="F35" i="3"/>
  <c r="J35" i="3" s="1"/>
  <c r="F34" i="3"/>
  <c r="J34" i="3" s="1"/>
  <c r="F33" i="3"/>
  <c r="F32" i="3"/>
  <c r="F31" i="3"/>
  <c r="F30" i="3"/>
  <c r="F29" i="3"/>
  <c r="F28" i="3"/>
  <c r="F27" i="3"/>
  <c r="F26" i="3"/>
  <c r="F25" i="3"/>
  <c r="F24" i="3"/>
  <c r="C23" i="3"/>
  <c r="F23" i="3" s="1"/>
  <c r="F22" i="3"/>
  <c r="F21" i="3"/>
  <c r="F20" i="3"/>
  <c r="F19" i="3"/>
  <c r="F18" i="3"/>
  <c r="M495" i="31" l="1"/>
  <c r="I129" i="32"/>
  <c r="I131" i="32" s="1"/>
  <c r="M395" i="31"/>
  <c r="I123" i="32"/>
  <c r="I124" i="32" s="1"/>
  <c r="M371" i="31"/>
  <c r="M373" i="31" s="1"/>
  <c r="I143" i="32"/>
  <c r="I144" i="32" s="1"/>
  <c r="M463" i="31"/>
  <c r="M464" i="31"/>
  <c r="M508" i="31"/>
  <c r="I154" i="32"/>
  <c r="I156" i="32" s="1"/>
  <c r="I149" i="32"/>
  <c r="I150" i="32" s="1"/>
  <c r="I195" i="32"/>
  <c r="I196" i="32" s="1"/>
  <c r="K297" i="31"/>
  <c r="V115" i="3"/>
  <c r="V4" i="3" s="1"/>
  <c r="Q6" i="30" s="1"/>
  <c r="V2" i="3" s="1"/>
  <c r="K306" i="31"/>
  <c r="R46" i="3"/>
  <c r="K298" i="31"/>
  <c r="J18" i="3"/>
  <c r="F144" i="3"/>
  <c r="J23" i="3"/>
  <c r="J31" i="3"/>
  <c r="J24" i="3"/>
  <c r="J25" i="3"/>
  <c r="J33" i="3"/>
  <c r="J22" i="3"/>
  <c r="J26" i="3"/>
  <c r="J30" i="3"/>
  <c r="J19" i="3"/>
  <c r="J27" i="3"/>
  <c r="J20" i="3"/>
  <c r="J28" i="3"/>
  <c r="J32" i="3"/>
  <c r="J21" i="3"/>
  <c r="J29" i="3"/>
  <c r="K4" i="3"/>
  <c r="F6" i="30" s="1"/>
  <c r="K2" i="3" s="1"/>
  <c r="K303" i="31"/>
  <c r="K299" i="31"/>
  <c r="R102" i="3"/>
  <c r="K302" i="31"/>
  <c r="R112" i="3"/>
  <c r="K305" i="31"/>
  <c r="R135" i="3"/>
  <c r="K309" i="31"/>
  <c r="S105" i="3"/>
  <c r="W127" i="3"/>
  <c r="K308" i="31"/>
  <c r="R78" i="3"/>
  <c r="K300" i="31"/>
  <c r="K310" i="31"/>
  <c r="R100" i="3"/>
  <c r="K301" i="31"/>
  <c r="K304" i="31"/>
  <c r="F752" i="1"/>
  <c r="F753" i="1"/>
  <c r="F754" i="1"/>
  <c r="F751" i="1"/>
  <c r="I149" i="34" s="1"/>
  <c r="F58" i="8"/>
  <c r="C54" i="15"/>
  <c r="F25" i="18"/>
  <c r="D25" i="18"/>
  <c r="C25" i="18"/>
  <c r="D24" i="18"/>
  <c r="G24" i="18"/>
  <c r="C24" i="18"/>
  <c r="D23" i="18"/>
  <c r="E23" i="18" s="1"/>
  <c r="C23" i="18"/>
  <c r="D22" i="18"/>
  <c r="G22" i="18" s="1"/>
  <c r="C22" i="18"/>
  <c r="D21" i="18"/>
  <c r="G21" i="18" s="1"/>
  <c r="C21" i="18"/>
  <c r="E20" i="18"/>
  <c r="D20" i="18"/>
  <c r="C20" i="18"/>
  <c r="D19" i="18"/>
  <c r="D18" i="18"/>
  <c r="D17" i="18"/>
  <c r="F19" i="18"/>
  <c r="C19" i="18"/>
  <c r="E18" i="18"/>
  <c r="C18" i="18"/>
  <c r="E17" i="18"/>
  <c r="C17" i="18"/>
  <c r="E16" i="18"/>
  <c r="D16" i="18"/>
  <c r="C16" i="18"/>
  <c r="F15" i="18"/>
  <c r="D15" i="18"/>
  <c r="C15" i="18"/>
  <c r="F14" i="18"/>
  <c r="D14" i="18"/>
  <c r="C14" i="18"/>
  <c r="F13" i="18"/>
  <c r="D13" i="18"/>
  <c r="C13" i="18"/>
  <c r="F12" i="18"/>
  <c r="D12" i="18"/>
  <c r="C12" i="18"/>
  <c r="F8" i="18"/>
  <c r="F10" i="18"/>
  <c r="E11" i="18"/>
  <c r="D11" i="18"/>
  <c r="C11" i="18"/>
  <c r="D10" i="18"/>
  <c r="C10" i="18"/>
  <c r="D9" i="18"/>
  <c r="E9" i="18"/>
  <c r="C9" i="18"/>
  <c r="D8" i="18"/>
  <c r="C8" i="18"/>
  <c r="E7" i="18"/>
  <c r="D7" i="18"/>
  <c r="C7" i="18"/>
  <c r="F6" i="18"/>
  <c r="D6" i="18"/>
  <c r="C6" i="18"/>
  <c r="C230" i="11"/>
  <c r="C34" i="11"/>
  <c r="G138" i="8"/>
  <c r="F138" i="8"/>
  <c r="D138" i="8"/>
  <c r="C126" i="15"/>
  <c r="C122" i="11"/>
  <c r="D108" i="8"/>
  <c r="C100" i="15"/>
  <c r="J127" i="15"/>
  <c r="I127" i="15"/>
  <c r="H127" i="15"/>
  <c r="L18" i="15"/>
  <c r="F14" i="15"/>
  <c r="D14" i="15"/>
  <c r="D127" i="15" s="1"/>
  <c r="K17" i="15"/>
  <c r="K18" i="15"/>
  <c r="K19" i="15"/>
  <c r="K20" i="15"/>
  <c r="K21" i="15"/>
  <c r="K22" i="15"/>
  <c r="K23" i="15"/>
  <c r="K34" i="15"/>
  <c r="M34" i="15" s="1"/>
  <c r="K35" i="15"/>
  <c r="M35" i="15" s="1"/>
  <c r="K36" i="15"/>
  <c r="M36" i="15" s="1"/>
  <c r="K37" i="15"/>
  <c r="M37" i="15" s="1"/>
  <c r="K38" i="15"/>
  <c r="M38" i="15" s="1"/>
  <c r="K39" i="15"/>
  <c r="M39" i="15" s="1"/>
  <c r="K40" i="15"/>
  <c r="M40" i="15" s="1"/>
  <c r="K41" i="15"/>
  <c r="M41" i="15" s="1"/>
  <c r="K44" i="15"/>
  <c r="M44" i="15" s="1"/>
  <c r="K48" i="15"/>
  <c r="M48" i="15" s="1"/>
  <c r="K49" i="15"/>
  <c r="M49" i="15" s="1"/>
  <c r="K50" i="15"/>
  <c r="M50" i="15" s="1"/>
  <c r="K51" i="15"/>
  <c r="M51" i="15" s="1"/>
  <c r="K52" i="15"/>
  <c r="M52" i="15" s="1"/>
  <c r="K53" i="15"/>
  <c r="M53" i="15" s="1"/>
  <c r="K55" i="15"/>
  <c r="M55" i="15" s="1"/>
  <c r="K56" i="15"/>
  <c r="M56" i="15" s="1"/>
  <c r="K57" i="15"/>
  <c r="M57" i="15" s="1"/>
  <c r="K58" i="15"/>
  <c r="M58" i="15" s="1"/>
  <c r="K59" i="15"/>
  <c r="M59" i="15" s="1"/>
  <c r="K60" i="15"/>
  <c r="M60" i="15" s="1"/>
  <c r="K61" i="15"/>
  <c r="M61" i="15" s="1"/>
  <c r="K62" i="15"/>
  <c r="M62" i="15" s="1"/>
  <c r="K63" i="15"/>
  <c r="M63" i="15" s="1"/>
  <c r="K89" i="15"/>
  <c r="M89" i="15" s="1"/>
  <c r="K90" i="15"/>
  <c r="M90" i="15" s="1"/>
  <c r="K91" i="15"/>
  <c r="M91" i="15" s="1"/>
  <c r="K92" i="15"/>
  <c r="M92" i="15" s="1"/>
  <c r="K93" i="15"/>
  <c r="M93" i="15" s="1"/>
  <c r="K94" i="15"/>
  <c r="M94" i="15" s="1"/>
  <c r="K95" i="15"/>
  <c r="M95" i="15" s="1"/>
  <c r="K96" i="15"/>
  <c r="M96" i="15" s="1"/>
  <c r="K97" i="15"/>
  <c r="M97" i="15" s="1"/>
  <c r="K124" i="15"/>
  <c r="M124" i="15" s="1"/>
  <c r="K125" i="15"/>
  <c r="M125" i="15" s="1"/>
  <c r="K104" i="15"/>
  <c r="M104" i="15" s="1"/>
  <c r="L23" i="15"/>
  <c r="L22" i="15"/>
  <c r="L21" i="15"/>
  <c r="L20" i="15"/>
  <c r="L19" i="15"/>
  <c r="L17" i="15"/>
  <c r="F15" i="15"/>
  <c r="K15" i="15" s="1"/>
  <c r="M15" i="15" s="1"/>
  <c r="F13" i="15"/>
  <c r="K13" i="15" s="1"/>
  <c r="M13" i="15" s="1"/>
  <c r="L31" i="15"/>
  <c r="K31" i="15"/>
  <c r="K47" i="15"/>
  <c r="M47" i="15" s="1"/>
  <c r="K75" i="15"/>
  <c r="M75" i="15" s="1"/>
  <c r="K101" i="15"/>
  <c r="M101" i="15" s="1"/>
  <c r="K118" i="15"/>
  <c r="M118" i="15" s="1"/>
  <c r="L24" i="15"/>
  <c r="K24" i="15"/>
  <c r="L28" i="15"/>
  <c r="K28" i="15"/>
  <c r="L32" i="15"/>
  <c r="K32" i="15"/>
  <c r="K64" i="15"/>
  <c r="M64" i="15" s="1"/>
  <c r="K68" i="15"/>
  <c r="M68" i="15" s="1"/>
  <c r="K72" i="15"/>
  <c r="M72" i="15" s="1"/>
  <c r="K76" i="15"/>
  <c r="M76" i="15" s="1"/>
  <c r="K80" i="15"/>
  <c r="M80" i="15" s="1"/>
  <c r="K84" i="15"/>
  <c r="M84" i="15" s="1"/>
  <c r="K88" i="15"/>
  <c r="M88" i="15" s="1"/>
  <c r="K103" i="15"/>
  <c r="M103" i="15" s="1"/>
  <c r="K107" i="15"/>
  <c r="M107" i="15" s="1"/>
  <c r="K111" i="15"/>
  <c r="M111" i="15" s="1"/>
  <c r="K115" i="15"/>
  <c r="M115" i="15" s="1"/>
  <c r="K119" i="15"/>
  <c r="M119" i="15" s="1"/>
  <c r="K123" i="15"/>
  <c r="M123" i="15" s="1"/>
  <c r="K43" i="15"/>
  <c r="M43" i="15" s="1"/>
  <c r="K71" i="15"/>
  <c r="M71" i="15" s="1"/>
  <c r="K83" i="15"/>
  <c r="M83" i="15" s="1"/>
  <c r="K87" i="15"/>
  <c r="M87" i="15" s="1"/>
  <c r="K106" i="15"/>
  <c r="M106" i="15" s="1"/>
  <c r="K110" i="15"/>
  <c r="M110" i="15" s="1"/>
  <c r="K114" i="15"/>
  <c r="M114" i="15" s="1"/>
  <c r="K122" i="15"/>
  <c r="M122" i="15" s="1"/>
  <c r="L25" i="15"/>
  <c r="K25" i="15"/>
  <c r="L33" i="15"/>
  <c r="K33" i="15"/>
  <c r="K45" i="15"/>
  <c r="M45" i="15" s="1"/>
  <c r="K65" i="15"/>
  <c r="M65" i="15" s="1"/>
  <c r="K69" i="15"/>
  <c r="M69" i="15" s="1"/>
  <c r="K73" i="15"/>
  <c r="M73" i="15" s="1"/>
  <c r="K77" i="15"/>
  <c r="M77" i="15" s="1"/>
  <c r="K81" i="15"/>
  <c r="M81" i="15" s="1"/>
  <c r="K85" i="15"/>
  <c r="M85" i="15" s="1"/>
  <c r="K98" i="15"/>
  <c r="M98" i="15" s="1"/>
  <c r="K108" i="15"/>
  <c r="M108" i="15" s="1"/>
  <c r="K112" i="15"/>
  <c r="M112" i="15" s="1"/>
  <c r="K116" i="15"/>
  <c r="M116" i="15" s="1"/>
  <c r="K120" i="15"/>
  <c r="M120" i="15" s="1"/>
  <c r="L27" i="15"/>
  <c r="K27" i="15"/>
  <c r="K67" i="15"/>
  <c r="M67" i="15" s="1"/>
  <c r="K79" i="15"/>
  <c r="M79" i="15" s="1"/>
  <c r="L29" i="15"/>
  <c r="K29" i="15"/>
  <c r="L26" i="15"/>
  <c r="K26" i="15"/>
  <c r="L30" i="15"/>
  <c r="K30" i="15"/>
  <c r="K42" i="15"/>
  <c r="M42" i="15" s="1"/>
  <c r="K46" i="15"/>
  <c r="M46" i="15" s="1"/>
  <c r="K66" i="15"/>
  <c r="M66" i="15" s="1"/>
  <c r="K70" i="15"/>
  <c r="M70" i="15" s="1"/>
  <c r="K74" i="15"/>
  <c r="M74" i="15" s="1"/>
  <c r="K78" i="15"/>
  <c r="M78" i="15" s="1"/>
  <c r="K82" i="15"/>
  <c r="M82" i="15" s="1"/>
  <c r="K86" i="15"/>
  <c r="M86" i="15" s="1"/>
  <c r="K99" i="15"/>
  <c r="M99" i="15" s="1"/>
  <c r="K105" i="15"/>
  <c r="M105" i="15" s="1"/>
  <c r="K109" i="15"/>
  <c r="M109" i="15" s="1"/>
  <c r="K113" i="15"/>
  <c r="M113" i="15" s="1"/>
  <c r="K117" i="15"/>
  <c r="M117" i="15" s="1"/>
  <c r="K121" i="15"/>
  <c r="M121" i="15" s="1"/>
  <c r="K21" i="8"/>
  <c r="D21" i="8"/>
  <c r="D128" i="8"/>
  <c r="H137" i="8"/>
  <c r="G137" i="8"/>
  <c r="H136" i="8"/>
  <c r="G136" i="8"/>
  <c r="H135" i="8"/>
  <c r="G135" i="8"/>
  <c r="H134" i="8"/>
  <c r="H133" i="8"/>
  <c r="H126" i="8"/>
  <c r="H127" i="8"/>
  <c r="H128" i="8"/>
  <c r="H129" i="8"/>
  <c r="H130" i="8"/>
  <c r="H131" i="8"/>
  <c r="H132" i="8"/>
  <c r="H125" i="8"/>
  <c r="G134" i="8"/>
  <c r="G133" i="8"/>
  <c r="G126" i="8"/>
  <c r="G127" i="8"/>
  <c r="G128" i="8"/>
  <c r="G129" i="8"/>
  <c r="G130" i="8"/>
  <c r="G131" i="8"/>
  <c r="G132" i="8"/>
  <c r="G125" i="8"/>
  <c r="D134" i="8"/>
  <c r="D133" i="8"/>
  <c r="D132" i="8"/>
  <c r="D131" i="8"/>
  <c r="D130" i="8"/>
  <c r="D129" i="8"/>
  <c r="D127" i="8"/>
  <c r="D126" i="8"/>
  <c r="D125" i="8"/>
  <c r="D120" i="8"/>
  <c r="D119" i="8"/>
  <c r="D118" i="8"/>
  <c r="D117" i="8"/>
  <c r="D116" i="8"/>
  <c r="D115" i="8"/>
  <c r="D114" i="8"/>
  <c r="D113" i="8"/>
  <c r="D112" i="8"/>
  <c r="D111" i="8"/>
  <c r="D109" i="8"/>
  <c r="D107" i="8"/>
  <c r="D106" i="8"/>
  <c r="D105" i="8"/>
  <c r="D104" i="8"/>
  <c r="D103" i="8"/>
  <c r="D102" i="8"/>
  <c r="D101" i="8"/>
  <c r="D100" i="8"/>
  <c r="D99" i="8"/>
  <c r="D98" i="8"/>
  <c r="D97" i="8"/>
  <c r="D96" i="8"/>
  <c r="D95" i="8"/>
  <c r="D94" i="8"/>
  <c r="D81" i="8"/>
  <c r="D80" i="8"/>
  <c r="D79" i="8"/>
  <c r="D78" i="8"/>
  <c r="D77" i="8"/>
  <c r="D76" i="8"/>
  <c r="D75" i="8"/>
  <c r="D74" i="8"/>
  <c r="D73" i="8"/>
  <c r="D72" i="8"/>
  <c r="D71" i="8"/>
  <c r="D70" i="8"/>
  <c r="D69" i="8"/>
  <c r="D68" i="8"/>
  <c r="D67" i="8"/>
  <c r="D66" i="8"/>
  <c r="D65" i="8"/>
  <c r="D64" i="8"/>
  <c r="D63" i="8"/>
  <c r="D62" i="8"/>
  <c r="D61" i="8"/>
  <c r="D60" i="8"/>
  <c r="D59" i="8"/>
  <c r="D57" i="8"/>
  <c r="D56" i="8"/>
  <c r="D55" i="8"/>
  <c r="D54" i="8"/>
  <c r="D53" i="8"/>
  <c r="D52" i="8"/>
  <c r="D51" i="8"/>
  <c r="D50" i="8"/>
  <c r="D49" i="8"/>
  <c r="D48" i="8"/>
  <c r="D42" i="8"/>
  <c r="D41" i="8"/>
  <c r="D40" i="8"/>
  <c r="D39" i="8"/>
  <c r="D38" i="8"/>
  <c r="D37" i="8"/>
  <c r="D36" i="8"/>
  <c r="D35" i="8"/>
  <c r="D34" i="8"/>
  <c r="D33" i="8"/>
  <c r="D32" i="8"/>
  <c r="D31" i="8"/>
  <c r="D30" i="8"/>
  <c r="D29" i="8"/>
  <c r="D28" i="8"/>
  <c r="D27" i="8"/>
  <c r="D26" i="8"/>
  <c r="D25" i="8"/>
  <c r="D24" i="8"/>
  <c r="D23" i="8"/>
  <c r="D22" i="8"/>
  <c r="D20" i="8"/>
  <c r="D19" i="8"/>
  <c r="D18" i="8"/>
  <c r="D17" i="8"/>
  <c r="D16" i="8"/>
  <c r="D15" i="8"/>
  <c r="D14" i="8"/>
  <c r="D13" i="8"/>
  <c r="D12" i="8"/>
  <c r="D137" i="8"/>
  <c r="L134" i="8"/>
  <c r="I17" i="9"/>
  <c r="I21" i="9"/>
  <c r="I12" i="9"/>
  <c r="L127" i="8"/>
  <c r="D136" i="8"/>
  <c r="D135" i="8"/>
  <c r="L135" i="8"/>
  <c r="L54" i="8"/>
  <c r="L126" i="8"/>
  <c r="D89" i="8"/>
  <c r="D88" i="8"/>
  <c r="D87" i="8"/>
  <c r="D86" i="8"/>
  <c r="D85" i="8"/>
  <c r="D84" i="8"/>
  <c r="D83" i="8"/>
  <c r="D82" i="8"/>
  <c r="F2304" i="3"/>
  <c r="K259" i="31"/>
  <c r="K258" i="31"/>
  <c r="F724" i="1"/>
  <c r="F39" i="2"/>
  <c r="K971" i="31" s="1"/>
  <c r="F34" i="2"/>
  <c r="K969" i="31" s="1"/>
  <c r="F31" i="2"/>
  <c r="F30" i="2"/>
  <c r="F29" i="2"/>
  <c r="F25" i="2"/>
  <c r="F24" i="2"/>
  <c r="F23" i="2"/>
  <c r="F20" i="2"/>
  <c r="K965" i="31" s="1"/>
  <c r="F17" i="2"/>
  <c r="K964" i="31" s="1"/>
  <c r="F401" i="2"/>
  <c r="K1042" i="31" s="1"/>
  <c r="F397" i="2"/>
  <c r="F396" i="2"/>
  <c r="F393" i="2"/>
  <c r="K1039" i="31" s="1"/>
  <c r="F390" i="2"/>
  <c r="K1038" i="31" s="1"/>
  <c r="F245" i="2"/>
  <c r="K1007" i="31" s="1"/>
  <c r="F241" i="2"/>
  <c r="K1005" i="31" s="1"/>
  <c r="F237" i="2"/>
  <c r="K1003" i="31" s="1"/>
  <c r="C234" i="2"/>
  <c r="F234" i="2" s="1"/>
  <c r="K1002" i="31" s="1"/>
  <c r="F698" i="1"/>
  <c r="F489" i="1"/>
  <c r="F490" i="1"/>
  <c r="F491" i="1"/>
  <c r="F492" i="1"/>
  <c r="F167" i="1"/>
  <c r="F264" i="1"/>
  <c r="J264" i="1" s="1"/>
  <c r="F306" i="1"/>
  <c r="C305" i="1"/>
  <c r="F305" i="1" s="1"/>
  <c r="F304" i="1"/>
  <c r="I86" i="34" s="1"/>
  <c r="Y86" i="34" s="1"/>
  <c r="F301" i="1"/>
  <c r="F289" i="2"/>
  <c r="K1017" i="31" s="1"/>
  <c r="F286" i="2"/>
  <c r="K1015" i="31" s="1"/>
  <c r="F282" i="2"/>
  <c r="F281" i="2"/>
  <c r="F280" i="2"/>
  <c r="F277" i="2"/>
  <c r="K1012" i="31" s="1"/>
  <c r="F274" i="2"/>
  <c r="K1011" i="31" s="1"/>
  <c r="F208" i="2"/>
  <c r="K998" i="31" s="1"/>
  <c r="F204" i="2"/>
  <c r="F203" i="2"/>
  <c r="F202" i="2"/>
  <c r="F199" i="2"/>
  <c r="K995" i="31" s="1"/>
  <c r="F196" i="2"/>
  <c r="K994" i="31" s="1"/>
  <c r="F992" i="1"/>
  <c r="F991" i="1"/>
  <c r="F990" i="1"/>
  <c r="F987" i="1"/>
  <c r="F984" i="1"/>
  <c r="F996" i="1"/>
  <c r="F184" i="1"/>
  <c r="J184" i="1" s="1"/>
  <c r="K794" i="1"/>
  <c r="F793" i="1"/>
  <c r="I157" i="34" s="1"/>
  <c r="F788" i="1"/>
  <c r="S788" i="1" s="1"/>
  <c r="F787" i="1"/>
  <c r="S787" i="1" s="1"/>
  <c r="F786" i="1"/>
  <c r="F1331" i="1"/>
  <c r="F1330" i="1"/>
  <c r="I259" i="34" s="1"/>
  <c r="C1304" i="1"/>
  <c r="F1304" i="1" s="1"/>
  <c r="F1301" i="1"/>
  <c r="F1300" i="1"/>
  <c r="F1273" i="1"/>
  <c r="F1270" i="1"/>
  <c r="F1269" i="1"/>
  <c r="F1359" i="1"/>
  <c r="F1358" i="1"/>
  <c r="I263" i="34" s="1"/>
  <c r="F1169" i="1"/>
  <c r="F1165" i="1"/>
  <c r="F1161" i="1"/>
  <c r="F1160" i="1"/>
  <c r="F1159" i="1"/>
  <c r="F1158" i="1"/>
  <c r="F1155" i="1"/>
  <c r="F1152" i="1"/>
  <c r="F1124" i="1"/>
  <c r="F1120" i="1"/>
  <c r="F1116" i="1"/>
  <c r="F1115" i="1"/>
  <c r="F1114" i="1"/>
  <c r="F1113" i="1"/>
  <c r="F1110" i="1"/>
  <c r="F1107" i="1"/>
  <c r="F1079" i="1"/>
  <c r="I218" i="34" s="1"/>
  <c r="Y218" i="34" s="1"/>
  <c r="F1076" i="1"/>
  <c r="F1072" i="1"/>
  <c r="F1071" i="1"/>
  <c r="F1070" i="1"/>
  <c r="F1069" i="1"/>
  <c r="F1066" i="1"/>
  <c r="F1063" i="1"/>
  <c r="F1022" i="1"/>
  <c r="F956" i="1"/>
  <c r="F955" i="1"/>
  <c r="F952" i="1"/>
  <c r="F951" i="1"/>
  <c r="F947" i="1"/>
  <c r="F946" i="1"/>
  <c r="F945" i="1"/>
  <c r="F938" i="1"/>
  <c r="F937" i="1"/>
  <c r="F936" i="1"/>
  <c r="I185" i="34" s="1"/>
  <c r="Y185" i="34" s="1"/>
  <c r="F933" i="1"/>
  <c r="F930" i="1"/>
  <c r="C1035" i="1"/>
  <c r="F1035" i="1" s="1"/>
  <c r="F1031" i="1"/>
  <c r="F1030" i="1"/>
  <c r="C1027" i="1"/>
  <c r="F1027" i="1" s="1"/>
  <c r="F1026" i="1"/>
  <c r="C1025" i="1"/>
  <c r="F1025" i="1" s="1"/>
  <c r="I205" i="34" s="1"/>
  <c r="Y205" i="34" s="1"/>
  <c r="F488" i="1"/>
  <c r="I113" i="34" s="1"/>
  <c r="F426" i="1"/>
  <c r="C425" i="1"/>
  <c r="F425" i="1" s="1"/>
  <c r="C424" i="1"/>
  <c r="F424" i="1" s="1"/>
  <c r="F423" i="1"/>
  <c r="C420" i="1"/>
  <c r="F420" i="1" s="1"/>
  <c r="F417" i="1"/>
  <c r="F416" i="1"/>
  <c r="I101" i="34" s="1"/>
  <c r="F389" i="1"/>
  <c r="F388" i="1"/>
  <c r="F385" i="1"/>
  <c r="F382" i="1"/>
  <c r="F381" i="1"/>
  <c r="F378" i="1"/>
  <c r="F377" i="1"/>
  <c r="F376" i="1"/>
  <c r="F375" i="1"/>
  <c r="F374" i="1"/>
  <c r="F347" i="1"/>
  <c r="K347" i="1" s="1"/>
  <c r="F346" i="1"/>
  <c r="K346" i="1" s="1"/>
  <c r="F345" i="1"/>
  <c r="K345" i="1" s="1"/>
  <c r="F342" i="1"/>
  <c r="K342" i="1" s="1"/>
  <c r="F341" i="1"/>
  <c r="K341" i="1" s="1"/>
  <c r="F340" i="1"/>
  <c r="K340" i="1" s="1"/>
  <c r="F338" i="1"/>
  <c r="K338" i="1" s="1"/>
  <c r="F337" i="1"/>
  <c r="K337" i="1" s="1"/>
  <c r="F336" i="1"/>
  <c r="K336" i="1" s="1"/>
  <c r="F334" i="1"/>
  <c r="K334" i="1" s="1"/>
  <c r="F333" i="1"/>
  <c r="K333" i="1" s="1"/>
  <c r="F332" i="1"/>
  <c r="F274" i="1"/>
  <c r="J274" i="1" s="1"/>
  <c r="F273" i="1"/>
  <c r="J273" i="1" s="1"/>
  <c r="F272" i="1"/>
  <c r="J272" i="1" s="1"/>
  <c r="F271" i="1"/>
  <c r="J271" i="1" s="1"/>
  <c r="F270" i="1"/>
  <c r="J270" i="1" s="1"/>
  <c r="F269" i="1"/>
  <c r="F263" i="1"/>
  <c r="J263" i="1" s="1"/>
  <c r="F262" i="1"/>
  <c r="J262" i="1" s="1"/>
  <c r="F261" i="1"/>
  <c r="J261" i="1" s="1"/>
  <c r="F260" i="1"/>
  <c r="J260" i="1" s="1"/>
  <c r="F259" i="1"/>
  <c r="J259" i="1" s="1"/>
  <c r="F258" i="1"/>
  <c r="J258" i="1" s="1"/>
  <c r="F257" i="1"/>
  <c r="J257" i="1" s="1"/>
  <c r="F256" i="1"/>
  <c r="J256" i="1" s="1"/>
  <c r="F255" i="1"/>
  <c r="J255" i="1" s="1"/>
  <c r="F254" i="1"/>
  <c r="J254" i="1" s="1"/>
  <c r="F253" i="1"/>
  <c r="J253" i="1" s="1"/>
  <c r="F252" i="1"/>
  <c r="J252" i="1" s="1"/>
  <c r="F251" i="1"/>
  <c r="J251" i="1" s="1"/>
  <c r="F250" i="1"/>
  <c r="F247" i="1"/>
  <c r="J247" i="1" s="1"/>
  <c r="F245" i="1"/>
  <c r="J245" i="1" s="1"/>
  <c r="F244" i="1"/>
  <c r="J244" i="1" s="1"/>
  <c r="F243" i="1"/>
  <c r="F235" i="1"/>
  <c r="J235" i="1" s="1"/>
  <c r="F233" i="1"/>
  <c r="J233" i="1" s="1"/>
  <c r="F232" i="1"/>
  <c r="J232" i="1" s="1"/>
  <c r="F231" i="1"/>
  <c r="J231" i="1" s="1"/>
  <c r="F230" i="1"/>
  <c r="J230" i="1" s="1"/>
  <c r="F229" i="1"/>
  <c r="J229" i="1" s="1"/>
  <c r="F228" i="1"/>
  <c r="F226" i="1"/>
  <c r="I72" i="34" s="1"/>
  <c r="Y72" i="34" s="1"/>
  <c r="F225" i="1"/>
  <c r="I71" i="34" s="1"/>
  <c r="Y71" i="34" s="1"/>
  <c r="F224" i="1"/>
  <c r="I70" i="34" s="1"/>
  <c r="Y70" i="34" s="1"/>
  <c r="F223" i="1"/>
  <c r="J223" i="1" s="1"/>
  <c r="F222" i="1"/>
  <c r="F219" i="1"/>
  <c r="I67" i="34" s="1"/>
  <c r="Y67" i="34" s="1"/>
  <c r="F216" i="1"/>
  <c r="J216" i="1" s="1"/>
  <c r="F215" i="1"/>
  <c r="J215" i="1" s="1"/>
  <c r="F214" i="1"/>
  <c r="J214" i="1" s="1"/>
  <c r="C212" i="1"/>
  <c r="F212" i="1" s="1"/>
  <c r="J212" i="1" s="1"/>
  <c r="F211" i="1"/>
  <c r="J211" i="1" s="1"/>
  <c r="F210" i="1"/>
  <c r="F206" i="1"/>
  <c r="I63" i="34" s="1"/>
  <c r="Y63" i="34" s="1"/>
  <c r="F203" i="1"/>
  <c r="I62" i="34" s="1"/>
  <c r="Y62" i="34" s="1"/>
  <c r="F200" i="1"/>
  <c r="J200" i="1" s="1"/>
  <c r="F199" i="1"/>
  <c r="J199" i="1" s="1"/>
  <c r="F198" i="1"/>
  <c r="J198" i="1" s="1"/>
  <c r="F197" i="1"/>
  <c r="J197" i="1" s="1"/>
  <c r="F196" i="1"/>
  <c r="J196" i="1" s="1"/>
  <c r="F195" i="1"/>
  <c r="F192" i="1"/>
  <c r="J192" i="1" s="1"/>
  <c r="F191" i="1"/>
  <c r="F188" i="1"/>
  <c r="J188" i="1" s="1"/>
  <c r="F187" i="1"/>
  <c r="J187" i="1" s="1"/>
  <c r="F186" i="1"/>
  <c r="J186" i="1" s="1"/>
  <c r="F185" i="1"/>
  <c r="J185" i="1" s="1"/>
  <c r="F183" i="1"/>
  <c r="F180" i="1"/>
  <c r="J180" i="1" s="1"/>
  <c r="F179" i="1"/>
  <c r="J179" i="1" s="1"/>
  <c r="F178" i="1"/>
  <c r="J178" i="1" s="1"/>
  <c r="F177" i="1"/>
  <c r="J177" i="1" s="1"/>
  <c r="F176" i="1"/>
  <c r="J176" i="1" s="1"/>
  <c r="F175" i="1"/>
  <c r="J175" i="1" s="1"/>
  <c r="F174" i="1"/>
  <c r="J174" i="1" s="1"/>
  <c r="F173" i="1"/>
  <c r="J173" i="1" s="1"/>
  <c r="F172" i="1"/>
  <c r="J172" i="1" s="1"/>
  <c r="F171" i="1"/>
  <c r="J171" i="1" s="1"/>
  <c r="F170" i="1"/>
  <c r="J170" i="1" s="1"/>
  <c r="F169" i="1"/>
  <c r="J169" i="1" s="1"/>
  <c r="F168" i="1"/>
  <c r="J168" i="1" s="1"/>
  <c r="F164" i="1"/>
  <c r="J164" i="1" s="1"/>
  <c r="F163" i="1"/>
  <c r="J163" i="1" s="1"/>
  <c r="C162" i="1"/>
  <c r="F162" i="1" s="1"/>
  <c r="F160" i="1"/>
  <c r="J160" i="1" s="1"/>
  <c r="F159" i="1"/>
  <c r="J159" i="1" s="1"/>
  <c r="F158" i="1"/>
  <c r="J158" i="1" s="1"/>
  <c r="F157" i="1"/>
  <c r="J157" i="1" s="1"/>
  <c r="F156" i="1"/>
  <c r="J156" i="1" s="1"/>
  <c r="F155" i="1"/>
  <c r="J155" i="1" s="1"/>
  <c r="F154" i="1"/>
  <c r="J154" i="1" s="1"/>
  <c r="F153" i="1"/>
  <c r="J153" i="1" s="1"/>
  <c r="F152" i="1"/>
  <c r="J152" i="1" s="1"/>
  <c r="F151" i="1"/>
  <c r="F145" i="1"/>
  <c r="J145" i="1" s="1"/>
  <c r="F144" i="1"/>
  <c r="J144" i="1" s="1"/>
  <c r="F143" i="1"/>
  <c r="J143" i="1" s="1"/>
  <c r="F142" i="1"/>
  <c r="J142" i="1" s="1"/>
  <c r="F141" i="1"/>
  <c r="J141" i="1" s="1"/>
  <c r="F140" i="1"/>
  <c r="J140" i="1" s="1"/>
  <c r="F139" i="1"/>
  <c r="J139" i="1" s="1"/>
  <c r="F138" i="1"/>
  <c r="J138" i="1" s="1"/>
  <c r="F137" i="1"/>
  <c r="J137" i="1" s="1"/>
  <c r="F136" i="1"/>
  <c r="J136" i="1" s="1"/>
  <c r="F135" i="1"/>
  <c r="J135" i="1" s="1"/>
  <c r="F134" i="1"/>
  <c r="J134" i="1" s="1"/>
  <c r="F133" i="1"/>
  <c r="J133" i="1" s="1"/>
  <c r="F132" i="1"/>
  <c r="J132" i="1" s="1"/>
  <c r="F131" i="1"/>
  <c r="J131" i="1" s="1"/>
  <c r="F130" i="1"/>
  <c r="J130" i="1" s="1"/>
  <c r="F129" i="1"/>
  <c r="J129" i="1" s="1"/>
  <c r="F128" i="1"/>
  <c r="J128" i="1" s="1"/>
  <c r="F127" i="1"/>
  <c r="J127" i="1" s="1"/>
  <c r="F126" i="1"/>
  <c r="J126" i="1" s="1"/>
  <c r="F125" i="1"/>
  <c r="J125" i="1" s="1"/>
  <c r="F124" i="1"/>
  <c r="J124" i="1" s="1"/>
  <c r="F123" i="1"/>
  <c r="J123" i="1" s="1"/>
  <c r="F122" i="1"/>
  <c r="J122" i="1" s="1"/>
  <c r="F121" i="1"/>
  <c r="J121" i="1" s="1"/>
  <c r="F120" i="1"/>
  <c r="J120" i="1" s="1"/>
  <c r="F119" i="1"/>
  <c r="J119" i="1" s="1"/>
  <c r="F118" i="1"/>
  <c r="F92" i="1"/>
  <c r="K92" i="1" s="1"/>
  <c r="F91" i="1"/>
  <c r="K91" i="1" s="1"/>
  <c r="F90" i="1"/>
  <c r="F88" i="1"/>
  <c r="I49" i="34" s="1"/>
  <c r="Y49" i="34" s="1"/>
  <c r="F87" i="1"/>
  <c r="K87" i="1" s="1"/>
  <c r="F86" i="1"/>
  <c r="K86" i="1" s="1"/>
  <c r="F85" i="1"/>
  <c r="F83" i="1"/>
  <c r="F58" i="1"/>
  <c r="K58" i="1" s="1"/>
  <c r="F57" i="1"/>
  <c r="K57" i="1" s="1"/>
  <c r="F56" i="1"/>
  <c r="K56" i="1" s="1"/>
  <c r="F54" i="1"/>
  <c r="K54" i="1" s="1"/>
  <c r="F53" i="1"/>
  <c r="K53" i="1" s="1"/>
  <c r="F52" i="1"/>
  <c r="K52" i="1" s="1"/>
  <c r="F50" i="1"/>
  <c r="K50" i="1" s="1"/>
  <c r="F49" i="1"/>
  <c r="K49" i="1" s="1"/>
  <c r="F48" i="1"/>
  <c r="F45" i="1"/>
  <c r="J45" i="1" s="1"/>
  <c r="F44" i="1"/>
  <c r="J44" i="1" s="1"/>
  <c r="F43" i="1"/>
  <c r="F18" i="1"/>
  <c r="I38" i="34" s="1"/>
  <c r="Y38" i="34" s="1"/>
  <c r="F17" i="1"/>
  <c r="I37" i="34" s="1"/>
  <c r="Y37" i="34" s="1"/>
  <c r="F16" i="1"/>
  <c r="I36" i="34" s="1"/>
  <c r="Y36" i="34" s="1"/>
  <c r="F15" i="1"/>
  <c r="K16" i="15"/>
  <c r="M16" i="15" s="1"/>
  <c r="I192" i="34" l="1"/>
  <c r="Y192" i="34" s="1"/>
  <c r="I57" i="34"/>
  <c r="Y57" i="34" s="1"/>
  <c r="I254" i="34"/>
  <c r="I48" i="34"/>
  <c r="Y48" i="34" s="1"/>
  <c r="I50" i="34"/>
  <c r="Y50" i="34" s="1"/>
  <c r="I61" i="34"/>
  <c r="Y61" i="34" s="1"/>
  <c r="I65" i="34"/>
  <c r="Y65" i="34" s="1"/>
  <c r="I73" i="34"/>
  <c r="Y73" i="34" s="1"/>
  <c r="I95" i="34"/>
  <c r="Y95" i="34" s="1"/>
  <c r="I103" i="34"/>
  <c r="Y103" i="34" s="1"/>
  <c r="I206" i="34"/>
  <c r="Y206" i="34" s="1"/>
  <c r="I189" i="34"/>
  <c r="Y189" i="34" s="1"/>
  <c r="K200" i="31"/>
  <c r="I184" i="34"/>
  <c r="K266" i="31"/>
  <c r="I250" i="34"/>
  <c r="Y250" i="34" s="1"/>
  <c r="Y149" i="34"/>
  <c r="I146" i="34"/>
  <c r="Y146" i="34" s="1"/>
  <c r="K212" i="31"/>
  <c r="I196" i="34"/>
  <c r="F728" i="1"/>
  <c r="N728" i="1" s="1"/>
  <c r="I144" i="34"/>
  <c r="I43" i="34"/>
  <c r="Y43" i="34" s="1"/>
  <c r="I60" i="34"/>
  <c r="Y60" i="34" s="1"/>
  <c r="K112" i="31"/>
  <c r="I96" i="34"/>
  <c r="Y96" i="34" s="1"/>
  <c r="K224" i="31"/>
  <c r="I208" i="34"/>
  <c r="Y208" i="34" s="1"/>
  <c r="I214" i="34"/>
  <c r="Y214" i="34" s="1"/>
  <c r="K232" i="31"/>
  <c r="I216" i="34"/>
  <c r="Y216" i="34" s="1"/>
  <c r="I224" i="34"/>
  <c r="Y224" i="34" s="1"/>
  <c r="K242" i="31"/>
  <c r="I226" i="34"/>
  <c r="Y226" i="34" s="1"/>
  <c r="I234" i="34"/>
  <c r="Y234" i="34" s="1"/>
  <c r="K252" i="31"/>
  <c r="I236" i="34"/>
  <c r="Y236" i="34" s="1"/>
  <c r="I249" i="34"/>
  <c r="I155" i="34"/>
  <c r="Y155" i="34" s="1"/>
  <c r="K213" i="31"/>
  <c r="I197" i="34"/>
  <c r="Y197" i="34" s="1"/>
  <c r="I110" i="34"/>
  <c r="Y110" i="34" s="1"/>
  <c r="Y113" i="34"/>
  <c r="K228" i="31"/>
  <c r="I212" i="34"/>
  <c r="K238" i="31"/>
  <c r="I222" i="34"/>
  <c r="K248" i="31"/>
  <c r="I232" i="34"/>
  <c r="I260" i="34"/>
  <c r="Y260" i="34" s="1"/>
  <c r="Y263" i="34"/>
  <c r="I256" i="34"/>
  <c r="Y256" i="34" s="1"/>
  <c r="Y259" i="34"/>
  <c r="K216" i="31"/>
  <c r="I200" i="34"/>
  <c r="Y200" i="34" s="1"/>
  <c r="I58" i="34"/>
  <c r="Y58" i="34" s="1"/>
  <c r="I59" i="34"/>
  <c r="Y59" i="34" s="1"/>
  <c r="I81" i="34"/>
  <c r="Y81" i="34" s="1"/>
  <c r="Y101" i="34"/>
  <c r="K229" i="31"/>
  <c r="I213" i="34"/>
  <c r="Y213" i="34" s="1"/>
  <c r="K239" i="31"/>
  <c r="I223" i="34"/>
  <c r="Y223" i="34" s="1"/>
  <c r="K249" i="31"/>
  <c r="I233" i="34"/>
  <c r="Y233" i="34" s="1"/>
  <c r="Y254" i="34"/>
  <c r="K51" i="31"/>
  <c r="I35" i="34"/>
  <c r="I42" i="34"/>
  <c r="K63" i="31"/>
  <c r="I47" i="34"/>
  <c r="I54" i="34"/>
  <c r="I56" i="34"/>
  <c r="Y56" i="34" s="1"/>
  <c r="I69" i="34"/>
  <c r="Y69" i="34" s="1"/>
  <c r="I78" i="34"/>
  <c r="Y78" i="34" s="1"/>
  <c r="I79" i="34"/>
  <c r="Y79" i="34" s="1"/>
  <c r="I90" i="34"/>
  <c r="I94" i="34"/>
  <c r="I97" i="34"/>
  <c r="Y97" i="34" s="1"/>
  <c r="K118" i="31"/>
  <c r="I102" i="34"/>
  <c r="Y102" i="34" s="1"/>
  <c r="K199" i="31"/>
  <c r="I183" i="34"/>
  <c r="Y183" i="34" s="1"/>
  <c r="I191" i="34"/>
  <c r="Y191" i="34" s="1"/>
  <c r="K220" i="31"/>
  <c r="I204" i="34"/>
  <c r="K244" i="31"/>
  <c r="I228" i="34"/>
  <c r="Y228" i="34" s="1"/>
  <c r="K254" i="31"/>
  <c r="I238" i="34"/>
  <c r="Y238" i="34" s="1"/>
  <c r="K271" i="31"/>
  <c r="I255" i="34"/>
  <c r="Y255" i="34" s="1"/>
  <c r="I198" i="34"/>
  <c r="Y198" i="34" s="1"/>
  <c r="K101" i="31"/>
  <c r="I85" i="34"/>
  <c r="Y157" i="34"/>
  <c r="F147" i="3"/>
  <c r="W4" i="3"/>
  <c r="R6" i="30" s="1"/>
  <c r="R10" i="30" s="1"/>
  <c r="R11" i="30" s="1"/>
  <c r="R15" i="30" s="1"/>
  <c r="F148" i="3"/>
  <c r="K234" i="31"/>
  <c r="K165" i="31"/>
  <c r="K162" i="31" s="1"/>
  <c r="I70" i="32" s="1"/>
  <c r="I71" i="32" s="1"/>
  <c r="K95" i="31"/>
  <c r="S786" i="1"/>
  <c r="F802" i="1"/>
  <c r="M168" i="31" s="1"/>
  <c r="J4" i="3"/>
  <c r="E6" i="30" s="1"/>
  <c r="F277" i="1"/>
  <c r="M67" i="31" s="1"/>
  <c r="K174" i="31"/>
  <c r="L793" i="1"/>
  <c r="K173" i="31"/>
  <c r="K94" i="31"/>
  <c r="K89" i="31"/>
  <c r="K129" i="31"/>
  <c r="X4" i="3"/>
  <c r="S6" i="30" s="1"/>
  <c r="S10" i="30" s="1"/>
  <c r="S11" i="30" s="1"/>
  <c r="W2" i="3"/>
  <c r="S4" i="3"/>
  <c r="N6" i="30" s="1"/>
  <c r="N10" i="30" s="1"/>
  <c r="K208" i="31"/>
  <c r="K270" i="31"/>
  <c r="K261" i="31"/>
  <c r="K255" i="31" s="1"/>
  <c r="I93" i="32" s="1"/>
  <c r="I94" i="32" s="1"/>
  <c r="K58" i="31"/>
  <c r="K221" i="31"/>
  <c r="K201" i="31"/>
  <c r="K113" i="31"/>
  <c r="K265" i="31"/>
  <c r="K262" i="31" s="1"/>
  <c r="I95" i="32" s="1"/>
  <c r="I96" i="32" s="1"/>
  <c r="K207" i="31"/>
  <c r="K250" i="31"/>
  <c r="K171" i="31"/>
  <c r="K230" i="31"/>
  <c r="K214" i="31"/>
  <c r="K240" i="31"/>
  <c r="K222" i="31"/>
  <c r="K205" i="31"/>
  <c r="K279" i="31"/>
  <c r="K276" i="31" s="1"/>
  <c r="I101" i="32" s="1"/>
  <c r="I102" i="32" s="1"/>
  <c r="K275" i="31"/>
  <c r="K272" i="31" s="1"/>
  <c r="I99" i="32" s="1"/>
  <c r="I100" i="32" s="1"/>
  <c r="K1013" i="31"/>
  <c r="K1008" i="31" s="1"/>
  <c r="I267" i="32" s="1"/>
  <c r="I268" i="32" s="1"/>
  <c r="K999" i="31"/>
  <c r="I265" i="32" s="1"/>
  <c r="I266" i="32" s="1"/>
  <c r="K996" i="31"/>
  <c r="K991" i="31" s="1"/>
  <c r="I263" i="32" s="1"/>
  <c r="I264" i="32" s="1"/>
  <c r="K1040" i="31"/>
  <c r="K1035" i="31" s="1"/>
  <c r="K968" i="31"/>
  <c r="K966" i="31"/>
  <c r="R4" i="3"/>
  <c r="M6" i="30" s="1"/>
  <c r="F2306" i="3"/>
  <c r="F2316" i="3" s="1"/>
  <c r="K746" i="31"/>
  <c r="K743" i="31" s="1"/>
  <c r="I205" i="32" s="1"/>
  <c r="I206" i="32" s="1"/>
  <c r="L48" i="21"/>
  <c r="M308" i="31"/>
  <c r="K294" i="31"/>
  <c r="K111" i="31"/>
  <c r="K160" i="31"/>
  <c r="M70" i="31"/>
  <c r="K70" i="31"/>
  <c r="J148" i="1"/>
  <c r="K71" i="31"/>
  <c r="M71" i="31"/>
  <c r="J191" i="1"/>
  <c r="K76" i="31"/>
  <c r="K16" i="1"/>
  <c r="K52" i="31"/>
  <c r="J226" i="1"/>
  <c r="K88" i="31"/>
  <c r="J243" i="1"/>
  <c r="J250" i="1"/>
  <c r="K17" i="1"/>
  <c r="K53" i="31"/>
  <c r="J195" i="1"/>
  <c r="K77" i="31"/>
  <c r="J210" i="1"/>
  <c r="K81" i="31"/>
  <c r="J228" i="1"/>
  <c r="K119" i="31"/>
  <c r="K88" i="1"/>
  <c r="K65" i="31"/>
  <c r="J203" i="1"/>
  <c r="K78" i="31"/>
  <c r="J219" i="1"/>
  <c r="K83" i="31"/>
  <c r="J225" i="1"/>
  <c r="K87" i="31"/>
  <c r="K85" i="1"/>
  <c r="K64" i="31"/>
  <c r="K90" i="1"/>
  <c r="K66" i="31"/>
  <c r="J151" i="1"/>
  <c r="M72" i="31"/>
  <c r="K72" i="31"/>
  <c r="J206" i="1"/>
  <c r="K79" i="31"/>
  <c r="J222" i="1"/>
  <c r="K85" i="31"/>
  <c r="K106" i="31"/>
  <c r="K110" i="31"/>
  <c r="K18" i="1"/>
  <c r="K54" i="31"/>
  <c r="K48" i="1"/>
  <c r="K59" i="31"/>
  <c r="J162" i="1"/>
  <c r="K73" i="31"/>
  <c r="J183" i="1"/>
  <c r="K75" i="31"/>
  <c r="J224" i="1"/>
  <c r="K86" i="31"/>
  <c r="J269" i="1"/>
  <c r="K97" i="31"/>
  <c r="K117" i="31"/>
  <c r="K102" i="31"/>
  <c r="J167" i="1"/>
  <c r="K74" i="31"/>
  <c r="M74" i="31"/>
  <c r="M18" i="15"/>
  <c r="M21" i="15"/>
  <c r="M26" i="15"/>
  <c r="M32" i="15"/>
  <c r="M20" i="15"/>
  <c r="M28" i="15"/>
  <c r="M30" i="15"/>
  <c r="M33" i="15"/>
  <c r="M25" i="15"/>
  <c r="K14" i="15"/>
  <c r="M14" i="15" s="1"/>
  <c r="F1275" i="1"/>
  <c r="T1275" i="1" s="1"/>
  <c r="I26" i="9"/>
  <c r="M19" i="15"/>
  <c r="M23" i="15"/>
  <c r="M22" i="15"/>
  <c r="M17" i="15"/>
  <c r="L13" i="24"/>
  <c r="L11" i="22"/>
  <c r="L36" i="22" s="1"/>
  <c r="L45" i="22" s="1"/>
  <c r="F1038" i="1"/>
  <c r="J1038" i="1" s="1"/>
  <c r="F998" i="1"/>
  <c r="U998" i="1" s="1"/>
  <c r="M29" i="15"/>
  <c r="M27" i="15"/>
  <c r="M24" i="15"/>
  <c r="M31" i="15"/>
  <c r="D26" i="18"/>
  <c r="E26" i="18"/>
  <c r="F26" i="18"/>
  <c r="G26" i="18"/>
  <c r="F1082" i="1"/>
  <c r="K1082" i="1" s="1"/>
  <c r="F1126" i="1"/>
  <c r="J1126" i="1" s="1"/>
  <c r="F1171" i="1"/>
  <c r="J1171" i="1" s="1"/>
  <c r="F1362" i="1"/>
  <c r="F1333" i="1"/>
  <c r="S1333" i="1" s="1"/>
  <c r="J43" i="1"/>
  <c r="F60" i="1"/>
  <c r="O3" i="1"/>
  <c r="K5" i="30" s="1"/>
  <c r="K10" i="30" s="1"/>
  <c r="K11" i="30" s="1"/>
  <c r="F390" i="1"/>
  <c r="F495" i="1"/>
  <c r="K495" i="1" s="1"/>
  <c r="F959" i="1"/>
  <c r="T959" i="1" s="1"/>
  <c r="T3" i="1" s="1"/>
  <c r="P5" i="30" s="1"/>
  <c r="P10" i="30" s="1"/>
  <c r="P11" i="30" s="1"/>
  <c r="F308" i="1"/>
  <c r="F429" i="1"/>
  <c r="J118" i="1"/>
  <c r="F1306" i="1"/>
  <c r="J1306" i="1" s="1"/>
  <c r="J15" i="1"/>
  <c r="F20" i="1"/>
  <c r="K83" i="1"/>
  <c r="F94" i="1"/>
  <c r="F19" i="30" s="1"/>
  <c r="K332" i="1"/>
  <c r="F349" i="1"/>
  <c r="F20" i="30" s="1"/>
  <c r="F763" i="1"/>
  <c r="L133" i="8"/>
  <c r="F210" i="2"/>
  <c r="L136" i="8"/>
  <c r="F249" i="2"/>
  <c r="F403" i="2"/>
  <c r="F292" i="2"/>
  <c r="L132" i="8"/>
  <c r="F41" i="2"/>
  <c r="E126" i="15"/>
  <c r="L137" i="8"/>
  <c r="L138" i="8"/>
  <c r="L98" i="8"/>
  <c r="L103" i="8"/>
  <c r="L112" i="8"/>
  <c r="L115" i="8"/>
  <c r="L116" i="8"/>
  <c r="G102" i="15"/>
  <c r="L102" i="8"/>
  <c r="L104" i="8"/>
  <c r="L97" i="8"/>
  <c r="L109" i="8"/>
  <c r="L119" i="8"/>
  <c r="L106" i="8"/>
  <c r="L100" i="8"/>
  <c r="L107" i="8"/>
  <c r="L99" i="8"/>
  <c r="L96" i="8"/>
  <c r="L94" i="8"/>
  <c r="L95" i="8"/>
  <c r="L111" i="8"/>
  <c r="L86" i="8"/>
  <c r="D58" i="8"/>
  <c r="C89" i="11" s="1"/>
  <c r="F127" i="15"/>
  <c r="D110" i="8"/>
  <c r="C301" i="11"/>
  <c r="C369" i="11"/>
  <c r="C102" i="15"/>
  <c r="C124" i="11"/>
  <c r="L72" i="8"/>
  <c r="L49" i="8"/>
  <c r="L67" i="8"/>
  <c r="L57" i="8"/>
  <c r="L83" i="8"/>
  <c r="L64" i="8"/>
  <c r="L73" i="8"/>
  <c r="L55" i="8"/>
  <c r="L59" i="8"/>
  <c r="L77" i="8"/>
  <c r="L56" i="8"/>
  <c r="L85" i="8"/>
  <c r="L82" i="8"/>
  <c r="L53" i="8"/>
  <c r="L68" i="8"/>
  <c r="L51" i="8"/>
  <c r="L61" i="8"/>
  <c r="L62" i="8"/>
  <c r="L63" i="8"/>
  <c r="L65" i="8"/>
  <c r="L66" i="8"/>
  <c r="L74" i="8"/>
  <c r="L75" i="8"/>
  <c r="L76" i="8"/>
  <c r="L52" i="8"/>
  <c r="L69" i="8"/>
  <c r="L60" i="8"/>
  <c r="L81" i="8"/>
  <c r="L70" i="8"/>
  <c r="F1436" i="1" l="1"/>
  <c r="K98" i="31"/>
  <c r="I46" i="32" s="1"/>
  <c r="I47" i="32" s="1"/>
  <c r="K209" i="31"/>
  <c r="I83" i="32" s="1"/>
  <c r="I84" i="32" s="1"/>
  <c r="I152" i="34"/>
  <c r="Y152" i="34" s="1"/>
  <c r="I87" i="34"/>
  <c r="Y87" i="34" s="1"/>
  <c r="Y90" i="34"/>
  <c r="Y42" i="34"/>
  <c r="I39" i="34"/>
  <c r="Y39" i="34" s="1"/>
  <c r="Y222" i="34"/>
  <c r="I219" i="34"/>
  <c r="Y219" i="34" s="1"/>
  <c r="Y196" i="34"/>
  <c r="I193" i="34"/>
  <c r="Y193" i="34" s="1"/>
  <c r="Y54" i="34"/>
  <c r="I51" i="34"/>
  <c r="Y51" i="34" s="1"/>
  <c r="Y35" i="34"/>
  <c r="I32" i="34"/>
  <c r="Y32" i="34" s="1"/>
  <c r="I246" i="34"/>
  <c r="Y246" i="34" s="1"/>
  <c r="Y249" i="34"/>
  <c r="Y47" i="34"/>
  <c r="I44" i="34"/>
  <c r="Y232" i="34"/>
  <c r="I229" i="34"/>
  <c r="Y229" i="34" s="1"/>
  <c r="Y212" i="34"/>
  <c r="I209" i="34"/>
  <c r="Y209" i="34" s="1"/>
  <c r="Y144" i="34"/>
  <c r="I141" i="34"/>
  <c r="Y141" i="34" s="1"/>
  <c r="I180" i="34"/>
  <c r="Y180" i="34" s="1"/>
  <c r="Y184" i="34"/>
  <c r="Y85" i="34"/>
  <c r="I82" i="34"/>
  <c r="Y82" i="34" s="1"/>
  <c r="S3" i="1"/>
  <c r="O5" i="30" s="1"/>
  <c r="K235" i="31"/>
  <c r="M235" i="31" s="1"/>
  <c r="K245" i="31"/>
  <c r="I91" i="32" s="1"/>
  <c r="I92" i="32" s="1"/>
  <c r="K267" i="31"/>
  <c r="I97" i="32" s="1"/>
  <c r="I98" i="32" s="1"/>
  <c r="Y204" i="34"/>
  <c r="I201" i="34"/>
  <c r="Y201" i="34" s="1"/>
  <c r="Y94" i="34"/>
  <c r="I91" i="34"/>
  <c r="Y91" i="34" s="1"/>
  <c r="I251" i="34"/>
  <c r="Y251" i="34" s="1"/>
  <c r="I98" i="34"/>
  <c r="Y98" i="34" s="1"/>
  <c r="F729" i="1"/>
  <c r="E149" i="3"/>
  <c r="H149" i="3" s="1"/>
  <c r="K292" i="31"/>
  <c r="N293" i="31" s="1"/>
  <c r="J2" i="3"/>
  <c r="L14" i="30"/>
  <c r="K225" i="31"/>
  <c r="I87" i="32" s="1"/>
  <c r="I88" i="32" s="1"/>
  <c r="N763" i="1"/>
  <c r="N3" i="1" s="1"/>
  <c r="J5" i="30" s="1"/>
  <c r="J10" i="30" s="1"/>
  <c r="J11" i="30" s="1"/>
  <c r="K157" i="31"/>
  <c r="I68" i="32" s="1"/>
  <c r="I69" i="32" s="1"/>
  <c r="F532" i="2"/>
  <c r="U1362" i="1"/>
  <c r="U3" i="1" s="1"/>
  <c r="Q5" i="30" s="1"/>
  <c r="Q10" i="30" s="1"/>
  <c r="Q11" i="30" s="1"/>
  <c r="X6" i="30"/>
  <c r="X2" i="3"/>
  <c r="K103" i="31"/>
  <c r="I48" i="32" s="1"/>
  <c r="I49" i="32" s="1"/>
  <c r="K961" i="31"/>
  <c r="S2" i="3"/>
  <c r="R2" i="3"/>
  <c r="M10" i="30"/>
  <c r="M11" i="30" s="1"/>
  <c r="K217" i="31"/>
  <c r="I85" i="32" s="1"/>
  <c r="I86" i="32" s="1"/>
  <c r="L29" i="23"/>
  <c r="F18" i="30"/>
  <c r="P3" i="1"/>
  <c r="L5" i="30" s="1"/>
  <c r="K196" i="31"/>
  <c r="I81" i="32" s="1"/>
  <c r="I82" i="32" s="1"/>
  <c r="F21" i="30"/>
  <c r="M126" i="31"/>
  <c r="F22" i="30"/>
  <c r="N11" i="30"/>
  <c r="C38" i="28"/>
  <c r="I107" i="32"/>
  <c r="I108" i="32" s="1"/>
  <c r="M1036" i="31"/>
  <c r="I273" i="32"/>
  <c r="I274" i="32" s="1"/>
  <c r="K168" i="31"/>
  <c r="I73" i="32" s="1"/>
  <c r="I74" i="32" s="1"/>
  <c r="L3" i="1"/>
  <c r="H5" i="30" s="1"/>
  <c r="H10" i="30" s="1"/>
  <c r="T2306" i="3"/>
  <c r="L92" i="21"/>
  <c r="C79" i="28" s="1"/>
  <c r="L54" i="24"/>
  <c r="N294" i="31"/>
  <c r="K107" i="31"/>
  <c r="K55" i="31"/>
  <c r="K126" i="31"/>
  <c r="I56" i="32" s="1"/>
  <c r="I57" i="32" s="1"/>
  <c r="L28" i="21"/>
  <c r="C19" i="28" s="1"/>
  <c r="L16" i="23"/>
  <c r="L24" i="8"/>
  <c r="K60" i="31"/>
  <c r="I42" i="32" s="1"/>
  <c r="I43" i="32" s="1"/>
  <c r="K48" i="31"/>
  <c r="L15" i="23"/>
  <c r="M60" i="31"/>
  <c r="K308" i="1"/>
  <c r="M98" i="31"/>
  <c r="L18" i="23"/>
  <c r="M103" i="31"/>
  <c r="L14" i="23"/>
  <c r="M55" i="31"/>
  <c r="K429" i="1"/>
  <c r="M114" i="31"/>
  <c r="J390" i="1"/>
  <c r="K114" i="31"/>
  <c r="I52" i="32" s="1"/>
  <c r="I53" i="32" s="1"/>
  <c r="K67" i="31"/>
  <c r="M68" i="31" s="1"/>
  <c r="J403" i="2"/>
  <c r="X8" i="30"/>
  <c r="M960" i="31" s="1"/>
  <c r="L42" i="23"/>
  <c r="L36" i="23"/>
  <c r="L27" i="21"/>
  <c r="C18" i="28" s="1"/>
  <c r="L23" i="8"/>
  <c r="L41" i="23"/>
  <c r="L38" i="23"/>
  <c r="L20" i="26"/>
  <c r="P249" i="2"/>
  <c r="L21" i="26"/>
  <c r="P292" i="2"/>
  <c r="L19" i="26"/>
  <c r="J210" i="2"/>
  <c r="L26" i="26"/>
  <c r="I41" i="2"/>
  <c r="I2" i="2" s="1"/>
  <c r="E8" i="30" s="1"/>
  <c r="L19" i="23"/>
  <c r="L28" i="23"/>
  <c r="L31" i="23"/>
  <c r="L40" i="23"/>
  <c r="L129" i="21"/>
  <c r="C115" i="28" s="1"/>
  <c r="L23" i="26"/>
  <c r="L39" i="21"/>
  <c r="C29" i="28" s="1"/>
  <c r="L39" i="23"/>
  <c r="L21" i="21"/>
  <c r="C12" i="28" s="1"/>
  <c r="L22" i="23"/>
  <c r="L12" i="21"/>
  <c r="L13" i="23"/>
  <c r="L44" i="21"/>
  <c r="C34" i="28" s="1"/>
  <c r="L44" i="23"/>
  <c r="L29" i="21"/>
  <c r="C20" i="28" s="1"/>
  <c r="L30" i="23"/>
  <c r="L16" i="21"/>
  <c r="C7" i="28" s="1"/>
  <c r="L17" i="23"/>
  <c r="L19" i="21"/>
  <c r="C10" i="28" s="1"/>
  <c r="L20" i="23"/>
  <c r="L43" i="21"/>
  <c r="C33" i="28" s="1"/>
  <c r="L43" i="23"/>
  <c r="L35" i="21"/>
  <c r="C25" i="28" s="1"/>
  <c r="L35" i="23"/>
  <c r="L37" i="21"/>
  <c r="C27" i="28" s="1"/>
  <c r="L37" i="23"/>
  <c r="L45" i="21"/>
  <c r="C35" i="28" s="1"/>
  <c r="L45" i="23"/>
  <c r="L36" i="8"/>
  <c r="L41" i="8"/>
  <c r="L128" i="8"/>
  <c r="L125" i="8"/>
  <c r="L139" i="8" s="1"/>
  <c r="L120" i="21"/>
  <c r="L130" i="8"/>
  <c r="L126" i="21"/>
  <c r="C112" i="28" s="1"/>
  <c r="L131" i="8"/>
  <c r="L127" i="21"/>
  <c r="C113" i="28" s="1"/>
  <c r="L129" i="8"/>
  <c r="L125" i="21"/>
  <c r="C111" i="28" s="1"/>
  <c r="L80" i="8"/>
  <c r="L25" i="8"/>
  <c r="L30" i="21"/>
  <c r="C21" i="28" s="1"/>
  <c r="L17" i="8"/>
  <c r="L17" i="21"/>
  <c r="C8" i="28" s="1"/>
  <c r="L18" i="8"/>
  <c r="L18" i="21"/>
  <c r="C9" i="28" s="1"/>
  <c r="L33" i="8"/>
  <c r="L36" i="21"/>
  <c r="C26" i="28" s="1"/>
  <c r="L15" i="8"/>
  <c r="L15" i="21"/>
  <c r="C6" i="28" s="1"/>
  <c r="L39" i="8"/>
  <c r="L42" i="21"/>
  <c r="C32" i="28" s="1"/>
  <c r="L22" i="8"/>
  <c r="L26" i="21"/>
  <c r="C17" i="28" s="1"/>
  <c r="L13" i="8"/>
  <c r="L13" i="21"/>
  <c r="C4" i="28" s="1"/>
  <c r="L38" i="8"/>
  <c r="L41" i="21"/>
  <c r="C31" i="28" s="1"/>
  <c r="L14" i="8"/>
  <c r="L14" i="21"/>
  <c r="C5" i="28" s="1"/>
  <c r="L20" i="8"/>
  <c r="L35" i="8"/>
  <c r="L38" i="21"/>
  <c r="C28" i="28" s="1"/>
  <c r="L37" i="8"/>
  <c r="L40" i="21"/>
  <c r="C30" i="28" s="1"/>
  <c r="G100" i="15"/>
  <c r="K100" i="15" s="1"/>
  <c r="L118" i="8"/>
  <c r="L101" i="8"/>
  <c r="L105" i="8"/>
  <c r="L113" i="8"/>
  <c r="L117" i="8"/>
  <c r="L114" i="8"/>
  <c r="L110" i="8"/>
  <c r="L120" i="8"/>
  <c r="L108" i="8"/>
  <c r="L121" i="8"/>
  <c r="L87" i="8"/>
  <c r="L84" i="8"/>
  <c r="L88" i="8"/>
  <c r="L78" i="8"/>
  <c r="L71" i="8"/>
  <c r="E54" i="15"/>
  <c r="E127" i="15" s="1"/>
  <c r="K127" i="15" s="1"/>
  <c r="L79" i="8"/>
  <c r="L48" i="8"/>
  <c r="L90" i="8" s="1"/>
  <c r="L50" i="8"/>
  <c r="L58" i="8"/>
  <c r="L29" i="8"/>
  <c r="L42" i="8"/>
  <c r="L31" i="8"/>
  <c r="L21" i="8"/>
  <c r="L19" i="8"/>
  <c r="L32" i="8"/>
  <c r="L26" i="8"/>
  <c r="L16" i="8"/>
  <c r="L34" i="8"/>
  <c r="L12" i="8"/>
  <c r="L40" i="8"/>
  <c r="L28" i="8"/>
  <c r="L89" i="8"/>
  <c r="I89" i="32" l="1"/>
  <c r="I90" i="32" s="1"/>
  <c r="I30" i="34"/>
  <c r="I105" i="32"/>
  <c r="I50" i="32"/>
  <c r="I51" i="32" s="1"/>
  <c r="M107" i="31"/>
  <c r="I38" i="32"/>
  <c r="M49" i="31"/>
  <c r="I40" i="32"/>
  <c r="I41" i="32" s="1"/>
  <c r="K46" i="31"/>
  <c r="M48" i="31" s="1"/>
  <c r="I257" i="32"/>
  <c r="I258" i="32" s="1"/>
  <c r="K960" i="31"/>
  <c r="M961" i="31" s="1"/>
  <c r="N168" i="31"/>
  <c r="H11" i="30"/>
  <c r="E10" i="30"/>
  <c r="E11" i="30" s="1"/>
  <c r="F24" i="30"/>
  <c r="J3" i="1"/>
  <c r="F5" i="30" s="1"/>
  <c r="K3" i="1"/>
  <c r="G5" i="30" s="1"/>
  <c r="C3" i="28"/>
  <c r="L47" i="21"/>
  <c r="C105" i="28"/>
  <c r="L133" i="21"/>
  <c r="N67" i="31"/>
  <c r="I44" i="32"/>
  <c r="I45" i="32" s="1"/>
  <c r="X5" i="30"/>
  <c r="M46" i="31"/>
  <c r="P2" i="2"/>
  <c r="L8" i="30" s="1"/>
  <c r="L10" i="30" s="1"/>
  <c r="L11" i="30" s="1"/>
  <c r="J2" i="2"/>
  <c r="F8" i="30" s="1"/>
  <c r="L27" i="26"/>
  <c r="L47" i="23"/>
  <c r="G127" i="15"/>
  <c r="L27" i="8"/>
  <c r="L30" i="8"/>
  <c r="L44" i="8"/>
  <c r="L140" i="8" s="1"/>
  <c r="X10" i="30" l="1"/>
  <c r="M1062" i="31" s="1"/>
  <c r="K36" i="32"/>
  <c r="I39" i="32"/>
  <c r="I36" i="32"/>
  <c r="I1046" i="34"/>
  <c r="I256" i="32"/>
  <c r="N960" i="31"/>
  <c r="F10" i="30"/>
  <c r="F11" i="30" s="1"/>
  <c r="W5" i="30"/>
  <c r="Y5" i="30" s="1"/>
  <c r="N46" i="31"/>
  <c r="K1062" i="31"/>
  <c r="W8" i="30"/>
  <c r="Y8" i="30" s="1"/>
  <c r="D128" i="15"/>
  <c r="K128" i="15" s="1"/>
  <c r="I1047" i="34" l="1"/>
  <c r="Y1047" i="34" s="1"/>
  <c r="Y1046" i="34"/>
  <c r="N1062" i="31"/>
  <c r="F12" i="30"/>
  <c r="K1063" i="31"/>
  <c r="K1077" i="31" s="1"/>
  <c r="I282" i="32"/>
  <c r="I283" i="32" l="1"/>
  <c r="T4" i="3" l="1"/>
  <c r="O6" i="30" s="1"/>
  <c r="T2" i="3" l="1"/>
  <c r="O10" i="30"/>
  <c r="O11" i="30" l="1"/>
  <c r="H49" i="30" l="1"/>
  <c r="G49" i="30"/>
  <c r="L431" i="3" l="1"/>
  <c r="L4" i="3" s="1"/>
  <c r="G6" i="30" s="1"/>
  <c r="L56" i="21"/>
  <c r="L53" i="24"/>
  <c r="L55" i="24" s="1"/>
  <c r="L93" i="21" l="1"/>
  <c r="L134" i="21" s="1"/>
  <c r="C46" i="28"/>
  <c r="G10" i="30"/>
  <c r="G11" i="30" s="1"/>
  <c r="W11" i="30" s="1"/>
  <c r="L2" i="3"/>
  <c r="W6" i="30"/>
  <c r="Y6" i="30" s="1"/>
  <c r="W10" i="30" l="1"/>
  <c r="W13" i="30" l="1"/>
  <c r="Y10" i="30"/>
  <c r="F14" i="30"/>
  <c r="F15" i="30" s="1"/>
  <c r="F16" i="30" s="1"/>
  <c r="F25" i="30" s="1"/>
</calcChain>
</file>

<file path=xl/sharedStrings.xml><?xml version="1.0" encoding="utf-8"?>
<sst xmlns="http://schemas.openxmlformats.org/spreadsheetml/2006/main" count="19921" uniqueCount="3041">
  <si>
    <t>RENCANA ANGGARAN BIAYA</t>
  </si>
  <si>
    <t>DESA PENATIH DANGIN PURI</t>
  </si>
  <si>
    <t xml:space="preserve">Bidang              </t>
  </si>
  <si>
    <t>: Penyelenggaraan Pemerintahan Desa</t>
  </si>
  <si>
    <t xml:space="preserve">Sub Bidang       </t>
  </si>
  <si>
    <t>: Penyelenggaraan Belanja Penghasilan Tetap, Tunjangan dan Operasional Pemerintah Desa ( Maksimal 30% )</t>
  </si>
  <si>
    <t>No. RAB</t>
  </si>
  <si>
    <t xml:space="preserve">Kegiatan           </t>
  </si>
  <si>
    <t>: Penyediaan Penghasilan tetap dan Tunjangan Perbekel</t>
  </si>
  <si>
    <t xml:space="preserve">Sumber Dana        </t>
  </si>
  <si>
    <t>ADD, BHPD</t>
  </si>
  <si>
    <t>Rincian Pendanaan  :</t>
  </si>
  <si>
    <t>URAIAN</t>
  </si>
  <si>
    <t>VOLUME</t>
  </si>
  <si>
    <t>HARGA SATUAN (Rp)</t>
  </si>
  <si>
    <t>JUMLAH (Rp)</t>
  </si>
  <si>
    <t>1.1.01.5.1</t>
  </si>
  <si>
    <t xml:space="preserve">Belanja Pegawai </t>
  </si>
  <si>
    <t>1.1.01.5.1.1</t>
  </si>
  <si>
    <t>Penghasilan tetap dan Tunjangan Perbekel</t>
  </si>
  <si>
    <t>1.1.01.5.1.1.01</t>
  </si>
  <si>
    <t>Penghasilan Tetap Perbekel</t>
  </si>
  <si>
    <t>ob</t>
  </si>
  <si>
    <t>1.1.01.5.1.1.02</t>
  </si>
  <si>
    <t>Penghasilan ke 13</t>
  </si>
  <si>
    <t>Tunjangan Perbekel</t>
  </si>
  <si>
    <t>Tunjangan Hari Raya</t>
  </si>
  <si>
    <t>Jumlah</t>
  </si>
  <si>
    <t xml:space="preserve">                           </t>
  </si>
  <si>
    <t>Perbekel  Desa Penatih Dangin Puri</t>
  </si>
  <si>
    <t>I Wayan Kamar</t>
  </si>
  <si>
    <t>No.</t>
  </si>
  <si>
    <t>U R A I A N</t>
  </si>
  <si>
    <t>HARGA SATUAN (Rp.)</t>
  </si>
  <si>
    <t>JUMLAH (Rp.)</t>
  </si>
  <si>
    <t>Ket.</t>
  </si>
  <si>
    <t xml:space="preserve">Waktu Pelaksanaan : </t>
  </si>
  <si>
    <t>: Penyediaan Penghasilan tetap dan Tunjangan Perangkat Desa</t>
  </si>
  <si>
    <t xml:space="preserve">Waktu Pelaksanaan </t>
  </si>
  <si>
    <t xml:space="preserve">Rincian Pendanaan  : </t>
  </si>
  <si>
    <t>1.1.02.5.1</t>
  </si>
  <si>
    <t>1.1.02.5.1.2</t>
  </si>
  <si>
    <t>Penghasilan tetap dan Tunjangan Perangkat Desa</t>
  </si>
  <si>
    <t>1.1.02.5.1.2.01</t>
  </si>
  <si>
    <t>Penghasilan tetap Perangkat Desa</t>
  </si>
  <si>
    <t xml:space="preserve">Sekdes  </t>
  </si>
  <si>
    <t>Kaur , Kasi  (6 orang X 12bln)</t>
  </si>
  <si>
    <t>Kepala Dusun (8 Orang X12bln)</t>
  </si>
  <si>
    <t>1.1.02.5.1.2.02</t>
  </si>
  <si>
    <t>Tunjangan Perangkat Desa</t>
  </si>
  <si>
    <t>Tunjangan Sekdes</t>
  </si>
  <si>
    <t>Penghasilan Ke 13 Sekdes</t>
  </si>
  <si>
    <t>Tunjangan Hari Raya Sekses</t>
  </si>
  <si>
    <t>Tunjangan Perangkat Desa (Kaur, kasi 6 Orang X 12)</t>
  </si>
  <si>
    <t>Penghasilan  Ke 13 Kasi kaur</t>
  </si>
  <si>
    <t>Tunjangan Hari Raya Kasi Kaur</t>
  </si>
  <si>
    <t>Tunjangan Perangkat Desa (Kepala Dusun 8 Orang X 12)</t>
  </si>
  <si>
    <t>Penghasilan Ke 13 Kepala Dusun</t>
  </si>
  <si>
    <t>Tunjangan Hari Raya Kepala Dusun</t>
  </si>
  <si>
    <t>Penyelenggaraan Pemerintahan Desa</t>
  </si>
  <si>
    <t>:Penyelenggaraan Belanja Penghasilan Tetap, Tunjangan dan Operasional Pemerintah Desa ( Maksimal 30% )</t>
  </si>
  <si>
    <t>Penyediaan Jaminan Kesehatan dan Ketenaga Kerjaan Bagi Perbekel dan Perangkat Desa</t>
  </si>
  <si>
    <t xml:space="preserve">Waktu Pelaksanaan   </t>
  </si>
  <si>
    <t>: 12 Bulan</t>
  </si>
  <si>
    <t xml:space="preserve">Rincian Pendanaan </t>
  </si>
  <si>
    <t>:</t>
  </si>
  <si>
    <t>1.1.03.5.1</t>
  </si>
  <si>
    <t>Belanja Pegawai :</t>
  </si>
  <si>
    <t>1.1.03.5.1.3</t>
  </si>
  <si>
    <t>Jaminan sosial Perbekel dan Perangkat Desa</t>
  </si>
  <si>
    <t>1.1.03.5.1.3.01</t>
  </si>
  <si>
    <t xml:space="preserve">Jaminan Kesehatan perbekel </t>
  </si>
  <si>
    <t>1.1.03.5.1.3.02</t>
  </si>
  <si>
    <t>Jaminan Kesehatan Perangkat Desa</t>
  </si>
  <si>
    <t>Jaminan Kesehatan Sekdes</t>
  </si>
  <si>
    <t>Jaminan Kesehatan Kasi, Kaur (6or x 12Bln)</t>
  </si>
  <si>
    <t>Jaminan Kesehatan Kadus (8or x 12bln)</t>
  </si>
  <si>
    <t>1.1.03.5.1.3.03</t>
  </si>
  <si>
    <t>Jaminan Ketenagakerjaan Perbekel</t>
  </si>
  <si>
    <t>1.1.03.5.1.3.04</t>
  </si>
  <si>
    <t>Jaminan Ketenagakerajaan Perangkat Desa</t>
  </si>
  <si>
    <t>Jaminan Ketenagakerjaan Sekdes</t>
  </si>
  <si>
    <t>Jaminan Ketenagakerjaan Kaur &amp; Kasi (6 or x 6 bln)</t>
  </si>
  <si>
    <t>Jaminan Ketenagakerjaan Kepala Dusun ( 8 or x 6Bln )</t>
  </si>
  <si>
    <t>: Penyediaan Operasional Pemerintah Desa</t>
  </si>
  <si>
    <t>1.1.04.5.2</t>
  </si>
  <si>
    <t>Belanja Barang Jasa :</t>
  </si>
  <si>
    <t>1.1.04.5.2.1</t>
  </si>
  <si>
    <t>Belanja Barang Perlengkapan</t>
  </si>
  <si>
    <t>1.1.04.5.2.1.01</t>
  </si>
  <si>
    <t>Belanja perlengkapan alat tulis kantor dan Benda Pos</t>
  </si>
  <si>
    <t>rim</t>
  </si>
  <si>
    <t>Isi Staples No.10 max</t>
  </si>
  <si>
    <t>Box</t>
  </si>
  <si>
    <t>Isi Staples Kangroo</t>
  </si>
  <si>
    <t>Buah</t>
  </si>
  <si>
    <t>Clip Segul No.5</t>
  </si>
  <si>
    <t>Binder Clip No. 105</t>
  </si>
  <si>
    <t>Binder Clip No. 111</t>
  </si>
  <si>
    <t>Binder Clip No. 155</t>
  </si>
  <si>
    <t>Map Endek Bali Tebal</t>
  </si>
  <si>
    <t>Map Karton</t>
  </si>
  <si>
    <t>buah</t>
  </si>
  <si>
    <t>Stop Map Bening</t>
  </si>
  <si>
    <t>Bolpoin Baliner</t>
  </si>
  <si>
    <t>Bolpoin Faster</t>
  </si>
  <si>
    <t>Pensil Lumograf 2B</t>
  </si>
  <si>
    <t>Materai 10000</t>
  </si>
  <si>
    <t>Bantalan Stampel</t>
  </si>
  <si>
    <t>Tinta Stampel ( isi stamp pad )</t>
  </si>
  <si>
    <t>Spidol Whiteboard snowman</t>
  </si>
  <si>
    <t>Tinta Printer</t>
  </si>
  <si>
    <t>btl</t>
  </si>
  <si>
    <t>Box Arsip</t>
  </si>
  <si>
    <t>Sekat Atau Guide Arsip</t>
  </si>
  <si>
    <t>Batre Besar D</t>
  </si>
  <si>
    <t>Batre Kecil AAA</t>
  </si>
  <si>
    <t>Batre 9 Volt</t>
  </si>
  <si>
    <t>Batre Cash</t>
  </si>
  <si>
    <t>paket</t>
  </si>
  <si>
    <t>Foto Copy</t>
  </si>
  <si>
    <t>Lbr</t>
  </si>
  <si>
    <t>Note Book</t>
  </si>
  <si>
    <t>bh</t>
  </si>
  <si>
    <t>Buku Tulis</t>
  </si>
  <si>
    <t>Kalkulator</t>
  </si>
  <si>
    <t>1.1.04.5.2.1.02</t>
  </si>
  <si>
    <t>Belanja Perlengkapan alat alat listrik</t>
  </si>
  <si>
    <t>Lampu Ruangan LED</t>
  </si>
  <si>
    <t>unit</t>
  </si>
  <si>
    <t>1.1.04.5.2.1.03</t>
  </si>
  <si>
    <t xml:space="preserve">Belanja perlengkapan alat alat rumah tangga/peralatan dan Bahan kebersihan </t>
  </si>
  <si>
    <t>Sapu ijuk</t>
  </si>
  <si>
    <t>Sapu Lidi</t>
  </si>
  <si>
    <t>Kemucing Besar/sapu bulu</t>
  </si>
  <si>
    <t>Korok WC Plastik</t>
  </si>
  <si>
    <t>lap Tangan</t>
  </si>
  <si>
    <t>Keset kaki</t>
  </si>
  <si>
    <t xml:space="preserve">Sabun Cuci </t>
  </si>
  <si>
    <t>bks</t>
  </si>
  <si>
    <t>Plastik Sampah ( 2bal x 12 bulan)</t>
  </si>
  <si>
    <t>Sabun pembersih porslin/ Kramik/Porstek</t>
  </si>
  <si>
    <t>Botol</t>
  </si>
  <si>
    <t>Sabun Pembersih Kaca</t>
  </si>
  <si>
    <t>botol</t>
  </si>
  <si>
    <t>1.1.04.5.2.1.04</t>
  </si>
  <si>
    <t>Belanja bahan bakar minyak/ gas/ isi ulang tabung pemadam kebakaran</t>
  </si>
  <si>
    <t>BBM Motor Dinas 3 unit x 12 bln</t>
  </si>
  <si>
    <t>bln</t>
  </si>
  <si>
    <t>BBM Mobil Dinas 1 unit x 12 Bln</t>
  </si>
  <si>
    <t>liter</t>
  </si>
  <si>
    <t>Isi ulang Gas LPG 12Kg   1/2 tabug x 12 bln</t>
  </si>
  <si>
    <t>kali</t>
  </si>
  <si>
    <t>1.1.04.5.2.1.05</t>
  </si>
  <si>
    <t xml:space="preserve">Belanja Perlengkapan Cetak/ pengadaan - Belanja barang cetak dan pengadaan </t>
  </si>
  <si>
    <t>Cetak Buku Administrasi Kepal Dusun</t>
  </si>
  <si>
    <t>Cetak lembar disposisi</t>
  </si>
  <si>
    <t>lembar</t>
  </si>
  <si>
    <t>Kartu Indek</t>
  </si>
  <si>
    <t>Set</t>
  </si>
  <si>
    <t>Cetak Buku Exspedisi</t>
  </si>
  <si>
    <t>Cetak Buk Surat Keputusan</t>
  </si>
  <si>
    <t>Cetak Buku Agenda Kependudukan</t>
  </si>
  <si>
    <t>Cetak Buku Administrasi Keuangan</t>
  </si>
  <si>
    <t>Cetak Buku Agenda Umum</t>
  </si>
  <si>
    <t>Cetak Buku Notulen Rapat</t>
  </si>
  <si>
    <t>Cetak buku aset pembangunan</t>
  </si>
  <si>
    <t>Cetak Buku Kader</t>
  </si>
  <si>
    <t>Cetak Map Kertas Kop Desa</t>
  </si>
  <si>
    <t>Pengadaan Papan Struktur Organisasi</t>
  </si>
  <si>
    <t>Pengadaan Papan Pelayanan dan Informasi</t>
  </si>
  <si>
    <t>1.1.04.5.2.1.06</t>
  </si>
  <si>
    <t>Belanja perlengkapan barang konsumsi (makan/ minum) Belanja Barang konsumsi</t>
  </si>
  <si>
    <t xml:space="preserve">Air kemasan </t>
  </si>
  <si>
    <t>dus</t>
  </si>
  <si>
    <t>Air Isi Ulang (air Galon )</t>
  </si>
  <si>
    <t>gln</t>
  </si>
  <si>
    <t>Kopi</t>
  </si>
  <si>
    <t>bungkus</t>
  </si>
  <si>
    <t>Gula</t>
  </si>
  <si>
    <t>Kg</t>
  </si>
  <si>
    <t>Konsumsi Tamu</t>
  </si>
  <si>
    <t>ktk</t>
  </si>
  <si>
    <t>1.1.04.5.2.1.07</t>
  </si>
  <si>
    <t xml:space="preserve">Belanja bahan/ material </t>
  </si>
  <si>
    <t>-Canang Sehari hari (500 X12 BULAN)</t>
  </si>
  <si>
    <t>Tanding</t>
  </si>
  <si>
    <t>Dupa (1bh x 12bln)</t>
  </si>
  <si>
    <t>1.1.04.5.2.1.08</t>
  </si>
  <si>
    <t>Belanja bendera/ umbul umbul/ spanduk</t>
  </si>
  <si>
    <t>Spanduk Untuk Memperingati Hari Hari Bersejarah</t>
  </si>
  <si>
    <t>Besi Pipa Tiang Bendera</t>
  </si>
  <si>
    <t>Bendera Merah Putih 1 x 1,5</t>
  </si>
  <si>
    <t>Umbul umbul Merah Putih</t>
  </si>
  <si>
    <t>lonjor</t>
  </si>
  <si>
    <t>Dekorasi hiasan perayaan hari besar</t>
  </si>
  <si>
    <t>Set Pas Foto Presiden dan Wakil dan Garuda</t>
  </si>
  <si>
    <t>1.1.04.5.2.1.09</t>
  </si>
  <si>
    <t>Belanja Pakaian Dinas/ seragam/ atribut</t>
  </si>
  <si>
    <t xml:space="preserve">Pakaian Dinas </t>
  </si>
  <si>
    <t>Setel</t>
  </si>
  <si>
    <t>1.1.04.5.2.1.10</t>
  </si>
  <si>
    <t>Belanja obat obatan</t>
  </si>
  <si>
    <t>Kotak P3K beserta isi</t>
  </si>
  <si>
    <t>set</t>
  </si>
  <si>
    <t>1.1.04.5.2.2</t>
  </si>
  <si>
    <t>Belanja jasa honorarium</t>
  </si>
  <si>
    <t>1.1.04.5.2.2.01</t>
  </si>
  <si>
    <t>Belanja jasa honorarium Tim yang melaksanakan kegiatan</t>
  </si>
  <si>
    <t>Honorarium PKPKD</t>
  </si>
  <si>
    <t>bulan</t>
  </si>
  <si>
    <t xml:space="preserve">Honorarium Kordinator PPKD </t>
  </si>
  <si>
    <t>Honorarium PPKD ( 6 or x 12 bln )</t>
  </si>
  <si>
    <t>Honor TPK Bidang I</t>
  </si>
  <si>
    <t>Ketua</t>
  </si>
  <si>
    <t>Sekretaris</t>
  </si>
  <si>
    <t>Anggota (3 orang )</t>
  </si>
  <si>
    <t>1.1.04.5.2.3</t>
  </si>
  <si>
    <t>Belanja Perjalanan Dinas</t>
  </si>
  <si>
    <t>1.1.04.5.2.3.02</t>
  </si>
  <si>
    <t>Perjalanan Dinas Luar Kabupaten/ Kota</t>
  </si>
  <si>
    <t>tahun</t>
  </si>
  <si>
    <t>1.1.04.5.2.5</t>
  </si>
  <si>
    <t>Belanja Operasional Perkantoran</t>
  </si>
  <si>
    <t>1.1.04.5.2.5.01</t>
  </si>
  <si>
    <t>Belanja jasa layanan listrik</t>
  </si>
  <si>
    <t>Penambahan Daya Listrik</t>
  </si>
  <si>
    <t>1.1.04.5.2.5.03</t>
  </si>
  <si>
    <t>Belanja jasa langganan majalah/ surat kabar</t>
  </si>
  <si>
    <t>1.1.04.5.2.5.04</t>
  </si>
  <si>
    <t>Belanja jasa langganan telepon</t>
  </si>
  <si>
    <t>1.1.04.5.2.5.05</t>
  </si>
  <si>
    <t>Belanja jasa langganan internet</t>
  </si>
  <si>
    <t>1.1.04.5.2.5.07</t>
  </si>
  <si>
    <t>Belanja Jasa Perpanjangan ijin/ pajak</t>
  </si>
  <si>
    <t>Samsat Motor Dinas 1</t>
  </si>
  <si>
    <t>samsat Motor Dinas 2</t>
  </si>
  <si>
    <t>Samsat Motor Dinas 3</t>
  </si>
  <si>
    <t>Samsat Mobil Dinas</t>
  </si>
  <si>
    <t>Samsat Motor Linmas (2Motor)</t>
  </si>
  <si>
    <t>Samsat Mobil Linmas</t>
  </si>
  <si>
    <t xml:space="preserve">Balik Nama Tanah Kantor </t>
  </si>
  <si>
    <t>1.1.04.5.2.6</t>
  </si>
  <si>
    <t>Belanja Pemeliharaan</t>
  </si>
  <si>
    <t>1.1.04.5.2.6.02</t>
  </si>
  <si>
    <t>Belanja Pemeliharaan Kendaraan Bermotor</t>
  </si>
  <si>
    <t>Pemeliharaan Kendaraan Dinas</t>
  </si>
  <si>
    <t>Service Motor Dinas 3 x 3kali/tahun</t>
  </si>
  <si>
    <t>th</t>
  </si>
  <si>
    <t>Spare Part Motor Dinas 3 x 1thn</t>
  </si>
  <si>
    <t>thn</t>
  </si>
  <si>
    <t>Service Mobil Dinas 3kali/ tahun</t>
  </si>
  <si>
    <t>kl</t>
  </si>
  <si>
    <t>Spare Part Mobil Dinas</t>
  </si>
  <si>
    <t>Service HP Android</t>
  </si>
  <si>
    <t>1.1.04.5.2.6.03</t>
  </si>
  <si>
    <t xml:space="preserve">Belanja pemeliharaan peralatan </t>
  </si>
  <si>
    <t>Pemeliharaan TV</t>
  </si>
  <si>
    <t>Pemeliharaan 1 unit Camera LSR</t>
  </si>
  <si>
    <t>Unit</t>
  </si>
  <si>
    <t>Pemeliharaan Projektor</t>
  </si>
  <si>
    <t>Pemeliharaan set Sound Sistem</t>
  </si>
  <si>
    <t>Pemeliharaan Pesawat telepon</t>
  </si>
  <si>
    <t>Pemeliharaan  Repeater Radio Amatir</t>
  </si>
  <si>
    <t>Pemeliharaan CCTV</t>
  </si>
  <si>
    <t>Pemeliharaan HT (37 Unit)</t>
  </si>
  <si>
    <t>Pemeliharaan Pintu</t>
  </si>
  <si>
    <t>1.1.04.5.2.6.08</t>
  </si>
  <si>
    <t>Belanja pemeliharaan jaringan dan instalasi ( Lisrik, Telepon, Internet, Kominikasi, Dll)</t>
  </si>
  <si>
    <t xml:space="preserve">Pemeliharaan jaringan listrik </t>
  </si>
  <si>
    <t>Pemeliharaan LAN Hub jaringan internet</t>
  </si>
  <si>
    <t>Pemeliharaan Kabel jaringan internet</t>
  </si>
  <si>
    <t>Pemelihaan Kran Air</t>
  </si>
  <si>
    <t>Pemeliharaan Pipa Air dan Pembuangan</t>
  </si>
  <si>
    <t>Pemeliharaan Kabel telepon</t>
  </si>
  <si>
    <t>Waktu Pelaksanaan : 12 Bulan</t>
  </si>
  <si>
    <t xml:space="preserve">Bidang           </t>
  </si>
  <si>
    <t xml:space="preserve">Sub Bidang    </t>
  </si>
  <si>
    <t>: Penyediaan tunjangan BPD</t>
  </si>
  <si>
    <t>1.1.05.5.1</t>
  </si>
  <si>
    <t>Belanja Pegawai</t>
  </si>
  <si>
    <t>1.1.05.5.1.4</t>
  </si>
  <si>
    <t>Tunjangan BPD</t>
  </si>
  <si>
    <t>1.1.05.5.1.4.01</t>
  </si>
  <si>
    <t>Tunjangan Kedudukan BPD</t>
  </si>
  <si>
    <t>penghasilan Ke 13 Ketua</t>
  </si>
  <si>
    <t>Tunjangan Hari Raya Ketua</t>
  </si>
  <si>
    <t>Wakil  Ketua</t>
  </si>
  <si>
    <t>penghasilan Ke 13 Wakil Ketua</t>
  </si>
  <si>
    <t>Tunjangan Hari Raya Wakil Ketua</t>
  </si>
  <si>
    <t>penghasilan Ke 13 Sekretaris</t>
  </si>
  <si>
    <t>Tunjangan Hari Raya Sekretaris</t>
  </si>
  <si>
    <t>Anggora  ( 6 or x 12 bln )</t>
  </si>
  <si>
    <t>penghasilan Ke 13 Anggota</t>
  </si>
  <si>
    <t>Tunjangan Hari Raya Anggota</t>
  </si>
  <si>
    <t>12 Bulan</t>
  </si>
  <si>
    <t xml:space="preserve">Bidang               </t>
  </si>
  <si>
    <t xml:space="preserve">Sub Bidang        </t>
  </si>
  <si>
    <t xml:space="preserve">Kegiatan </t>
  </si>
  <si>
    <t>: Penyediaan Operasional BPD</t>
  </si>
  <si>
    <t>NO</t>
  </si>
  <si>
    <t>KET</t>
  </si>
  <si>
    <t>1.1.06.5.2</t>
  </si>
  <si>
    <t>1.1.06.5.2.1</t>
  </si>
  <si>
    <t>1.1.06.5.2.1.01</t>
  </si>
  <si>
    <t>Belanja alat tulis kantor dan benda pos</t>
  </si>
  <si>
    <t>Bolpoint</t>
  </si>
  <si>
    <t>bj</t>
  </si>
  <si>
    <t>Kertas HVS</t>
  </si>
  <si>
    <t>Cetak Buku Administrasi</t>
  </si>
  <si>
    <t>Buku agenda rapat</t>
  </si>
  <si>
    <t>Poto copy</t>
  </si>
  <si>
    <t>lbr</t>
  </si>
  <si>
    <t>1.1.06.5.2.1.06</t>
  </si>
  <si>
    <t>Konsumsi Rapat-rapat (20orang x 1 kali x 12 Bln)</t>
  </si>
  <si>
    <t>or</t>
  </si>
  <si>
    <t>Konsumsi Monitoring ( 2x1tahun )</t>
  </si>
  <si>
    <t>1.1.06.5.2.1.09</t>
  </si>
  <si>
    <t>1.1.06.5.2.1.90</t>
  </si>
  <si>
    <t>Belanja Upakara, Upacara Dan Aci</t>
  </si>
  <si>
    <t>Pejati Rapat</t>
  </si>
  <si>
    <t>Canang</t>
  </si>
  <si>
    <t>: Penyediaan Operasional BPD (Musyawarah BPD)</t>
  </si>
  <si>
    <t>Belanja Barang Jasa</t>
  </si>
  <si>
    <t>Belanja Perlengkapan Alat Tulis Kantor dan Benda Pos</t>
  </si>
  <si>
    <t>1.1.06.5.2.1.05</t>
  </si>
  <si>
    <t>Belanja perlengkapan cetak/pengadaan - belanja barang cetak dan pengadaan</t>
  </si>
  <si>
    <t>potocopy</t>
  </si>
  <si>
    <t>Spanduk kegiatan</t>
  </si>
  <si>
    <t>Belanja perlengkapan barang konsumsi (makan/minum)- Belanja Barang Konsumsi</t>
  </si>
  <si>
    <t xml:space="preserve">Konsumsi 50 or x  8 kali </t>
  </si>
  <si>
    <t>Belanja Upakara, Upacara Dan Aci- Aci</t>
  </si>
  <si>
    <t>Belanja Aci (pejati)</t>
  </si>
  <si>
    <t>soroh</t>
  </si>
  <si>
    <t>Canang Sari</t>
  </si>
  <si>
    <t>Dupa</t>
  </si>
  <si>
    <t>Bungkus</t>
  </si>
  <si>
    <t xml:space="preserve">: Penyediaan Penghasilan Staf Desa </t>
  </si>
  <si>
    <t>1.1.91.5.2</t>
  </si>
  <si>
    <t>1.1.91.5.2.2</t>
  </si>
  <si>
    <t>Belanja Jasa Honorarium</t>
  </si>
  <si>
    <t>1.1.91.5.2.2.90</t>
  </si>
  <si>
    <t>Belanja Pengasilan Staf</t>
  </si>
  <si>
    <t>Penghasilan  Staff  Admin. Siskeudes</t>
  </si>
  <si>
    <t>Penghasilan Staff Admin. BPD</t>
  </si>
  <si>
    <t>Penghasilan Staff IT</t>
  </si>
  <si>
    <t>Honorarium KPM</t>
  </si>
  <si>
    <t>: Penyelenggaraan Pemerintah Desa</t>
  </si>
  <si>
    <t>: Administasi Kependudukan, Pencatatan Sipil, Statistik, dan Kearsipan</t>
  </si>
  <si>
    <t>: Pendataan Administrasi Penduduk Non Permanen (Penertiban Penduduk Pendatang dan Sidak Dialogis)</t>
  </si>
  <si>
    <t>1.3.90.5.2</t>
  </si>
  <si>
    <t>Belanja Barang dan Jasa</t>
  </si>
  <si>
    <t>1.3.90.5.2.1</t>
  </si>
  <si>
    <t>1.3.90.5.2.1.06</t>
  </si>
  <si>
    <t>Belanja Perlengkapan Barang Konsumsi</t>
  </si>
  <si>
    <t>Konsumsi Rapat Penertiban Penduduk Pendatang (64or x 2Kali)</t>
  </si>
  <si>
    <t>Konsumsi Sidak Dialogis 45or x 2 kali</t>
  </si>
  <si>
    <t>1.3.90.5.2.1.07</t>
  </si>
  <si>
    <t>Belanaja Bahan Meterial</t>
  </si>
  <si>
    <t>Masker</t>
  </si>
  <si>
    <t>Slop Tangan</t>
  </si>
  <si>
    <t>box</t>
  </si>
  <si>
    <t>1.3.90.5.2.2</t>
  </si>
  <si>
    <t>1.3.90.5.2.2.05</t>
  </si>
  <si>
    <t>Belanja Jasa Honorium Petugas</t>
  </si>
  <si>
    <t>Honor Tim Penertiban  (17Or x8 Dusunx 2 putaran)</t>
  </si>
  <si>
    <t xml:space="preserve"> oh </t>
  </si>
  <si>
    <t>: Administrasi Kependudukan, Pencatatan Sipil, Statistik Dan Kearsipan</t>
  </si>
  <si>
    <t>Sumber Dana</t>
  </si>
  <si>
    <t>: Penyusunan/ Pendataan/Pemuktahiran Profil Desa (Profil Kependudukan dan potensi Desa )</t>
  </si>
  <si>
    <t>Pelatihan</t>
  </si>
  <si>
    <t>1.3.02.5.2</t>
  </si>
  <si>
    <t>1.3.02.5.2.1</t>
  </si>
  <si>
    <t>1.3.02.5.2.1.06</t>
  </si>
  <si>
    <t>Konsumsi 50 or x 1 kali</t>
  </si>
  <si>
    <t>1.3.02.5.2.1.08</t>
  </si>
  <si>
    <t>Belanja Bendera/ Umbul-umbul/ Spanduk</t>
  </si>
  <si>
    <t xml:space="preserve">Spanduk Kegiatan </t>
  </si>
  <si>
    <t>1.3.02.5.2.1.90</t>
  </si>
  <si>
    <t>Belanja Upakara, Upacara Dan Aci-aci</t>
  </si>
  <si>
    <t>Pejati</t>
  </si>
  <si>
    <t>Pendataan</t>
  </si>
  <si>
    <t>1.3.02.5.2.1.05</t>
  </si>
  <si>
    <t>Belanja Perlengkapan Cetak</t>
  </si>
  <si>
    <t>Cetak Blanko Data Dasar keluarga</t>
  </si>
  <si>
    <t>Cetak Blanko Potensi Desa</t>
  </si>
  <si>
    <t>Pembuatan Vidio Provil</t>
  </si>
  <si>
    <t>1.3.02.5.2.2</t>
  </si>
  <si>
    <t xml:space="preserve">Belanja Jasa Honorarium </t>
  </si>
  <si>
    <t>1.3.02.5.2.2.01</t>
  </si>
  <si>
    <t>Belanja Jasa Honorarium yang Melaksanakan Kegiatan</t>
  </si>
  <si>
    <t>Anggota</t>
  </si>
  <si>
    <t>1.3.02.5.2.2.05</t>
  </si>
  <si>
    <t>Belanja Jasa Honorarium Petugas</t>
  </si>
  <si>
    <t>Petugas Imput Data KK</t>
  </si>
  <si>
    <t>kk</t>
  </si>
  <si>
    <t>Petugas pendataan</t>
  </si>
  <si>
    <t>Konsumsi (25or x 9 Dusun x 2 kali)</t>
  </si>
  <si>
    <t>1.3.90.5.2.1.05</t>
  </si>
  <si>
    <t>Bidang           :</t>
  </si>
  <si>
    <t>Sub Bidang    :</t>
  </si>
  <si>
    <t>Tata Praja Pemerintahan, Perencanaan, Keuangan, dan Pelaporan</t>
  </si>
  <si>
    <t>Kegiatan           :</t>
  </si>
  <si>
    <t>Penyelenggaraan Musyawarah Desa/ Pembahasan APBDes (Musrenbangdes)</t>
  </si>
  <si>
    <t>: Januari - Desember 2021</t>
  </si>
  <si>
    <t>Ket</t>
  </si>
  <si>
    <t>1.4.01.5.2</t>
  </si>
  <si>
    <t>1.4.01.5.2.1</t>
  </si>
  <si>
    <t>1.4.01.5.2.1.05</t>
  </si>
  <si>
    <t>1.4.01.5.2.1.06</t>
  </si>
  <si>
    <t>Konsumsi 100or x 2</t>
  </si>
  <si>
    <t>1.4.01.5.2.1.90</t>
  </si>
  <si>
    <t>Belanja Aci (pejati )</t>
  </si>
  <si>
    <t>Canang Gede</t>
  </si>
  <si>
    <t>1.4.01.5.2.2</t>
  </si>
  <si>
    <t>Belanja  Jasa Honorarium</t>
  </si>
  <si>
    <t>1.4.01.5.2.2.05</t>
  </si>
  <si>
    <t>Honorarium MC</t>
  </si>
  <si>
    <t>1.4.01.5.2.7</t>
  </si>
  <si>
    <t>Belanja Barang Jasa yang diserahkan kepada masyarakat</t>
  </si>
  <si>
    <t>1.4.01.5.2.7.91</t>
  </si>
  <si>
    <t>Belanja uang Saku</t>
  </si>
  <si>
    <t>Penyelenggaraan Musyawarah Desa/ Pembahasan APBDes (Musdes, Musrenbangdes/pra musrenbangdes, dll yang bersifat reguler )</t>
  </si>
  <si>
    <t>tandaing</t>
  </si>
  <si>
    <t xml:space="preserve">Dupa </t>
  </si>
  <si>
    <t>Belanja Uang Saku</t>
  </si>
  <si>
    <t>: Tata Praja Pemerintahan, Perencanaan, Keuangan, dan Pelaporan</t>
  </si>
  <si>
    <t>: Penyelenggaraan Musyawarah Desa lainya (yang bersifat non reguler )</t>
  </si>
  <si>
    <t>1.4.02.5.2</t>
  </si>
  <si>
    <t>1.4.02.5.2.1</t>
  </si>
  <si>
    <t>1.4.02.5.2.1.05</t>
  </si>
  <si>
    <t>1.4.02.5.2.1.06</t>
  </si>
  <si>
    <t>1.4.02.5.2.1.90</t>
  </si>
  <si>
    <t>1.4.02.5.2.2</t>
  </si>
  <si>
    <t>1.4.02.5.2.2.05</t>
  </si>
  <si>
    <t>1.4.02.5.2.7</t>
  </si>
  <si>
    <t>1.4.02.5.2.7.91</t>
  </si>
  <si>
    <t>: Penyusunan laporan Kepala Desa/ Penyelenggaraan Pemerintah Desa (Laporan akhir tahun anggaran )</t>
  </si>
  <si>
    <t>1.4.07.5.2</t>
  </si>
  <si>
    <t>1.4.07.5.2.1</t>
  </si>
  <si>
    <t>1.4.07.5.2.1.05</t>
  </si>
  <si>
    <t>cetak Dokumen Laporan Tahun Anggran</t>
  </si>
  <si>
    <t>1.4.04.5.2</t>
  </si>
  <si>
    <t>1.4.04.5.2.1</t>
  </si>
  <si>
    <t>1.4.04.5.2.1.05</t>
  </si>
  <si>
    <t>1.4.04.5.2.1.06</t>
  </si>
  <si>
    <t>Belanja Perlengkapan barang konsumsi (makan/minum) - Belanja barang konsumsi</t>
  </si>
  <si>
    <t>Konsumsi Kegiatan (18or x 10Kl)</t>
  </si>
  <si>
    <t>Or</t>
  </si>
  <si>
    <t>Potocopy</t>
  </si>
  <si>
    <t>Konsumsi Kegiatan (18or x 4Kali)</t>
  </si>
  <si>
    <t xml:space="preserve">Waktu Pelaksanaan      </t>
  </si>
  <si>
    <t>: Penyusunan dokumen keuangan Desa (APBDesa 2024 )</t>
  </si>
  <si>
    <t>cetak Dokumen APBDes</t>
  </si>
  <si>
    <t>: Penyusunan dokumen keuangan Desa (APBDesa Perubahan 2023)</t>
  </si>
  <si>
    <t xml:space="preserve">cetak Dokumen APBDes Perubahan </t>
  </si>
  <si>
    <t>: Penyusunan dokumen keuangan Desa ( LPJ APBDesa 2022)</t>
  </si>
  <si>
    <t>cetak Dokumen LPJ 2022</t>
  </si>
  <si>
    <t>Belanja Bahan /Material</t>
  </si>
  <si>
    <t>Spanduk Kegiatan</t>
  </si>
  <si>
    <t>Bh</t>
  </si>
  <si>
    <t>oh</t>
  </si>
  <si>
    <t>: Sarana dan Prasarana Pemerintah Desa</t>
  </si>
  <si>
    <t>: Penyediaan Aset Tetap (Prasarana Kantor Desa)</t>
  </si>
  <si>
    <t>Waktu Pelaksanaan</t>
  </si>
  <si>
    <t>1.2.01.5.3</t>
  </si>
  <si>
    <t>Belanja Modal</t>
  </si>
  <si>
    <t>1.2.01.5.3.2</t>
  </si>
  <si>
    <t>Belanja Modal Peralatan, Mesin, dan Alat Berat</t>
  </si>
  <si>
    <t>1.2.01.5.3.2.01</t>
  </si>
  <si>
    <t>Belanja modal honor tim yang melaksanakan kegiatan</t>
  </si>
  <si>
    <t>Ketua TPK</t>
  </si>
  <si>
    <t>Aset Tetap Ruang Kerja</t>
  </si>
  <si>
    <t>1.2.01.5.3.2.02</t>
  </si>
  <si>
    <t>Belanja Modal Peralatan elektronik dan Alat Studio</t>
  </si>
  <si>
    <t>Printer</t>
  </si>
  <si>
    <t>1.2.01.5.3.2.04</t>
  </si>
  <si>
    <t>Belanja Modal Peralatan mebeulair dan Aksesori ruangan</t>
  </si>
  <si>
    <t>.</t>
  </si>
  <si>
    <t xml:space="preserve">: 12 Bulan </t>
  </si>
  <si>
    <t>Laptop</t>
  </si>
  <si>
    <t>Air Kemasan Botol untuk musdes</t>
  </si>
  <si>
    <t>Konsumsi 30or x 1</t>
  </si>
  <si>
    <t>1.3.90.5.2.1.90</t>
  </si>
  <si>
    <t>Belanja Jasa Honorarium Ahli/Profesi/Konsultan/Narasumber</t>
  </si>
  <si>
    <t>Honor Narasumber (1or x 1KL)</t>
  </si>
  <si>
    <t>: Pemberdayaan Masyarakat Desa</t>
  </si>
  <si>
    <t>: Peningkatan Kapasitas Aparatur Desa</t>
  </si>
  <si>
    <t>: Pelatihan PKPKD, PPKD dan TPK</t>
  </si>
  <si>
    <t>4.3.02.5.2</t>
  </si>
  <si>
    <t>4.3.02.5.2.1</t>
  </si>
  <si>
    <t>4.3.02.5.2.1.06</t>
  </si>
  <si>
    <t>Konsumsi Pelatihan 36or x 1kl</t>
  </si>
  <si>
    <t>4.3.02.5.2.1.08</t>
  </si>
  <si>
    <t>4.3.02.5.2.1.90</t>
  </si>
  <si>
    <t>Belanja Upakara, Upacara dan Aci</t>
  </si>
  <si>
    <t>Aci ( Pejati )</t>
  </si>
  <si>
    <t>4.3.02.5.2.2</t>
  </si>
  <si>
    <t>4.3.02.5.2.2.04</t>
  </si>
  <si>
    <t>Honor Narasumber / Instruktur 2or</t>
  </si>
  <si>
    <t>KODE</t>
  </si>
  <si>
    <t>: Pelatihan Tim Verifikasi dan penyusunan RKP ( Pelatihan Penysunan RKPDes)</t>
  </si>
  <si>
    <t xml:space="preserve">Waktu Pelaksanaan       </t>
  </si>
  <si>
    <t>Konsumsi Pelatihan (32or x 1kali)</t>
  </si>
  <si>
    <t>4.3.02.5.2.1.07</t>
  </si>
  <si>
    <t>: Peningkatan Kapasitas BPD</t>
  </si>
  <si>
    <t xml:space="preserve">: </t>
  </si>
  <si>
    <t>4.3.03.5.2</t>
  </si>
  <si>
    <t>4.3.03.5.2.1</t>
  </si>
  <si>
    <t>4.3.03.5.2.1.06</t>
  </si>
  <si>
    <t>Konsumsi Pelatihan 10or x 2Kali</t>
  </si>
  <si>
    <t>4.3.03.5.2.1.08</t>
  </si>
  <si>
    <t>4.3.03.5.2.2</t>
  </si>
  <si>
    <t>4.3.03.5.2.2.04</t>
  </si>
  <si>
    <t>Honor Narasumber ( 2or X1 kl )</t>
  </si>
  <si>
    <t>4.3.03.5.2.4</t>
  </si>
  <si>
    <t>Belanja Jasa Sewa</t>
  </si>
  <si>
    <t>4.3.03.5.2.4.01</t>
  </si>
  <si>
    <t>Belanja Jasa Sewa bangunan/gedung/ruang</t>
  </si>
  <si>
    <t>Belanja kegiatan Team Building/Outbond</t>
  </si>
  <si>
    <t>ok</t>
  </si>
  <si>
    <t xml:space="preserve"> </t>
  </si>
  <si>
    <t>: Penyediaan Oprasional Pemerinthanan Desa ( Kegiatan Rapat - Rapat)</t>
  </si>
  <si>
    <t>1.1.04.5.2.1.90</t>
  </si>
  <si>
    <t xml:space="preserve">Pemeliharaan Aplikasi SIPENARI </t>
  </si>
  <si>
    <t xml:space="preserve">  </t>
  </si>
  <si>
    <t>Kotak</t>
  </si>
  <si>
    <t>pak</t>
  </si>
  <si>
    <t>lusin</t>
  </si>
  <si>
    <t>: Penyediaan Kegiatan Sosial Desa</t>
  </si>
  <si>
    <t>1.1.94.5.2</t>
  </si>
  <si>
    <t>1.1.94.5.2.7</t>
  </si>
  <si>
    <t>Belanja Barang dan Jasa yang Diserahkan Kepada Masyarakat</t>
  </si>
  <si>
    <t>1.1.94.5.2.7.01</t>
  </si>
  <si>
    <t>Belanja Bahan Perlengkapan yang Diserahkan ke masyarakat</t>
  </si>
  <si>
    <t>Kopi 10kg x 12bln</t>
  </si>
  <si>
    <t>Dupa 10kg x 12bln</t>
  </si>
  <si>
    <t>Beras 20kg x 12bln</t>
  </si>
  <si>
    <t>Kain Putih (15m x 12Bln)</t>
  </si>
  <si>
    <t>m</t>
  </si>
  <si>
    <t>Telor 25 btr x 12bln</t>
  </si>
  <si>
    <t>btr</t>
  </si>
  <si>
    <t>: Administrasi Bank</t>
  </si>
  <si>
    <t xml:space="preserve"> Januari - Desember 2021</t>
  </si>
  <si>
    <t>1.1.95.5.2</t>
  </si>
  <si>
    <t>1.1.95.5.2.5</t>
  </si>
  <si>
    <t>Belanja Oprasional Perkantoran</t>
  </si>
  <si>
    <t>1.1.95.5.2.5.90</t>
  </si>
  <si>
    <t>Biaya admin Bank</t>
  </si>
  <si>
    <t xml:space="preserve">Bidang    </t>
  </si>
  <si>
    <t xml:space="preserve">Sub Bidang   </t>
  </si>
  <si>
    <t xml:space="preserve">Kegiatan     </t>
  </si>
  <si>
    <t>: Pelatihan Perangkat Desa</t>
  </si>
  <si>
    <t>Belanja Barang Dan Jasa</t>
  </si>
  <si>
    <t>Konsumsi Pelatihan (28or )</t>
  </si>
  <si>
    <t>NaraSumber / Instruktur (2or x 1kali )</t>
  </si>
  <si>
    <t>4.3.02.5.2.4</t>
  </si>
  <si>
    <t>4.3.02.5.2.4.01</t>
  </si>
  <si>
    <t>: Dukungan Penanaman Modal</t>
  </si>
  <si>
    <t>: Pengembangan sarana dan prasarana usaha mikro, kecil dan menengah serta koprasi  (Pelatihan Management BUMDes)</t>
  </si>
  <si>
    <t xml:space="preserve">Waktu Pelaksanaan        </t>
  </si>
  <si>
    <t>Rincian Pendanaan :</t>
  </si>
  <si>
    <t>4.6.02.5.2</t>
  </si>
  <si>
    <t>4.6.02.5.2.1</t>
  </si>
  <si>
    <t>4.6.02.5.2.1.06</t>
  </si>
  <si>
    <t>kotak</t>
  </si>
  <si>
    <t>4.6.02.5.2.1.08</t>
  </si>
  <si>
    <t>4.6.02.5.2.1.90</t>
  </si>
  <si>
    <t>4.6.02.5.2.2</t>
  </si>
  <si>
    <t>Belanja Honorarium</t>
  </si>
  <si>
    <t>4.6.02.5.2.2.04</t>
  </si>
  <si>
    <t>konsumsi ( 15 x 2 kali )</t>
  </si>
  <si>
    <t>Honor Narasumber/ Instruktur  (1or x 2kali)</t>
  </si>
  <si>
    <t>Sumber Dana        :</t>
  </si>
  <si>
    <t>Belanja Bahan/Material</t>
  </si>
  <si>
    <t>Belanja Jasa Honorarium Tim Yang Melaksanakan Kegiatan</t>
  </si>
  <si>
    <t>Anggota TPK</t>
  </si>
  <si>
    <t>Belanja Barang Dan jasa Yang Diserahkan Kepada Masyarakat</t>
  </si>
  <si>
    <t>Belanja Bahan Perlengkapan Yang Diserahkan Ke Masyarakat</t>
  </si>
  <si>
    <t xml:space="preserve">Waktu Pelaksanaan  </t>
  </si>
  <si>
    <t xml:space="preserve">: Pelatihan/ Penyuluhan Pemberdayaan Perempuan (Pelatihan Pembuatan Jamu Tradisional PKK Desa ) </t>
  </si>
  <si>
    <t>ikat</t>
  </si>
  <si>
    <t>Perbekel Desa Penatih Dangin Puri</t>
  </si>
  <si>
    <t xml:space="preserve">Bidang                                </t>
  </si>
  <si>
    <t xml:space="preserve">Sub Bidang                        </t>
  </si>
  <si>
    <t>: Pertania dan peternakan</t>
  </si>
  <si>
    <t xml:space="preserve">Kegiatan                             </t>
  </si>
  <si>
    <t>: Peningkatan Produksi Tanaman Pangan ( Produk Unggulan Desa) Pelatihan Budidaya Jamur</t>
  </si>
  <si>
    <t>4.2.01.5.2</t>
  </si>
  <si>
    <t>4.2.01.5.2.1</t>
  </si>
  <si>
    <t>4.2.01.5.2.1.06</t>
  </si>
  <si>
    <t>Konsumsi Pelatihan ( 30 or x 2kali )</t>
  </si>
  <si>
    <t>4.2.01.5.2.1.08</t>
  </si>
  <si>
    <t>4.2.01.5.2.1.90</t>
  </si>
  <si>
    <t>4.2.01.5.2.2</t>
  </si>
  <si>
    <t>4.2.01.5.2.2.01</t>
  </si>
  <si>
    <t>Sekretaris TPK</t>
  </si>
  <si>
    <t>4.2.01.5.2.2.04</t>
  </si>
  <si>
    <t>Honor Narasumber/ Instruktur (2or x 2kali )</t>
  </si>
  <si>
    <t>4.2.015.2.7</t>
  </si>
  <si>
    <t>4.2.01.5.2.7.01</t>
  </si>
  <si>
    <t>Selang Air 100 meter</t>
  </si>
  <si>
    <t>Baglog Jamur</t>
  </si>
  <si>
    <t>: Tambahan  Penghasilan Perbekel dari BKK</t>
  </si>
  <si>
    <t>1.1.96.5.1</t>
  </si>
  <si>
    <t>1.1.96.5.1.1</t>
  </si>
  <si>
    <t>Bln</t>
  </si>
  <si>
    <t>TAHUN ANGGARAN 2023</t>
  </si>
  <si>
    <t>AC 1PK</t>
  </si>
  <si>
    <t>Pemeliharaan Gedung/Prasarana Kantor Desa (Perbekel)</t>
  </si>
  <si>
    <t>Volume</t>
  </si>
  <si>
    <t xml:space="preserve"> : 12 Bulan</t>
  </si>
  <si>
    <t>NO.</t>
  </si>
  <si>
    <t>Total</t>
  </si>
  <si>
    <t>Mengetahui</t>
  </si>
  <si>
    <t>I Wayan Sutapa</t>
  </si>
  <si>
    <t>Pemeliharaan Gedung/Prasarana Kantor Desa (Ruang Sekeretaris Desa)</t>
  </si>
  <si>
    <t>Pemeliharaan Gedung/Prasarana Kantor Desa (BPD)</t>
  </si>
  <si>
    <t>Pemeliharaan Gedung/Prasarana Kantor Desa (Kepala Dusun)</t>
  </si>
  <si>
    <t>Pemeliharaan Gedung/Prasarana Kantor Desa (Kaur Kasi)</t>
  </si>
  <si>
    <t>1.4.03.5.2</t>
  </si>
  <si>
    <t>1.4.03.5.2.1</t>
  </si>
  <si>
    <t>1.4.03.5.2.1.05</t>
  </si>
  <si>
    <t>Cetak RKP Desa 2021</t>
  </si>
  <si>
    <t>1.4.03.5.2.1.06</t>
  </si>
  <si>
    <t>Konsumsi kotak 12 or x 11 hari</t>
  </si>
  <si>
    <t>1.4.03.5.2.2</t>
  </si>
  <si>
    <t>1.4.03.5.2.2.01</t>
  </si>
  <si>
    <t>Belanja Jasa Honorarium Tim yang melaksanakan kegiatan</t>
  </si>
  <si>
    <t>Honorarium tim verifikasi</t>
  </si>
  <si>
    <t>Anggota (30r x 1kl)</t>
  </si>
  <si>
    <t>Honorarium tim Penyusun</t>
  </si>
  <si>
    <t>Anggota 9 or x 3 bln</t>
  </si>
  <si>
    <t>Kader Teknik</t>
  </si>
  <si>
    <t>Penyusunan Dokumen Perencanaan Desa (RKP Desa 2024 )</t>
  </si>
  <si>
    <t>Bidang              :</t>
  </si>
  <si>
    <t>Pelaksanaan Pembangunan Desa</t>
  </si>
  <si>
    <t>Sub Bidang       :</t>
  </si>
  <si>
    <t>Pendidikan</t>
  </si>
  <si>
    <t>Penyelenggaraan PAUD/TK/TKA/ Madrasah Non Formal Milik Desa (Pengelolaan Taman Kanak - kanak  TK Kumara Sari VI )</t>
  </si>
  <si>
    <t>Kode</t>
  </si>
  <si>
    <t>2.1.01.5.2</t>
  </si>
  <si>
    <t>2.1.01.5.2.1</t>
  </si>
  <si>
    <t>2.1.01.5.2.1.01</t>
  </si>
  <si>
    <t>Oprasinal</t>
  </si>
  <si>
    <t>Spidol warna</t>
  </si>
  <si>
    <t xml:space="preserve">Buku Tulis </t>
  </si>
  <si>
    <t>Buku Agenda</t>
  </si>
  <si>
    <t>Kertas HVS A4</t>
  </si>
  <si>
    <t>Kertas HVS F4</t>
  </si>
  <si>
    <t>Tinta Spidol</t>
  </si>
  <si>
    <t>Stiker Label</t>
  </si>
  <si>
    <t>Tinta stampel</t>
  </si>
  <si>
    <t>Tinta Hitam Printer</t>
  </si>
  <si>
    <t>Tinta Warna Printer</t>
  </si>
  <si>
    <t>Spidol White Board</t>
  </si>
  <si>
    <t>Spidol permanen</t>
  </si>
  <si>
    <t>Map plastik bening</t>
  </si>
  <si>
    <t>Map Kertas</t>
  </si>
  <si>
    <t>Isi Staples</t>
  </si>
  <si>
    <t>Clip Seagul</t>
  </si>
  <si>
    <t>Binder Clip</t>
  </si>
  <si>
    <t>Kertas Coklat</t>
  </si>
  <si>
    <t>Penggaris</t>
  </si>
  <si>
    <t>Teka (hard Folder)</t>
  </si>
  <si>
    <t>Amplop Besar</t>
  </si>
  <si>
    <t>Steples alat</t>
  </si>
  <si>
    <t>Cetak Buku Ekspedisi</t>
  </si>
  <si>
    <t>Cetak Kartu SPP Anak</t>
  </si>
  <si>
    <t>Cetak Sampul rapot</t>
  </si>
  <si>
    <t>Cetak Buku penghubung</t>
  </si>
  <si>
    <t>Cetak MAP SKTB</t>
  </si>
  <si>
    <t>Rak Buku</t>
  </si>
  <si>
    <t>Buku untuk di Perpustakaan</t>
  </si>
  <si>
    <t>Jaringan Komputer</t>
  </si>
  <si>
    <t>Pemeliharaan Komputer</t>
  </si>
  <si>
    <t>Pemeliharaan Laptop</t>
  </si>
  <si>
    <t>Pemeliharaan Printer</t>
  </si>
  <si>
    <t>Untuk Anak - Anak</t>
  </si>
  <si>
    <t>Map Plastik Kancing</t>
  </si>
  <si>
    <t>Buku Kotak</t>
  </si>
  <si>
    <t>Buku Gamar</t>
  </si>
  <si>
    <t>Krayon</t>
  </si>
  <si>
    <t>Pensil</t>
  </si>
  <si>
    <t>Penghaspus</t>
  </si>
  <si>
    <t>Lem</t>
  </si>
  <si>
    <t>Gunting</t>
  </si>
  <si>
    <t>Kertas Origami</t>
  </si>
  <si>
    <t>Buku Tematik</t>
  </si>
  <si>
    <t>Paket</t>
  </si>
  <si>
    <t>Pensil Warna</t>
  </si>
  <si>
    <t>Kuas</t>
  </si>
  <si>
    <t>palet cat</t>
  </si>
  <si>
    <t>Poster gambar anak</t>
  </si>
  <si>
    <t>Kertas Manila</t>
  </si>
  <si>
    <t>Cotton Bud</t>
  </si>
  <si>
    <t>Manik - manik</t>
  </si>
  <si>
    <t>Benang Nilon</t>
  </si>
  <si>
    <t>Plastik Jilid</t>
  </si>
  <si>
    <t>2.1.01.5.2.1.02</t>
  </si>
  <si>
    <t xml:space="preserve">Belanja Perlengkapan Alat Listrik </t>
  </si>
  <si>
    <t>Lampu Philips</t>
  </si>
  <si>
    <t>2.1.01.5.2.1.03</t>
  </si>
  <si>
    <t>Sabun pencuci Piring</t>
  </si>
  <si>
    <t>Sabun Cuci Tangan</t>
  </si>
  <si>
    <t>Cairan Pembersih Lantai</t>
  </si>
  <si>
    <t>Obat- Obatan P3K</t>
  </si>
  <si>
    <t>Cairan pembersih Kaca</t>
  </si>
  <si>
    <t>Lap Cuci Tangan</t>
  </si>
  <si>
    <t>Sapu Ijuk</t>
  </si>
  <si>
    <t>Kemoceng</t>
  </si>
  <si>
    <t xml:space="preserve">Alat pel </t>
  </si>
  <si>
    <t>Deterjen/Sabun cuci so klin</t>
  </si>
  <si>
    <t>Lap kaca/sekewis kaca</t>
  </si>
  <si>
    <t>Cairan pembersih porselin</t>
  </si>
  <si>
    <t>Sikat kamar mandi</t>
  </si>
  <si>
    <t>Tempat sampah</t>
  </si>
  <si>
    <t>Keranjang Plastik</t>
  </si>
  <si>
    <t>Taplak Meja</t>
  </si>
  <si>
    <t xml:space="preserve">Baterai </t>
  </si>
  <si>
    <t>Tisuu</t>
  </si>
  <si>
    <t>Lakban</t>
  </si>
  <si>
    <t>Cat Pewarna Makana</t>
  </si>
  <si>
    <t>2.1.01.5.2.1.04</t>
  </si>
  <si>
    <t>Belanja Bahan Bakar Minyak</t>
  </si>
  <si>
    <t>Kupon Bensin</t>
  </si>
  <si>
    <t>2.1.01.5.2.1.06</t>
  </si>
  <si>
    <t>2.1.01.5.2.1.07</t>
  </si>
  <si>
    <t>Belanja Bahan / Material</t>
  </si>
  <si>
    <t>Kostum Pawai 17 Agustus</t>
  </si>
  <si>
    <t>Kostum Pawai Ogoh - ogoh</t>
  </si>
  <si>
    <t>2.1.01.5.2.1.08</t>
  </si>
  <si>
    <t>Bendera Merah putih</t>
  </si>
  <si>
    <t>2.1.01.5.2.1.09</t>
  </si>
  <si>
    <t>Belanja Pakaian Dinas/ Seragam/ Atribut</t>
  </si>
  <si>
    <t>Seragam Guru endek ( 5Guru)</t>
  </si>
  <si>
    <t>2.1.01.5.2.1.90</t>
  </si>
  <si>
    <t xml:space="preserve">Canang Sehari - Hari </t>
  </si>
  <si>
    <t>tanding</t>
  </si>
  <si>
    <t>Banten Purnama</t>
  </si>
  <si>
    <t>Banten Tilem</t>
  </si>
  <si>
    <t>Banten Kajeng Kliwon</t>
  </si>
  <si>
    <t>Odalan (setiap saraswati)</t>
  </si>
  <si>
    <t>Pejati Kuningan</t>
  </si>
  <si>
    <t>Pejati sugian</t>
  </si>
  <si>
    <t>Pejati Galungan</t>
  </si>
  <si>
    <t>2.1.01.5.2.2</t>
  </si>
  <si>
    <t>2.1.01.5.2.2.04</t>
  </si>
  <si>
    <t>Belanja jasa honorarium Ahli/Profesi/Konsultan/Narasumber</t>
  </si>
  <si>
    <t>Honor Kepala Sekolah</t>
  </si>
  <si>
    <t>Honor Guru 1</t>
  </si>
  <si>
    <t>Honor Guru 2</t>
  </si>
  <si>
    <t>Honor Guru 3</t>
  </si>
  <si>
    <t>Honor Guru 4</t>
  </si>
  <si>
    <t>Honor Guru Extra (2orang)</t>
  </si>
  <si>
    <t>Honor Cleaning Service</t>
  </si>
  <si>
    <t>Tunjangan</t>
  </si>
  <si>
    <t>Kepala Sekolah</t>
  </si>
  <si>
    <t>Operator</t>
  </si>
  <si>
    <t>2.1.01.5.2.5</t>
  </si>
  <si>
    <t>Belanja Operasional perkantoran</t>
  </si>
  <si>
    <t>2.1.01.5.2.5.01</t>
  </si>
  <si>
    <t xml:space="preserve">Belanja jasa Langganan listrik </t>
  </si>
  <si>
    <t>2.1.01.5.2.5.02</t>
  </si>
  <si>
    <t>Belanja jasa langganan Air</t>
  </si>
  <si>
    <t>2.1.01.5.2.5.05</t>
  </si>
  <si>
    <t>2.2.02.5.2.2.04</t>
  </si>
  <si>
    <t>2.2.02.5.2.2</t>
  </si>
  <si>
    <t>Timbangan Dewasa Tigital</t>
  </si>
  <si>
    <t>On Coll Tes Gula Darah</t>
  </si>
  <si>
    <t>Manset Tensi Meter</t>
  </si>
  <si>
    <t>Belanja Obat Obatan</t>
  </si>
  <si>
    <t>2.2.02.5.2.1.10</t>
  </si>
  <si>
    <t>Belanja Bendera/Umbul - umbul Spanduk</t>
  </si>
  <si>
    <t>2.2.02.5.2.1.08</t>
  </si>
  <si>
    <t>Konsumsi Kegiatan</t>
  </si>
  <si>
    <t>2.2.02.5.2.1.06</t>
  </si>
  <si>
    <t>Buku Tulis Besar</t>
  </si>
  <si>
    <t>Perlangakapan Alat Tulis Kantor dan Benda POS</t>
  </si>
  <si>
    <t>2.2.02.5.2.1.01</t>
  </si>
  <si>
    <t>Belanaja Barang Pelengkapan</t>
  </si>
  <si>
    <t>2.2.02.5.2.1</t>
  </si>
  <si>
    <t>2.2.02.5.2</t>
  </si>
  <si>
    <t>: Posyandu Remaja</t>
  </si>
  <si>
    <t xml:space="preserve">Kegiatan    </t>
  </si>
  <si>
    <t>: Kesehatan</t>
  </si>
  <si>
    <t>: Pelaksanaan Pembangunan Desa</t>
  </si>
  <si>
    <t xml:space="preserve">Bidang         </t>
  </si>
  <si>
    <t>Buku Tulis Biasa</t>
  </si>
  <si>
    <t>2.2.02.5.2.2.05</t>
  </si>
  <si>
    <t>Honor Petugas POSYANDU (5or x 13Klp x 12bln)</t>
  </si>
  <si>
    <t>Dupa ( 1 bks x 12bln x 13klp)</t>
  </si>
  <si>
    <t>Canang ( 10tanding x 12bln x 13klp)</t>
  </si>
  <si>
    <t>2.2.02.5.2.1.90</t>
  </si>
  <si>
    <t>Perawatan Timbangan Posyandu(13buah x 12bln)</t>
  </si>
  <si>
    <t>2.2.02.5.2.1.07</t>
  </si>
  <si>
    <t xml:space="preserve">Vitamin </t>
  </si>
  <si>
    <t>butir</t>
  </si>
  <si>
    <t>Telur</t>
  </si>
  <si>
    <t xml:space="preserve">Susu </t>
  </si>
  <si>
    <t>Belanja PMT untuk Balita (433 anak x 12)</t>
  </si>
  <si>
    <t>Konsumsi 5or x 13klp x 12bln</t>
  </si>
  <si>
    <t>Spidol Warna</t>
  </si>
  <si>
    <t>Cetak Kartu Menuju Sehat</t>
  </si>
  <si>
    <t>Buku Data Posyandu</t>
  </si>
  <si>
    <t>Buku SKDN</t>
  </si>
  <si>
    <t>Buku Pola Ship</t>
  </si>
  <si>
    <t>: Penyelenggaraan Posyandu (Pemberian PMT)</t>
  </si>
  <si>
    <t>Honor Narasumber (2 orx 1kl)</t>
  </si>
  <si>
    <t>Belanja Jasa Honorarium Ahli/ Profesi/Konsultan/Narasumber</t>
  </si>
  <si>
    <t>Konsumsi ( 30or x 1kali )</t>
  </si>
  <si>
    <t>: Penyelenggaraan POSyandu (Pos Gizi dan Ibu Hamil)</t>
  </si>
  <si>
    <t xml:space="preserve">Bidang        </t>
  </si>
  <si>
    <t xml:space="preserve"> : Pelaksanaan Pembangunan Desa</t>
  </si>
  <si>
    <t xml:space="preserve">Sub Bidang          </t>
  </si>
  <si>
    <t xml:space="preserve"> : Kesehatan</t>
  </si>
  <si>
    <t>Cetak Kartu Kembang Anak</t>
  </si>
  <si>
    <t>Konsumsi 5or x 6klp x 12bln</t>
  </si>
  <si>
    <t>Canang ( 10tanding x 12bln x 6klp)</t>
  </si>
  <si>
    <t>Dupa ( 1 bks x 12bln x 6klp)</t>
  </si>
  <si>
    <t>Honor Petugas BKB (5or x 6Klp x 12bln)</t>
  </si>
  <si>
    <t xml:space="preserve"> :  Pengasuhan Bersama atau Bina Keluarga Lansia (Pelaksanaan Kegiatan Bina keluarga lansia BKL )</t>
  </si>
  <si>
    <t>Belanja Jasa Honorarium Tim yang Melaksanakan Kegiatan (TPK )</t>
  </si>
  <si>
    <t>: Penyuluhan dan Pelatihan Bidang Kesehatan (Pembinaan Kader POSyandu)</t>
  </si>
  <si>
    <t>2.2.03.5.2</t>
  </si>
  <si>
    <t>2.2.03.5.2.1</t>
  </si>
  <si>
    <t>2.2.03.5.2.1.06</t>
  </si>
  <si>
    <t>Konsumsi Pelatihan (71or x 1Kl)</t>
  </si>
  <si>
    <t>2.2.03.5.2.1.07</t>
  </si>
  <si>
    <t>2.2.03.5.2.1.08</t>
  </si>
  <si>
    <t>2.2.03.5.2.1.90</t>
  </si>
  <si>
    <t>Belanja Upakara, Upacara Dan Aci-Aci</t>
  </si>
  <si>
    <t>2.2.03.5.2.2</t>
  </si>
  <si>
    <t>2.2.03.5.2.2.04</t>
  </si>
  <si>
    <t>Honor Narasumber 2or x 1 Kl</t>
  </si>
  <si>
    <t>Honor Narasumber (2or)</t>
  </si>
  <si>
    <t>2.2.03.5.2.2.01</t>
  </si>
  <si>
    <t>: Penyuluhan dan Pelatihan Bidang Kesehatan(Sosialisasi Stunting)</t>
  </si>
  <si>
    <t xml:space="preserve">Sewa dekorasi </t>
  </si>
  <si>
    <t>Belanja Jasa Sewa Alat Perlengkapan</t>
  </si>
  <si>
    <t>2.2.03.5.2.4.02</t>
  </si>
  <si>
    <t>2.2.03.5.2.4</t>
  </si>
  <si>
    <t>Honor Narasumber (2or x 1kali)</t>
  </si>
  <si>
    <t>Konsumsi</t>
  </si>
  <si>
    <t>Brosur Tentang HIV- AIDS</t>
  </si>
  <si>
    <t>Belanja Alat Tulis Kantor dan Benda Pos</t>
  </si>
  <si>
    <t>2.2.03.5.2.1.01</t>
  </si>
  <si>
    <t>: Penyuluhan dan Pelatihan Bidang Kesehatan (Penyuluhan Narkoba dan HIV/AIDS)</t>
  </si>
  <si>
    <t>Kali</t>
  </si>
  <si>
    <t>Honor Kader 5 or x 6klp x 12 kl</t>
  </si>
  <si>
    <t>Belanaja Jasa Honorarium</t>
  </si>
  <si>
    <t>Belanja Bendera/ Umbul-Umbul/ Spanduk</t>
  </si>
  <si>
    <t>Vitamin untuk Lansia</t>
  </si>
  <si>
    <t>Nutrisi Tambahan</t>
  </si>
  <si>
    <t>Belanja Barang perlengkapan</t>
  </si>
  <si>
    <t xml:space="preserve">Belanja Barang dan Jasa </t>
  </si>
  <si>
    <t>Rincian Pengeluaran :</t>
  </si>
  <si>
    <t>: Penyuluhan dan Pelatihan Bidang Kesehatan (Pemberian tambahan nutrisi bagi lansia)</t>
  </si>
  <si>
    <t xml:space="preserve">Kegiatan             </t>
  </si>
  <si>
    <t xml:space="preserve">Sub Bidang            </t>
  </si>
  <si>
    <t>:Pelaksanaan Pembangunan Desa</t>
  </si>
  <si>
    <t>RENCANA ANGGARAN BIAYA (RAB)</t>
  </si>
  <si>
    <t>Belanja Jasa Honorarium Tim yang Melaksanakan Kegiatan</t>
  </si>
  <si>
    <t>Kegiatan</t>
  </si>
  <si>
    <t>Belanja Jasa Honorarium Narasumber</t>
  </si>
  <si>
    <t>Belanja Barang Konsumsi</t>
  </si>
  <si>
    <t>: Penyuluhan dan Pelatihan Bidang Kesehatan (Posbindu)</t>
  </si>
  <si>
    <t>2.2.03.5.2.2.05</t>
  </si>
  <si>
    <t>Belanja Jasa Sewa Sarana/Perlengkapan</t>
  </si>
  <si>
    <t>Honor MC</t>
  </si>
  <si>
    <t>2.2.03.5.2.2..04</t>
  </si>
  <si>
    <t>Konsumsi  150or</t>
  </si>
  <si>
    <t>Konsumsi Rapat (30 or x 1Kl)</t>
  </si>
  <si>
    <t>: Penyuluhan dan Pelatihan Bidang Kesehatan (Penyuluhan KB)</t>
  </si>
  <si>
    <t>Honor Pelatih / Instruktur (2or x 1kali )</t>
  </si>
  <si>
    <t>2.2.04.5.2.2.04</t>
  </si>
  <si>
    <t>Belanja  Jasa Honorarium Tim yang Melaksanakan Kegiatan</t>
  </si>
  <si>
    <t>2.2.04.5.2.2.01</t>
  </si>
  <si>
    <t>2.2.04.5.2.2</t>
  </si>
  <si>
    <t>2.2.04.5.2.1.90</t>
  </si>
  <si>
    <t>2.2.04.5.2.1.08</t>
  </si>
  <si>
    <t>Konsumsi ( 40or x 2kali )</t>
  </si>
  <si>
    <t>2.2.04.5.2.1.06</t>
  </si>
  <si>
    <t>2.2.04.5.2.1.01</t>
  </si>
  <si>
    <t>2.2.04.5.2.1</t>
  </si>
  <si>
    <t>2.2.04.5.2</t>
  </si>
  <si>
    <t>: Penyuluhan dan Pelatihan Bidang Kesehatan (Desa Siaga Kesehatan)</t>
  </si>
  <si>
    <t>2.2.06.5.2.2.04</t>
  </si>
  <si>
    <t>Honor Tim yang Melaksanakan Kegiatan</t>
  </si>
  <si>
    <t>2.2.06.5.2.2</t>
  </si>
  <si>
    <t>2.2.06.5.2.1.90</t>
  </si>
  <si>
    <t>2.2.06.5.2.1.08</t>
  </si>
  <si>
    <t>2.2.06.5.2.1.06</t>
  </si>
  <si>
    <t>2.2.06.5.2.1</t>
  </si>
  <si>
    <t>2.2.06.5.2</t>
  </si>
  <si>
    <t>Pembinaan Kader BKB</t>
  </si>
  <si>
    <t xml:space="preserve"> :Pengasuhan Bersama atau Bina Keluarga Balita (Pembinaan  kader BKB)</t>
  </si>
  <si>
    <t>Ob</t>
  </si>
  <si>
    <t>2.2.06.5.2.2.05</t>
  </si>
  <si>
    <t>Jasa Narasumber (2or x 2kali)</t>
  </si>
  <si>
    <t>Belanja seragam kader BKR</t>
  </si>
  <si>
    <t>2.2.06.5.2.1.01</t>
  </si>
  <si>
    <t>Pembinaan Kader BKR</t>
  </si>
  <si>
    <t xml:space="preserve"> :  Pengasuhan Bersama atau Bina Keluarga Balita (Pembinaan Kegiatan Bina keluarga Remaja BKR )</t>
  </si>
  <si>
    <t>5or x 1klp x 12bln</t>
  </si>
  <si>
    <t xml:space="preserve"> :  Pengasuhan Bersama atau Bina Keluarga Remaja (Penyelenggaraan BKR)</t>
  </si>
  <si>
    <t xml:space="preserve"> :  Pengasuhan Bersama atau Bina Keluarga Balita (Pelaksanaan Kegiatan Bina keluarga Balita BKB )</t>
  </si>
  <si>
    <t>Perawatan Mesin</t>
  </si>
  <si>
    <t>2.2.91.5.2.6.01</t>
  </si>
  <si>
    <t>Belanja pemeliharaan</t>
  </si>
  <si>
    <t>2.2.91.5.2.6</t>
  </si>
  <si>
    <t>2.2.91.5.2.2.05</t>
  </si>
  <si>
    <t>Belanja Jasa Honorarium Tim Yang Melaksanakan kegiatan</t>
  </si>
  <si>
    <t>2.2.91.5.2.2.01</t>
  </si>
  <si>
    <t>2.2.91.5.2.2</t>
  </si>
  <si>
    <t>Battrey</t>
  </si>
  <si>
    <t>Sarung Tangang Kain</t>
  </si>
  <si>
    <t>Ltr</t>
  </si>
  <si>
    <t>Obat</t>
  </si>
  <si>
    <t>Solar</t>
  </si>
  <si>
    <t>2.2.91.5.2.1.07</t>
  </si>
  <si>
    <t>Ktk</t>
  </si>
  <si>
    <t>Belanja Perlengkapan Barang konsumsi</t>
  </si>
  <si>
    <t>2.2.91.5.2.1.06</t>
  </si>
  <si>
    <t>2.2.91.5.2.1</t>
  </si>
  <si>
    <t>2.2.91.5.2</t>
  </si>
  <si>
    <t>:  Foging Fokus</t>
  </si>
  <si>
    <t xml:space="preserve">Kegiatan   </t>
  </si>
  <si>
    <t xml:space="preserve">Bidang      </t>
  </si>
  <si>
    <t>Juara 3</t>
  </si>
  <si>
    <t>Juara 2</t>
  </si>
  <si>
    <t>Juara 1</t>
  </si>
  <si>
    <t>Hadiah</t>
  </si>
  <si>
    <t>2.2.92.5.2.7.90</t>
  </si>
  <si>
    <t>Belanja Barang dan Jasa Yang Di Serahkan</t>
  </si>
  <si>
    <t>2.2.92.5.2.7</t>
  </si>
  <si>
    <t>Jasa Juri (4or x 3kali)</t>
  </si>
  <si>
    <t>2.2.92.5.2.2.04</t>
  </si>
  <si>
    <t>2.2.92.5.2.2.01</t>
  </si>
  <si>
    <t>Belanaj Jasa Honorarium</t>
  </si>
  <si>
    <t>2.2.92.5.2.2</t>
  </si>
  <si>
    <t>Lampu Senter</t>
  </si>
  <si>
    <t xml:space="preserve">Tas </t>
  </si>
  <si>
    <t>Topi</t>
  </si>
  <si>
    <t>Celana</t>
  </si>
  <si>
    <t>Baju</t>
  </si>
  <si>
    <t>Belanja Pakaian Dinas / Seragam/ Atribut</t>
  </si>
  <si>
    <t>2.2.92.5.2.1.09</t>
  </si>
  <si>
    <t>2.2.92.5.2.1.08</t>
  </si>
  <si>
    <t>Konsumsi Tim Penilai + Kadus ( 12or x 4kali )</t>
  </si>
  <si>
    <t>Konsumsi Jumantik ( 13or x 4kali )</t>
  </si>
  <si>
    <t>2.2.92.5.2.1.06</t>
  </si>
  <si>
    <t>2.2.92.5.2.1</t>
  </si>
  <si>
    <t>2.2.92.5.2</t>
  </si>
  <si>
    <t>Lomba PSN</t>
  </si>
  <si>
    <t>Peliputan Media Elektronik</t>
  </si>
  <si>
    <t>Konsumsi Kegiatan (100or x 1kali x 13 banjar )</t>
  </si>
  <si>
    <t>Konsumsi Rapat (45or x 1kl)</t>
  </si>
  <si>
    <t>Gerakan Kebersihan Serentak</t>
  </si>
  <si>
    <t>: Gerakan Serentak PSN dan Lomba PSN</t>
  </si>
  <si>
    <t xml:space="preserve">: Pelaksanaan Pembangunan Desa  </t>
  </si>
  <si>
    <t>2.2.93.5.7.91</t>
  </si>
  <si>
    <t>Belanja Barang dan jasa yang diesrahkan kepada Masyarakat</t>
  </si>
  <si>
    <t>2.2.93.5.7</t>
  </si>
  <si>
    <t>\</t>
  </si>
  <si>
    <t>Konsumsi Rapat Bulanan (15or X 4 Kl)</t>
  </si>
  <si>
    <t>2.2.93.5.2.1.06</t>
  </si>
  <si>
    <t>2.2.93.5.2.1.05</t>
  </si>
  <si>
    <t>Belanja Tinta Printer</t>
  </si>
  <si>
    <t>Bolpoint faster</t>
  </si>
  <si>
    <t>Stepler max Hd 10</t>
  </si>
  <si>
    <t>Kertas F4 70 gram / Bola Dunia</t>
  </si>
  <si>
    <t>2.2.93.5.2.1.01</t>
  </si>
  <si>
    <t>2.2.93.5.2.1</t>
  </si>
  <si>
    <t>2.2.93.5.2</t>
  </si>
  <si>
    <t>: Penyelengggaraan Rumah Desa Sehat</t>
  </si>
  <si>
    <t>Spanduk</t>
  </si>
  <si>
    <t>Belanja Spanduk</t>
  </si>
  <si>
    <t>Belanja Bahan Meterial</t>
  </si>
  <si>
    <t>: Pelaksanaan pemulihan penanganan pandemi Covid 19</t>
  </si>
  <si>
    <t>Pembangunan Desa</t>
  </si>
  <si>
    <t>Pemeliharaan Jalan Usaha Tani (Subak Temaga Pembesian)</t>
  </si>
  <si>
    <t>Pemeliharaan Jalan Usaha Tani (Subak Temaga Bongkar Paving)</t>
  </si>
  <si>
    <t>Pemeliharaan Jalan Usaha Tani (Subak Temaga Urug Lime Stone)</t>
  </si>
  <si>
    <t>m3</t>
  </si>
  <si>
    <t>Pemeliharaan Jalan Usaha Tani (Subak Temaga Rabat Beton)</t>
  </si>
  <si>
    <t>Pemeliharaan Jalan Usaha Tani (Subak Temaga Pembetonan)</t>
  </si>
  <si>
    <t>Pemeliharaan Jalan Usaha Tani (Pasang Bekisting )</t>
  </si>
  <si>
    <t>TOTAL</t>
  </si>
  <si>
    <t>mobil</t>
  </si>
  <si>
    <t>Spare Part Ban Truk</t>
  </si>
  <si>
    <t>Spare Part Aki Truk</t>
  </si>
  <si>
    <t>Spare Part Moci</t>
  </si>
  <si>
    <t>Spare Part Truk</t>
  </si>
  <si>
    <t>Spare Part L 300</t>
  </si>
  <si>
    <t>Service Moci 3x/thn</t>
  </si>
  <si>
    <t>Service Truk ( 2 Unit x 6kali/th)</t>
  </si>
  <si>
    <t>Service L300 3x / tahun</t>
  </si>
  <si>
    <t>2.4.07.5.2.6.02</t>
  </si>
  <si>
    <t>Sparepart Mesin Pengolahan Sampah</t>
  </si>
  <si>
    <t>Service Mesin Pengolahan Sampah</t>
  </si>
  <si>
    <t>Belanja Pemeliharaan Mesin Dan Peralatan Berat</t>
  </si>
  <si>
    <t>2.4.07.5.2.6.01</t>
  </si>
  <si>
    <t>2.4.07.5.2.6</t>
  </si>
  <si>
    <t>Kir L300</t>
  </si>
  <si>
    <t>Samsat L300</t>
  </si>
  <si>
    <t>Kir Truk (2truk )</t>
  </si>
  <si>
    <t>Samsat Truk (2Truk)</t>
  </si>
  <si>
    <t>Belanja Berpanjang Ijin/Pajak</t>
  </si>
  <si>
    <t>2.4.07.5.2.5.07</t>
  </si>
  <si>
    <t>Belanja Operasional pekantoran</t>
  </si>
  <si>
    <t>2.4.07.5.2.5</t>
  </si>
  <si>
    <t>Belanja Honorarium Petugas</t>
  </si>
  <si>
    <t>2.4.07.5.2.2.05</t>
  </si>
  <si>
    <t>2.4.07.5.2.2</t>
  </si>
  <si>
    <t>Banten Caru dan Banten Pengulapan</t>
  </si>
  <si>
    <t>Purname, Tilem Dan Hari Raya Lainnya ( Pejati + Sodan )</t>
  </si>
  <si>
    <t>Banten lengkap setiap hari</t>
  </si>
  <si>
    <t>Banten Untuk Di TPS</t>
  </si>
  <si>
    <t>Belanja Upakara, Upacara dan aci</t>
  </si>
  <si>
    <t>2.4.07.5.2.1.90</t>
  </si>
  <si>
    <t xml:space="preserve">pasang </t>
  </si>
  <si>
    <t>Sarung Tangan</t>
  </si>
  <si>
    <t>Jas Hujan Model Baju Celana</t>
  </si>
  <si>
    <t>Sepatu Kebun</t>
  </si>
  <si>
    <t>Pakaian Kerja lapangan</t>
  </si>
  <si>
    <t>Karung Sampah Berlogo Untuk pelangan</t>
  </si>
  <si>
    <t>Sekop Datar</t>
  </si>
  <si>
    <t>Karcis</t>
  </si>
  <si>
    <t>Kwota internet</t>
  </si>
  <si>
    <t>hari</t>
  </si>
  <si>
    <t>Uang Retribusi Truk sampah di suwung (2 Unit)</t>
  </si>
  <si>
    <t>Belanja Bahan Dan Alat</t>
  </si>
  <si>
    <t>2.4.07.5.2.1.07</t>
  </si>
  <si>
    <t>Cetak Buku Register Pelanggan</t>
  </si>
  <si>
    <t>Cetak Karcis Sampah</t>
  </si>
  <si>
    <t>Kartu ID Untuk pelanggan</t>
  </si>
  <si>
    <t>Belanja perlengkapan Cetak</t>
  </si>
  <si>
    <t>2.4.07.5.2.1.05</t>
  </si>
  <si>
    <t>Premium moci</t>
  </si>
  <si>
    <t>Solar Truk ( 2 unit x 9 bulan )</t>
  </si>
  <si>
    <t>2.4.07.5.2.1.04</t>
  </si>
  <si>
    <t>2.4.07.5.2.1</t>
  </si>
  <si>
    <t>2.4.07.5.2</t>
  </si>
  <si>
    <t>: Kegiatan Pengelolaan Sampah Tingkat Desa</t>
  </si>
  <si>
    <t xml:space="preserve">Kegiatan                            </t>
  </si>
  <si>
    <t>: Kawasan Pemukiman</t>
  </si>
  <si>
    <t xml:space="preserve">Sub Bidang                      </t>
  </si>
  <si>
    <t xml:space="preserve">Bidang                               </t>
  </si>
  <si>
    <t>: Pemeiliharaan Fasilitas Pengelolaan Sampah Desa/ Pemukiman ( Operasional Kegiatan Bank Sampah Desa)</t>
  </si>
  <si>
    <t>Belanja barang perlengkapan</t>
  </si>
  <si>
    <t>Cetak Buku Kauangan</t>
  </si>
  <si>
    <t>2.4.07.5.2.1.06</t>
  </si>
  <si>
    <t>Konsumsi Kegiatan  ( 10 Or x 24kali )</t>
  </si>
  <si>
    <t>Serok</t>
  </si>
  <si>
    <t>Baju kaos</t>
  </si>
  <si>
    <t>Sepatu boot</t>
  </si>
  <si>
    <t>Sarung tangan</t>
  </si>
  <si>
    <t>sabun Cuci Tangan</t>
  </si>
  <si>
    <t>Hand sanitiser</t>
  </si>
  <si>
    <t>buag</t>
  </si>
  <si>
    <t>Detergen</t>
  </si>
  <si>
    <t>Ember Besar</t>
  </si>
  <si>
    <t>Belanja Honor Petugas</t>
  </si>
  <si>
    <t>Upah petugas  Pemilah sampah 10 orang x 2 kali x 12 bln</t>
  </si>
  <si>
    <t>Perawatan (Service ) Mesin Potong Rumput</t>
  </si>
  <si>
    <t>spare part mesin Potong Rumput</t>
  </si>
  <si>
    <t xml:space="preserve"> liter </t>
  </si>
  <si>
    <t xml:space="preserve">Pelumas untuk mesin potong rumput </t>
  </si>
  <si>
    <t>Belanja Pemeliharaan Peralatan</t>
  </si>
  <si>
    <t>Belanja Jasa Honor</t>
  </si>
  <si>
    <t>Belanja atribut pakaian</t>
  </si>
  <si>
    <t>Belanja Tanaman Hias</t>
  </si>
  <si>
    <t>Serok Sampah/cikrak</t>
  </si>
  <si>
    <t>Tempat Sampah Tertutup besar</t>
  </si>
  <si>
    <t>Belanja Premium  mesin potong rumput</t>
  </si>
  <si>
    <t>Belanja Bahan Bakar Minyak/Gas/Isi Ulang Tabung Pemadam Kebakaran</t>
  </si>
  <si>
    <t>Belanja Barang dan Jasa :</t>
  </si>
  <si>
    <t>: Operasional Tim Kebersihan Lingkungan</t>
  </si>
  <si>
    <t xml:space="preserve">Bidang                 </t>
  </si>
  <si>
    <t xml:space="preserve"> : Perhubungan, Komunikasi dan Informatika</t>
  </si>
  <si>
    <t xml:space="preserve">Kegiatan         </t>
  </si>
  <si>
    <t>: Penyelenggaraan Informasi Publik Desa ( Pembuatan dan Pemasangan Baliho APBDesa )</t>
  </si>
  <si>
    <t xml:space="preserve">  : 12 Bulan</t>
  </si>
  <si>
    <t>2.6.02.5.2</t>
  </si>
  <si>
    <t>2.6.02.5.2.1</t>
  </si>
  <si>
    <t>Belanaj Barang Perlengkapan</t>
  </si>
  <si>
    <t>2.6.02.5.2.1.05</t>
  </si>
  <si>
    <t>Belanja perlengkapan cetak/ pengadaan (Baliho APBDes)</t>
  </si>
  <si>
    <t>: Pembinaan Kemasyarakatan Desa</t>
  </si>
  <si>
    <t>: Ketentraman, Ketertiban Umum, dan Perlindungan Masyarakat</t>
  </si>
  <si>
    <t>:Koordinasi Pembinaan Ketentraman, Ketertiban, dan Perlindungan Masyarakat (Pengamanan Pengerupukan)</t>
  </si>
  <si>
    <t>3.1.03.5.2</t>
  </si>
  <si>
    <t>3.1.03.5.2.1</t>
  </si>
  <si>
    <t>3.1.03.5.2.1.06</t>
  </si>
  <si>
    <t>Konsumsi ( 165 or x 1 kali)</t>
  </si>
  <si>
    <t>3.1.03.5.2.1.07</t>
  </si>
  <si>
    <t>3.1.03.5.2.2</t>
  </si>
  <si>
    <t>3.1.03.5.2.2.05</t>
  </si>
  <si>
    <t>: Koordinasi Pembinaan Ketentraman, Ketertiban, dan Perlindungan Masyarakat (Pengamanan Tahun Baru)</t>
  </si>
  <si>
    <t xml:space="preserve">Sub Bidang     </t>
  </si>
  <si>
    <t>: Ketentraman, Ketertiban umum, dan Perlindungan Masyarakat</t>
  </si>
  <si>
    <t xml:space="preserve">Kegiatan  </t>
  </si>
  <si>
    <t>: Penguatan Dan Peningkatan Kapasitas Tenaga Keamanan dan Ketertiban Oleh Pemerintah Desa( Pembinaan Linmas )</t>
  </si>
  <si>
    <t>3.1.05.5.2.1.90</t>
  </si>
  <si>
    <t>Belanja Jasa Honorarium Ahli/Profesi/Konsultan/ Narasumber</t>
  </si>
  <si>
    <t>: Penguatan dan peningkatan kapasitas tenaga keamanan/ketertiban oleh Pemerintah Desa (Penjagaan Linmas Desa)</t>
  </si>
  <si>
    <t>Belanja Bahan Bakar Minyak/ gas/ isi Ulang Tabung Pemadam Kebakaran</t>
  </si>
  <si>
    <t>Bahan Bakar Mobil Linmas 1Unit</t>
  </si>
  <si>
    <t>Tahun</t>
  </si>
  <si>
    <t>Bahan Bakar Motor Linmas (2 Unit)</t>
  </si>
  <si>
    <t>unit/Tahun</t>
  </si>
  <si>
    <t>Soroh</t>
  </si>
  <si>
    <t>Honor Petugas jaga/patroli (linmas) (7or x 365 hari)</t>
  </si>
  <si>
    <t>Service Motor Linmas 2 Unit x 3kali/th</t>
  </si>
  <si>
    <t>Spare part Motor Linmas 2 Unit x 1 tahun</t>
  </si>
  <si>
    <t>Service Mobil Linmas 3kali/than</t>
  </si>
  <si>
    <t>Spare Part Mobil Linmas</t>
  </si>
  <si>
    <t>: Bidang Kelembagaan Masyarakat</t>
  </si>
  <si>
    <t>: Pembinaan PKK  ( Pembinaan administrasi )</t>
  </si>
  <si>
    <t xml:space="preserve">Seragam PKK Desa </t>
  </si>
  <si>
    <t>Wastra Padmasana, Tugu dan Dugulan</t>
  </si>
  <si>
    <t xml:space="preserve">Banten  Caru </t>
  </si>
  <si>
    <t xml:space="preserve">Penjor </t>
  </si>
  <si>
    <t xml:space="preserve">Soda alit </t>
  </si>
  <si>
    <t>ekor</t>
  </si>
  <si>
    <t xml:space="preserve">Ulam Upakara </t>
  </si>
  <si>
    <t xml:space="preserve">Banten Soda /gebogan </t>
  </si>
  <si>
    <t xml:space="preserve">Banten Ayaban </t>
  </si>
  <si>
    <t xml:space="preserve">Banten Pengulapan </t>
  </si>
  <si>
    <t xml:space="preserve">Banten Prayascita </t>
  </si>
  <si>
    <t xml:space="preserve">Banten Durmangala </t>
  </si>
  <si>
    <t xml:space="preserve">Banten Baye Kawonan </t>
  </si>
  <si>
    <t xml:space="preserve">Pejati </t>
  </si>
  <si>
    <t>Belanja Upakara dan Upacara</t>
  </si>
  <si>
    <t>3.2.90.5.2.1.90</t>
  </si>
  <si>
    <t>3.2.90.5.2.1.06</t>
  </si>
  <si>
    <t>3.2.90.5.2.1</t>
  </si>
  <si>
    <t>3.2.90.5.2</t>
  </si>
  <si>
    <t xml:space="preserve"> : Pembinaan Adat dan Keagamaan (Piodalan Padmasana)</t>
  </si>
  <si>
    <t xml:space="preserve"> :  Kebudayaan dan Kegamaan</t>
  </si>
  <si>
    <t xml:space="preserve"> : Pembinaan Kemasyarakatan Desa     </t>
  </si>
  <si>
    <t>Banten Saraswati</t>
  </si>
  <si>
    <t>Banten Rerahina tumpek landep</t>
  </si>
  <si>
    <t>Banten caru keenem</t>
  </si>
  <si>
    <t>Banten caru kesanga</t>
  </si>
  <si>
    <t>Baten Rerahina Kuningan</t>
  </si>
  <si>
    <t xml:space="preserve">Baten Rerahina Galungan </t>
  </si>
  <si>
    <t>Baten Rerahina Sugian</t>
  </si>
  <si>
    <t>Pejati Tumpek</t>
  </si>
  <si>
    <t>Upakara Pejati Purnama Tilem (kecuali tilem ke 10)</t>
  </si>
  <si>
    <t>Hari Raya Suci Keagamaan)</t>
  </si>
  <si>
    <t>: Pembinaan Adat dan Keagamaan (Upakara dan Upacara)</t>
  </si>
  <si>
    <t>:  Kebudayaan dan Kegamaan</t>
  </si>
  <si>
    <t xml:space="preserve">:  Pembinaan Kemasyarakatan Desa     </t>
  </si>
  <si>
    <t xml:space="preserve">Sumber Dana       </t>
  </si>
  <si>
    <t xml:space="preserve"> : Penunjang Oprasional Subak/Subak Abian (BKKProvinsi)</t>
  </si>
  <si>
    <t>Waktu Pelaksanaan       : 12 Bulan</t>
  </si>
  <si>
    <t>3.2.91.5.2</t>
  </si>
  <si>
    <t>3.2.91.5.2.7</t>
  </si>
  <si>
    <t>3.2.91.5.2.7.01</t>
  </si>
  <si>
    <t>Belanaja Barang  Yang Diserahkan</t>
  </si>
  <si>
    <t>Untuk menunjang kegitan Subak</t>
  </si>
  <si>
    <t>Subak</t>
  </si>
  <si>
    <t xml:space="preserve"> : Penunjang Oprasional Desa Pakraman(BKK Kota)</t>
  </si>
  <si>
    <t>3.2.94.5.2.7</t>
  </si>
  <si>
    <t>3.2.94.5.2.7.01</t>
  </si>
  <si>
    <t>Untuk menunjang kegiatan Desa pekraman</t>
  </si>
  <si>
    <t>Desa Pakraman</t>
  </si>
  <si>
    <t>Untuk menunjang kegiatan  Banjar Adat</t>
  </si>
  <si>
    <t xml:space="preserve"> Banjar Adat</t>
  </si>
  <si>
    <t xml:space="preserve">: Pembinaan Kemasyarakatan Desa     </t>
  </si>
  <si>
    <t>: Kepemudaan Dan Olah Raga</t>
  </si>
  <si>
    <t>: Penunjang Kegiatan Ekonomi Produktif untuk Sekeha Teruna (BKK Kota)</t>
  </si>
  <si>
    <t xml:space="preserve">Bidang       </t>
  </si>
  <si>
    <t xml:space="preserve">Sub Bidang      </t>
  </si>
  <si>
    <t>: Penyelenggaraan festival/ lomba kepemudaan dan olahraga tingat Desa (FORMI DESA )</t>
  </si>
  <si>
    <t xml:space="preserve">Rincian Pendanaan  </t>
  </si>
  <si>
    <t>Konsumsi Rapat ( 40 or )</t>
  </si>
  <si>
    <t>Konsumsi Technical Meeting ( 40 or )</t>
  </si>
  <si>
    <t>Belanja  Tajog</t>
  </si>
  <si>
    <t>pasang</t>
  </si>
  <si>
    <t>Belanja terompah</t>
  </si>
  <si>
    <t>Mill Super</t>
  </si>
  <si>
    <t>sak</t>
  </si>
  <si>
    <t>Tali Rapia</t>
  </si>
  <si>
    <t>gulung</t>
  </si>
  <si>
    <t>perlengkapan P3K</t>
  </si>
  <si>
    <t>Belanja Pakaian Dinas/Seragam/Atribut</t>
  </si>
  <si>
    <t xml:space="preserve">Ketua  </t>
  </si>
  <si>
    <t xml:space="preserve">Sekretaris    </t>
  </si>
  <si>
    <t>Petugas Pembantu TPK</t>
  </si>
  <si>
    <t xml:space="preserve">Petugas Keamanan  </t>
  </si>
  <si>
    <t>Honor MC Hiburan 1or x 1hr + riasan</t>
  </si>
  <si>
    <t>Honor Petugas Kesehatan 3 or x 2hari</t>
  </si>
  <si>
    <t>Honor Instruktur Senam ( 1kl x 1hr )</t>
  </si>
  <si>
    <t>Pelanja Jasa Sewa Peralatan/Perlengkapan</t>
  </si>
  <si>
    <t xml:space="preserve"> Pementasan Tari Bali</t>
  </si>
  <si>
    <t>sekaa</t>
  </si>
  <si>
    <t xml:space="preserve"> Sewa Tempat</t>
  </si>
  <si>
    <t xml:space="preserve">Belanja Barang Dan Jasa Yang Diserahkan Kepada Masyarakat </t>
  </si>
  <si>
    <t>Belanja Jasa Atlit dan Seniman Berprestasi</t>
  </si>
  <si>
    <t>HADIAH</t>
  </si>
  <si>
    <t>Hadiah  Gerak Jalan Santai  :</t>
  </si>
  <si>
    <t xml:space="preserve">Hadiah Utama TV Layar Elsidi  32  inci  </t>
  </si>
  <si>
    <t xml:space="preserve">Hadiah Kedua Sepeda  Gunung </t>
  </si>
  <si>
    <t>Hadiah Ketiga HP</t>
  </si>
  <si>
    <t>Hadiah Hiburan</t>
  </si>
  <si>
    <t xml:space="preserve">Hadiah  Lomba Tajog anak - anak </t>
  </si>
  <si>
    <t>Juara  I</t>
  </si>
  <si>
    <t>Juara  II</t>
  </si>
  <si>
    <t>Juara  III</t>
  </si>
  <si>
    <t xml:space="preserve">Hadiah Lomba Terompah anak - anak </t>
  </si>
  <si>
    <t>Hadiah Cab. Olah Raga megala - gala</t>
  </si>
  <si>
    <t>Piala Tropy Ukir Kayu</t>
  </si>
  <si>
    <t xml:space="preserve">   Juara   I</t>
  </si>
  <si>
    <t xml:space="preserve">   Juara   II</t>
  </si>
  <si>
    <t xml:space="preserve">   Juara   III</t>
  </si>
  <si>
    <t>Hadiah Cab. Olah Raga Metajog Perseorangan</t>
  </si>
  <si>
    <t>Hadiah Cab. Olah Raga Terompah</t>
  </si>
  <si>
    <t>Hadiah Cab. Olah Raga Tarik Tambang Putri</t>
  </si>
  <si>
    <t xml:space="preserve">   Juara  I</t>
  </si>
  <si>
    <t xml:space="preserve">   Juara  II</t>
  </si>
  <si>
    <t xml:space="preserve">   Juara  III</t>
  </si>
  <si>
    <t xml:space="preserve">Bidang          </t>
  </si>
  <si>
    <t xml:space="preserve">Sub Bidang                       </t>
  </si>
  <si>
    <t xml:space="preserve">Kegiatan              </t>
  </si>
  <si>
    <t>: Pengiriman Kontingen Kepemudaan dan olahraga sebagai wakil desa di tingkat kecamatan dan kabupaten/ kota ( FORMI)</t>
  </si>
  <si>
    <t>PELATIHAN</t>
  </si>
  <si>
    <t>Belanja Barang Dan Jasa :</t>
  </si>
  <si>
    <t>Konsumsi Rapat ( 30 or x 2 kl )</t>
  </si>
  <si>
    <t>Alat Seni Pencak Silat ( pedang, tongkat )</t>
  </si>
  <si>
    <t>Tatarias</t>
  </si>
  <si>
    <t>Alat Rias</t>
  </si>
  <si>
    <t>Belanja Obat - Obatan</t>
  </si>
  <si>
    <t>P3K</t>
  </si>
  <si>
    <t>Belanja Jasa Honorarium Ahli / Profesi/ Konsultan/ Narasumber</t>
  </si>
  <si>
    <t>Honor Pelatih Seni Pencak Silat ( 2 or x 30 hari )</t>
  </si>
  <si>
    <t>Belanja Barang dan Jasa yang diserahkan kepada Masyarakat</t>
  </si>
  <si>
    <t>Uang Saku Pelatihan Atlit Seni Silat ( 2 or x 30 kl )</t>
  </si>
  <si>
    <t>KEGIATAN FORMI</t>
  </si>
  <si>
    <t>Konsumsi Lomba ( 50 Or x 3 kl )</t>
  </si>
  <si>
    <t>Belanja seragam Atlit dan Official</t>
  </si>
  <si>
    <t>Kaos</t>
  </si>
  <si>
    <t>Trening</t>
  </si>
  <si>
    <t>Jaket</t>
  </si>
  <si>
    <t>Atlit  ( 15 Or x 3 Hari )</t>
  </si>
  <si>
    <t>PERUBAHAN RENCANA ANGGARAN BIAYA</t>
  </si>
  <si>
    <t>: Penyelenggaraan Festival Kesenian, Adat / Kebudayaan, dan Keagamaan (Nganyarin)</t>
  </si>
  <si>
    <t>: Pembinaan Lembaga Kemasyarakatan</t>
  </si>
  <si>
    <t>: Pelatihan Pembinaan Lembaga Kemasyarakatan (Bulan bakti Gotong royong LPM)</t>
  </si>
  <si>
    <t>3.4.02.5.2</t>
  </si>
  <si>
    <t>Belanja Barang  Dan Jasa</t>
  </si>
  <si>
    <t>3.4.02.5.2.1</t>
  </si>
  <si>
    <t>3.4.02.5.2.1.06</t>
  </si>
  <si>
    <t>3.4.02.5.2.1.08</t>
  </si>
  <si>
    <t>3.4.02.5.2.1.09</t>
  </si>
  <si>
    <t>Belanja Pakaian Dinas Seragam Dan Atribut</t>
  </si>
  <si>
    <t>Seragam Endek LPM</t>
  </si>
  <si>
    <t>3.4.02.5.2.1.90</t>
  </si>
  <si>
    <t>3.4.02.5.2.7</t>
  </si>
  <si>
    <t>3.4.02.5.2.7.01</t>
  </si>
  <si>
    <t>Belanja Sembako Untuk RTM</t>
  </si>
  <si>
    <t>3.4.03.5.2.2</t>
  </si>
  <si>
    <t>3.4.03.5.2.1.08</t>
  </si>
  <si>
    <t>3.4.03.5.2.1.06</t>
  </si>
  <si>
    <t>3.4.03.5.2</t>
  </si>
  <si>
    <t>: Pembinaan PKK (peningkatan kepatuhan keluarga dalam pengurangan penyebaran covid 19)</t>
  </si>
  <si>
    <t>: Kelembagaan Masyarakat</t>
  </si>
  <si>
    <t>Honor Tim Pelaksana Kegiatan</t>
  </si>
  <si>
    <t>Berias Peserta</t>
  </si>
  <si>
    <t>Belanja Bahan Material</t>
  </si>
  <si>
    <t>Belanja Barang Perlengkapan Barang Konsumsi</t>
  </si>
  <si>
    <t>Pengiriman Peserta Bulan Bahasa Bali Ke Kota</t>
  </si>
  <si>
    <t>Piagam Juri Bulan Bahasa Bali</t>
  </si>
  <si>
    <t>Piagam Pemenang Bulan Bahasa Bali</t>
  </si>
  <si>
    <t>Piagam Peserta Bulan Bahasa Bali</t>
  </si>
  <si>
    <t>Piagam</t>
  </si>
  <si>
    <t xml:space="preserve">Piala Tropy Ukir Kayu </t>
  </si>
  <si>
    <t>Piala</t>
  </si>
  <si>
    <t xml:space="preserve">Juara III </t>
  </si>
  <si>
    <t xml:space="preserve">Juara II </t>
  </si>
  <si>
    <t xml:space="preserve">Juara I </t>
  </si>
  <si>
    <t>Hadiah Lomba Bulan Bahasa Bali</t>
  </si>
  <si>
    <t>Sewa Sound Sistem</t>
  </si>
  <si>
    <t>Sewa Dekorasi</t>
  </si>
  <si>
    <t>Sewa Tempat</t>
  </si>
  <si>
    <t>Belanja Jasa Sewa Perlengkapan</t>
  </si>
  <si>
    <t>Honor MC + Riasan</t>
  </si>
  <si>
    <t>Honor Juri</t>
  </si>
  <si>
    <t>Belanja Jasa Honorarium Ahli Profesi/Konsultan/Narasumber</t>
  </si>
  <si>
    <t>Belanja Bendera/Umbul - umbul/Spanduk</t>
  </si>
  <si>
    <t>Konsumsi Lomba Bulan Bahasa Bali</t>
  </si>
  <si>
    <t>Konsumsi Pembinaan Bulan Bahasa Bali</t>
  </si>
  <si>
    <t>Uraian</t>
  </si>
  <si>
    <t>No</t>
  </si>
  <si>
    <t xml:space="preserve">  : Penyelenggaraan Festival Kesenian, Adat / Kebudayaan, dan Keagamaan (Penyelenggaraan Bulan Bahasa Bali dan Festival Dharma Gita)</t>
  </si>
  <si>
    <t xml:space="preserve">  : Bidang Kebudayaan dan Keagamaan</t>
  </si>
  <si>
    <t xml:space="preserve">  : Pembinaan Kemasyarakatan Desa</t>
  </si>
  <si>
    <t>:Pelatihan Pembinaan Lembaga Kemasyarakatan (Input data  Dasawisma)</t>
  </si>
  <si>
    <t>3.3.02.5.2.7.91</t>
  </si>
  <si>
    <t>3.3.02.5.2.7</t>
  </si>
  <si>
    <t>3.3.02.5.2</t>
  </si>
  <si>
    <t>3.3.02.5.2.2.04</t>
  </si>
  <si>
    <t>3.3.02.5.2.2</t>
  </si>
  <si>
    <t>3.3.02.5.2.1.06</t>
  </si>
  <si>
    <t>3.3.02.5.2.1</t>
  </si>
  <si>
    <t>: Pembinaan Grup Kesenian dan Kebudayaan ( Pembinaan dan Lomba Megenjekan ) dalam rangka HLUN</t>
  </si>
  <si>
    <t>3.3.02.5.2.01.07</t>
  </si>
  <si>
    <t>3.3.02.5.2.01.06</t>
  </si>
  <si>
    <t>3.3.02.5.2.01</t>
  </si>
  <si>
    <t xml:space="preserve">: Pelatihan dan Lomba Menghias Tumpeng ( Ketua dan Sekretaris PKK ) Ke Kota </t>
  </si>
  <si>
    <t>Belanja Jasa Honor Tim yang Melaksanakan Kegiatan</t>
  </si>
  <si>
    <t>: Pembinaan Kesenian, Adat, Kebudayaan, dan Keagamaan ( Pembinaan Sekaa Seni Bondres dan Joged )</t>
  </si>
  <si>
    <t>Belanja Jasa Seniman dan Atlit Berprestasi</t>
  </si>
  <si>
    <t>2.2.90.5.2.7.90</t>
  </si>
  <si>
    <t>Belanja Barang Dan Jasa yang Diserahkan Kepada Masyarakat</t>
  </si>
  <si>
    <t>2.2.90.5.2.7</t>
  </si>
  <si>
    <t>Honor Juri 2 or x 1 hari</t>
  </si>
  <si>
    <t>2.2.90.5.2.2.04</t>
  </si>
  <si>
    <t>2.2.90.5.2.2.01</t>
  </si>
  <si>
    <t>2.2.90.5.2.2</t>
  </si>
  <si>
    <t>2.2.90.5.2.1.90</t>
  </si>
  <si>
    <t>Belanja Spanduk kegiatan</t>
  </si>
  <si>
    <t>Belanja Sepanduk</t>
  </si>
  <si>
    <t>2.2.90.5.2.1.08</t>
  </si>
  <si>
    <t>Konsumsi  50 or x 1 kali</t>
  </si>
  <si>
    <t>2.2.90.5.2.1.06</t>
  </si>
  <si>
    <t>Kegiatan Lomba Balita Sehat</t>
  </si>
  <si>
    <t>Honor Pelatih (2 or x 2hr)</t>
  </si>
  <si>
    <t>Belanja Honorarium Pelatih/Narasumber</t>
  </si>
  <si>
    <t>Konsumsi (35 x 2hr)</t>
  </si>
  <si>
    <t>2.2.90.5.2.1</t>
  </si>
  <si>
    <t>2.2.90.5.2</t>
  </si>
  <si>
    <t>Pembinaan Lomba Balita</t>
  </si>
  <si>
    <t>:Penyelenggaraan Pembinaan dan Lomba Balita Sehat</t>
  </si>
  <si>
    <t>RENCANA KERJA PEMERINTAH DESA (RKP)</t>
  </si>
  <si>
    <t>DESA</t>
  </si>
  <si>
    <t>: PENATIH DANGIN PURI</t>
  </si>
  <si>
    <t>KECAMATAN</t>
  </si>
  <si>
    <t>: DENPASAR TIMUR</t>
  </si>
  <si>
    <t>KOTA</t>
  </si>
  <si>
    <t>: DENPASAR</t>
  </si>
  <si>
    <t>PROVINSI</t>
  </si>
  <si>
    <t>: BALI</t>
  </si>
  <si>
    <t>Bidang/Jenis Kegiatan</t>
  </si>
  <si>
    <t>Mendukung SDGs Ke-</t>
  </si>
  <si>
    <t>Data Eksisting Tahun Berjalan</t>
  </si>
  <si>
    <t>Lokasi</t>
  </si>
  <si>
    <t>Volume &amp; Satuan</t>
  </si>
  <si>
    <t>Penerima Manfaat</t>
  </si>
  <si>
    <t>Biaya dan Sumber Pembiayaan</t>
  </si>
  <si>
    <t>Pola Pelaksanaan (Swakelola/Kerjasama Antar Desa/Kerjasama Pihak Ketiga)</t>
  </si>
  <si>
    <t>Keterangan</t>
  </si>
  <si>
    <t>Bidang</t>
  </si>
  <si>
    <t>Jenis Kegiatan</t>
  </si>
  <si>
    <t>Jlh (Rp)</t>
  </si>
  <si>
    <t>Sumber</t>
  </si>
  <si>
    <t>a</t>
  </si>
  <si>
    <t>b</t>
  </si>
  <si>
    <t>c</t>
  </si>
  <si>
    <t>d</t>
  </si>
  <si>
    <t>e</t>
  </si>
  <si>
    <t>f</t>
  </si>
  <si>
    <t>g</t>
  </si>
  <si>
    <t>h</t>
  </si>
  <si>
    <t>i</t>
  </si>
  <si>
    <t>j</t>
  </si>
  <si>
    <t>k</t>
  </si>
  <si>
    <t>l</t>
  </si>
  <si>
    <t>n</t>
  </si>
  <si>
    <t>o</t>
  </si>
  <si>
    <t>1 orang terpenuhinya pagu maksimal</t>
  </si>
  <si>
    <t>Desa Penatih Dangin Puri</t>
  </si>
  <si>
    <t>12 kali</t>
  </si>
  <si>
    <t>APBDesa</t>
  </si>
  <si>
    <t>Swakelola</t>
  </si>
  <si>
    <t>1kali</t>
  </si>
  <si>
    <t>Jumlah Per Bidang 1</t>
  </si>
  <si>
    <t>Penyediaan oprasional PAUD Desa</t>
  </si>
  <si>
    <t>Jumlah Per Bidang II</t>
  </si>
  <si>
    <t>Pembinaan Kemasyarakatan</t>
  </si>
  <si>
    <t>Terlaksananya Kegiatan Keamanan Desa</t>
  </si>
  <si>
    <t>Jumlah Per Bidang III</t>
  </si>
  <si>
    <t>Pemberdayaan Masyarakat</t>
  </si>
  <si>
    <t>Jumlah Per Bidang IV</t>
  </si>
  <si>
    <t>Disusun Oleh:</t>
  </si>
  <si>
    <t>( I Wayan Kamar )</t>
  </si>
  <si>
    <t>( I Wayan Sutapa )</t>
  </si>
  <si>
    <t>3.2.02.5.2.2.01</t>
  </si>
  <si>
    <t xml:space="preserve">Pembentukan Lembaga Perlindungan Perempuan dan anak </t>
  </si>
  <si>
    <t xml:space="preserve"> : Pembinaan Adat dan Keagamaan  ( Pemlaspasan TPS 3R )</t>
  </si>
  <si>
    <t>: Pelatihan Kelompok Madu Kele-Kele</t>
  </si>
  <si>
    <t>: Kepemudaan dan Olah raga</t>
  </si>
  <si>
    <t>: Penyelenggaraan Pelatihan kepemudaan  ( Pelatihan dan Lomba Pidato tentang menumbuhkan generasi muda penerus bung karno (STT/Siswa Remaja) dan Pelatihan dan Lomba Menyanyikan Lagu Wajib (Anak SD, SMP dan SMA) Dalan Rangka Bulan Bung Karno )</t>
  </si>
  <si>
    <t>3.3.02.5.2.08</t>
  </si>
  <si>
    <t>3.3.02.5.2.90</t>
  </si>
  <si>
    <t>Piagam Peserta</t>
  </si>
  <si>
    <t>Piagam Pemenang</t>
  </si>
  <si>
    <t>Piagam Juri</t>
  </si>
  <si>
    <t>Belanja Jasa Sewa Peralatan perlengkapan</t>
  </si>
  <si>
    <t>Belanja Honorarium Pelatih</t>
  </si>
  <si>
    <t>15 orang terpenuhinya pagu maksimal</t>
  </si>
  <si>
    <t>16 orang terpenuhinya pagu maksimal</t>
  </si>
  <si>
    <t>Penyediaan oprasional kantor</t>
  </si>
  <si>
    <t>29 orang terpenuhinya pagu maksimal</t>
  </si>
  <si>
    <t>9 orang terpenuhinya pagu maksimal</t>
  </si>
  <si>
    <t>10 orang terpenuhinya pagu maksimal</t>
  </si>
  <si>
    <t>12kali</t>
  </si>
  <si>
    <t>Musyawarah BPD Dilaksanakan setiap tahun</t>
  </si>
  <si>
    <t>8 kali</t>
  </si>
  <si>
    <t>13 orang terpenuhinya pagu maksimal</t>
  </si>
  <si>
    <t>13 kali</t>
  </si>
  <si>
    <t>Kegiatan dilaksanakan setiap tahun</t>
  </si>
  <si>
    <t>1 Kali</t>
  </si>
  <si>
    <t>Tersedianya Aset Tetap perpustakaan,Ruang rapat,ruang kerja.</t>
  </si>
  <si>
    <t>3,70 x 5,60 ruangan Perbekel yang belum tertata</t>
  </si>
  <si>
    <t>1 kali</t>
  </si>
  <si>
    <t>Lancaranya informasi tentang desa</t>
  </si>
  <si>
    <t>Tertib Administrari dan Arsip Desa</t>
  </si>
  <si>
    <t>penertiban penduduk dilakukan setiap tahun</t>
  </si>
  <si>
    <t>3kali</t>
  </si>
  <si>
    <t>4kali</t>
  </si>
  <si>
    <t>2kali</t>
  </si>
  <si>
    <t>Terlaksananya kegiatan untuk remaja</t>
  </si>
  <si>
    <t>Terpenuhinya 433 anak Pemberian PMT</t>
  </si>
  <si>
    <t>Terlaksananya kebutuhan Gizi Maksimal</t>
  </si>
  <si>
    <t>Terpenuhinya Honor 30 Kader BKB Maksimal</t>
  </si>
  <si>
    <t>Terlaksananya Bina keluarga lansia</t>
  </si>
  <si>
    <t>Terpenuhinya 71 Kader Posyandu Maksimal</t>
  </si>
  <si>
    <t>Terlaksananya Koordinasi penanggulangan Stunting</t>
  </si>
  <si>
    <t>Terlaksananya Koordinasi Penanggulangan Narkoba dan HIV/AIDS</t>
  </si>
  <si>
    <t>: Pembinaan LKMD / LPM / LPMD (Pelatihan LPM)</t>
  </si>
  <si>
    <t>3.4.02.5.2.2</t>
  </si>
  <si>
    <t>3.4.02.5.2.2.04</t>
  </si>
  <si>
    <t>Narasumber  (2or x 1kali)</t>
  </si>
  <si>
    <t>Penyelenggaraan Pembangunan Desa</t>
  </si>
  <si>
    <t>Sosialisasi tentang Lingkungan Hidup dan Kehutanan ( Sosialisasi Pemilihan Sampah Rumah Tangga)</t>
  </si>
  <si>
    <t>sosialisasi</t>
  </si>
  <si>
    <t>2.5.03.5.2</t>
  </si>
  <si>
    <t>2.5.03.5.2.1</t>
  </si>
  <si>
    <t>2.5.03.5.2.1.06</t>
  </si>
  <si>
    <t>2.5.03.5.2.1.08</t>
  </si>
  <si>
    <t>2.5.03.5.2.2.3</t>
  </si>
  <si>
    <t>Honorararium Pelatih/Narasumber</t>
  </si>
  <si>
    <t>Narasumber</t>
  </si>
  <si>
    <t>0k</t>
  </si>
  <si>
    <t>Jumat Bersih</t>
  </si>
  <si>
    <t>Konsumsi ( 35 orang x 2 kali x 12bln )</t>
  </si>
  <si>
    <t>2.5.03.5.2.1.07</t>
  </si>
  <si>
    <t>Plastik Sampah Besar ( 1bh x 2kali x 12 bln )</t>
  </si>
  <si>
    <t>Cangkul Garu</t>
  </si>
  <si>
    <t>: Penyusunan/ Pendataan/Pemuktahiran Profil Desa (Pendataan SDGs Desa )</t>
  </si>
  <si>
    <t>4.3.03.5.2.1.90</t>
  </si>
  <si>
    <t>canang</t>
  </si>
  <si>
    <t>Terlaksananya Koordinasi kesehatan pada Posbindu</t>
  </si>
  <si>
    <t>Terlaksananya Koordinasi Kesehatan tentang Keluarga Berencana</t>
  </si>
  <si>
    <t>Terlaksannya kegiatan 8 orang Kader RDS Desa Siaga Kesehatan</t>
  </si>
  <si>
    <t>Terlaksananya pembinaan 30 orang Kader BKB</t>
  </si>
  <si>
    <t>Terlaksananya pembinaan 5 orang Kader BKB</t>
  </si>
  <si>
    <t>Terlaksananya kegiatan 5 orang Kader BKB</t>
  </si>
  <si>
    <t>Terlaksananya kegiatan untuk balita sehat</t>
  </si>
  <si>
    <t>Terlaksananya peningkatan kesehatan lingkungan</t>
  </si>
  <si>
    <t>Terlaksananya kegiatan 8 orang kader Rumah Desa Sehat</t>
  </si>
  <si>
    <t>Terlaksananya Penanggulangan Covid-19</t>
  </si>
  <si>
    <t>8kali</t>
  </si>
  <si>
    <t>Terlaksannya 11 orang Kebersihan lingkungan Desa</t>
  </si>
  <si>
    <t>Terlaksananya jalan usaha tahi</t>
  </si>
  <si>
    <t>1Kali</t>
  </si>
  <si>
    <t xml:space="preserve">Terlaksananya Kegiatan 10 Orang Pengolahan Sampah Desa </t>
  </si>
  <si>
    <t>Terlaksananya 2 Orang kebersihan Lingkungan</t>
  </si>
  <si>
    <t>Terlaksannya kegiatan Kebersihan Lingkungan Desa</t>
  </si>
  <si>
    <t>Terlaksananya kegiatan Transpalasi untuk Publik</t>
  </si>
  <si>
    <t>Terlaksanannya pembinaan keamanan 35 orang Linmas</t>
  </si>
  <si>
    <t>Terlaksanannya  keamanan Desa 35 orang Linmas</t>
  </si>
  <si>
    <t>Terlaksananya administrasi yang baik</t>
  </si>
  <si>
    <t>pelestarian Adat Dan Budaya</t>
  </si>
  <si>
    <t>peningkatan Kreatifitas masyarakat</t>
  </si>
  <si>
    <t>Terlaksanaan pembinaan 17 Anggota LPM</t>
  </si>
  <si>
    <t>Terlaksananya kegiatan 17 Orang LPM</t>
  </si>
  <si>
    <t>terpenuhinya adaptasi kehidupan baru</t>
  </si>
  <si>
    <t>Terlaksananya Pengimputan Data Dasawisma</t>
  </si>
  <si>
    <t>Terlaksananya Lomba Dalam Rangka Halun</t>
  </si>
  <si>
    <t>Terlaksanaya lomba antar PKK</t>
  </si>
  <si>
    <t>Pelestarian Adat dan Budaya</t>
  </si>
  <si>
    <t>Terlaksanaya kegitan Olahraga</t>
  </si>
  <si>
    <t>Terlaksananya TPS3R</t>
  </si>
  <si>
    <t>Terlaksanannya  lembaga Perempuan dan Anak</t>
  </si>
  <si>
    <t>Terleksananya Pembinaan 13 orang PKPKD, PPKD, TPK</t>
  </si>
  <si>
    <t>Terlaksananya pembinaan 11 Orang Tim Penyusun  RKPDesa</t>
  </si>
  <si>
    <t xml:space="preserve">Terlaksananya peningkatan pengetahuan perangkat Desa </t>
  </si>
  <si>
    <t>Terlaksananya Pembinaan 10 Orang BPD Desa</t>
  </si>
  <si>
    <t>Pemulihan ekonomi dengan pengembangan BUMDesa</t>
  </si>
  <si>
    <t>Terlaksananya pemerdayaan perempuan</t>
  </si>
  <si>
    <t>Peningkatan Produktifitas masyarakat</t>
  </si>
  <si>
    <t>Berjalanya pendataan SDGs</t>
  </si>
  <si>
    <t>TAHUN 2023</t>
  </si>
  <si>
    <t>Pembangunan/Rehabilitasi/Peningkatan Fasilitas Pengelolaan Sampah Desa/Permukiman (Membuat Eco Enzym)</t>
  </si>
  <si>
    <t>Sub Bidang</t>
  </si>
  <si>
    <t>: Pemeliharaan Prasarana Jalan Desa (Penggelontoran Gorong Gorong ,saluran air subak Taman Munduk Uma DiwangPKTD)</t>
  </si>
  <si>
    <t>: Pemeliharaan Prasarana Jalan Desa (Penggelontoran Gorong Gorong ,saluran air sepanjang jalan siulan)</t>
  </si>
  <si>
    <t>:  Penyelenggaraan Pelatihan Kepemudaan (Pembinaan dan Lomba Sate Renteng STT Memperigati Hut Kota Denpasar)</t>
  </si>
  <si>
    <t>Pemeliharaan Taman/Taman Bermain Anak Milik Desa (Penanaman Bunga Jempiring)</t>
  </si>
  <si>
    <t>PembangunanFasilitas Pengelolaan Sampah Desa (Pembuatan Teba Modern)</t>
  </si>
  <si>
    <t>Pemeliharaan Sarana dan Prasarana TK Milik Desa (Water Profing)</t>
  </si>
  <si>
    <t>: Pelatihan untuk Perikanan Darat (Pelatihan Membuat Pakan Ikan Lele)  **</t>
  </si>
  <si>
    <t>Terpeliharanya prasarana TK milik Desa</t>
  </si>
  <si>
    <t>Terlaksananya Pengelontoran Subak Taman Munduk Diwang</t>
  </si>
  <si>
    <t>terlaksananya Pengelontoran sepanjang jalan siulan</t>
  </si>
  <si>
    <t>Terlaksanaya Penanaman Bunga Jempiring</t>
  </si>
  <si>
    <t>Terlaksanya pengelolaan sampah desa</t>
  </si>
  <si>
    <t>Terlaksanaya Pengelolaan Sampah Desa</t>
  </si>
  <si>
    <t xml:space="preserve">: Pelatihan/ Penyuluhan Pemberdayaan Perempuan (Pelatihan Serati Banten untuk PKK Desa ) </t>
  </si>
  <si>
    <t>: Pengelolaan Administrasi dan Kearsipan pemerintahan Desa ( Pelatihan )</t>
  </si>
  <si>
    <t>DAFTAR PRIORITAS USULAN RENCANA PROGRAM/KEGIATAN PEMBANGUNAN DESA UNTUK SATU TAHUN ANGGARAN BERIKUTNYA</t>
  </si>
  <si>
    <t>TAHUN 2022</t>
  </si>
  <si>
    <t>Mendukung SDGs Desa Ke-</t>
  </si>
  <si>
    <t xml:space="preserve">Data Eksisting Tahun Berjalan </t>
  </si>
  <si>
    <t xml:space="preserve">Lokasi </t>
  </si>
  <si>
    <t>Prakiraan Volume &amp; Satuan</t>
  </si>
  <si>
    <t>Prakiraan Biaya dan Sumber Pembiayaan</t>
  </si>
  <si>
    <t>Urutan Prioritas</t>
  </si>
  <si>
    <t>Nama Program/Kegiatan</t>
  </si>
  <si>
    <t>L</t>
  </si>
  <si>
    <t>P</t>
  </si>
  <si>
    <t>RTM</t>
  </si>
  <si>
    <t>Jumlah (Rp)</t>
  </si>
  <si>
    <t>Pemeliharaan Sarana dan Prasarana TK Milik Desa (Pembangunan Ruang Komputer)</t>
  </si>
  <si>
    <t>PembangunanFasilitas Pengelolaan Sampah Desa (Pekerjaan Pendukung dan Halaman TPS 3R)</t>
  </si>
  <si>
    <t>: Penguatan Ketahanan Pangan Tingkat Desa ( lumbung Desa dll)</t>
  </si>
  <si>
    <t>Foto copy</t>
  </si>
  <si>
    <t>Terlaksanaya Pelatihan Tenaga Kerja Tukang</t>
  </si>
  <si>
    <t>DAFTAR USULAN RKP DESA</t>
  </si>
  <si>
    <t xml:space="preserve">DESA                </t>
  </si>
  <si>
    <t>Penatih Dangin Puri</t>
  </si>
  <si>
    <t xml:space="preserve">KECAMATAN   </t>
  </si>
  <si>
    <t>Denpasar Timur</t>
  </si>
  <si>
    <t xml:space="preserve">KABUPATEN    </t>
  </si>
  <si>
    <t>Kota Denpasar</t>
  </si>
  <si>
    <t xml:space="preserve">PROVINSI        </t>
  </si>
  <si>
    <t>Bali</t>
  </si>
  <si>
    <t>Sasaran/ Manfaat</t>
  </si>
  <si>
    <t>Prakiraan Waktu Pelaksanaan</t>
  </si>
  <si>
    <t>Perkiraan Jumlah Biaya</t>
  </si>
  <si>
    <t>Sumber Pembiayaan</t>
  </si>
  <si>
    <t>1Set</t>
  </si>
  <si>
    <t>APBD Kota</t>
  </si>
  <si>
    <t>Pengaspalan dan Penataan Trotoar Sepanjang Siulan</t>
  </si>
  <si>
    <t>2540m</t>
  </si>
  <si>
    <t>Memperlancar sarana tranportasi masyarakat</t>
  </si>
  <si>
    <t>171 Hari</t>
  </si>
  <si>
    <t>Jumlah Per Bidang 2</t>
  </si>
  <si>
    <t>Jumlah Per Bidang 3</t>
  </si>
  <si>
    <t>Jumlah Per Bidang 4</t>
  </si>
  <si>
    <t>JUMLAH TOTAL</t>
  </si>
  <si>
    <t>Kepala Desa</t>
  </si>
  <si>
    <t>TAHUN : 2024</t>
  </si>
  <si>
    <t>: Penyertaan Modal BUMDesa</t>
  </si>
  <si>
    <t>: Pelatihan Tukang (Pelatihan Baja Ringan)</t>
  </si>
  <si>
    <t xml:space="preserve"> :Pendampingan calon pengantin</t>
  </si>
  <si>
    <t>Pendampingan Calon Pengantin</t>
  </si>
  <si>
    <t xml:space="preserve">Kertas HVS </t>
  </si>
  <si>
    <t>Pembuatan Video Sosialisasi</t>
  </si>
  <si>
    <t>Honor Narasumber (2or x 5kali)</t>
  </si>
  <si>
    <t>Honor Petugas lab (1or x 5kali)</t>
  </si>
  <si>
    <t>Terlaksananya pendampingan 50 orang calon penganti</t>
  </si>
  <si>
    <t>25kali</t>
  </si>
  <si>
    <t>Jumlah Bidang I</t>
  </si>
  <si>
    <t>30 kali</t>
  </si>
  <si>
    <t>Jumlah Bidang II</t>
  </si>
  <si>
    <t>Jumlah Bidang III</t>
  </si>
  <si>
    <t>Jumlah Bidang IV</t>
  </si>
  <si>
    <t>Bidang Penyelenggaraan Pemerintah Desa</t>
  </si>
  <si>
    <t>Bidang Pelaksanaan Pembangunan Desa</t>
  </si>
  <si>
    <t>Bidang Pembinaan Masyarakat Desa</t>
  </si>
  <si>
    <t>Bidang Pemberdayaan Masyarakat Desa</t>
  </si>
  <si>
    <t>DAFTAR USULAN MASYARAKAT DIPILIH BERDASARKAN SDGs</t>
  </si>
  <si>
    <t>Mendukung SDGs Ke</t>
  </si>
  <si>
    <t>Usulan Kegiatan</t>
  </si>
  <si>
    <t>Pengusul</t>
  </si>
  <si>
    <t>Lokasi Kegiatan</t>
  </si>
  <si>
    <t>prakiraan Volume &amp;Satuan</t>
  </si>
  <si>
    <t>( 1 ) Desa Tanpa Kemiskinan</t>
  </si>
  <si>
    <t>Pemerintahan Desa</t>
  </si>
  <si>
    <t>BUMDesa</t>
  </si>
  <si>
    <t>Masyarakat</t>
  </si>
  <si>
    <t>( 2 ) Desa Tanpa Kelaparan</t>
  </si>
  <si>
    <t>Pemerintah Desa</t>
  </si>
  <si>
    <t>( 3 ) Desa Sehat Sejahtera</t>
  </si>
  <si>
    <t>TK Kumara Sari VI</t>
  </si>
  <si>
    <t>( 4 ) Pendidikan Desa Berkualitas</t>
  </si>
  <si>
    <t>( 5 ) Keterlibatan Perempuan Desa</t>
  </si>
  <si>
    <t>(6) Desa Layak Air Bersih Dan Sanitasi</t>
  </si>
  <si>
    <t>(7) Desa Berenergi Bersih Dan Terbarukan</t>
  </si>
  <si>
    <t>(8) Pertumbuhan Ekonomi Desa Merata</t>
  </si>
  <si>
    <t xml:space="preserve">(9) Infrastruktur Dan Inovasi Desa Sesuai Kebutuhan  </t>
  </si>
  <si>
    <t xml:space="preserve">(10) Desa Tanpa Kesenjangan  </t>
  </si>
  <si>
    <t>(11) Kawasan Pemukiman Desa Aman Dan Nyaman</t>
  </si>
  <si>
    <t>(12) Konsumsi Dan Produksi Desa Sadar Lingkungan</t>
  </si>
  <si>
    <t>(13) Desa Tanggap Perubahan Iklim</t>
  </si>
  <si>
    <t>(14) Desa Peduli Lingkungan Laut</t>
  </si>
  <si>
    <t>(15) Desa Peduli Lingkungan Darat</t>
  </si>
  <si>
    <t>(16) Desa Damai Bekeadilan</t>
  </si>
  <si>
    <t>(17) Kemitraan Untuk pembangunan Desa</t>
  </si>
  <si>
    <t>(18) Kelembagaan Desa Dinamis Dan Budaya Desa Adaktif</t>
  </si>
  <si>
    <t>Mengetahui,</t>
  </si>
  <si>
    <t>Tim Penyusun RKP Desa</t>
  </si>
  <si>
    <t>BPD</t>
  </si>
  <si>
    <t>Kader Posyandu</t>
  </si>
  <si>
    <t>Posyandu</t>
  </si>
  <si>
    <t>posyandu</t>
  </si>
  <si>
    <t>Bina Keluarga Balita</t>
  </si>
  <si>
    <t>Bina Keluarga lansia</t>
  </si>
  <si>
    <t>kader lansia</t>
  </si>
  <si>
    <t>Kader Posbindu</t>
  </si>
  <si>
    <t>masyarakat</t>
  </si>
  <si>
    <t>Kader BKB</t>
  </si>
  <si>
    <t>Kader BKR</t>
  </si>
  <si>
    <t>kader RDS</t>
  </si>
  <si>
    <t>Linmas</t>
  </si>
  <si>
    <t>PKK</t>
  </si>
  <si>
    <t>LPM</t>
  </si>
  <si>
    <t>Bumdesa</t>
  </si>
  <si>
    <t>linmas</t>
  </si>
  <si>
    <t>Pkk</t>
  </si>
  <si>
    <t xml:space="preserve">: Pelatihan/ Penyuluhan Pemberdayaan Perempuan (Pelatihan Pembuatan Jamu Tradisional Desa ) </t>
  </si>
  <si>
    <t>: Penguatan Dan Peningkatan Kapasitas Tenaga Keamanan dan Ketertiban Oleh Pemerintah Desa( Pembentukan tim tanggap bencana )</t>
  </si>
  <si>
    <t>Penjaringan dan Penyaringan Perangkat Desa/Staf</t>
  </si>
  <si>
    <t>Konsumsi Rapat (35 or x  2 kali )</t>
  </si>
  <si>
    <t>Konsumsi Kegiatan (35 or x  1 kali )</t>
  </si>
  <si>
    <t>Terlaksanaya Penjaringan Perangkat Desa/Staf</t>
  </si>
  <si>
    <t>DAFTAR RENCANA KERJASAMA ANTAR DESA</t>
  </si>
  <si>
    <t xml:space="preserve">Prakiraan Biaya dan Sumber pembiayaan yang Ditanggung Desa </t>
  </si>
  <si>
    <t>Prakiraan Biaya Dan Sumber pembiayaan yang Ditanggung Desa Lain</t>
  </si>
  <si>
    <t>Nama Program/ Kegiatan</t>
  </si>
  <si>
    <t>Nama Desa Lain</t>
  </si>
  <si>
    <t>I</t>
  </si>
  <si>
    <t>Jumlah Per Bidang I</t>
  </si>
  <si>
    <t>II</t>
  </si>
  <si>
    <t>III</t>
  </si>
  <si>
    <t>IV</t>
  </si>
  <si>
    <t>Penatih Dangin Puri,….</t>
  </si>
  <si>
    <t>LAPORAN PERKEMBANGAN PELAKSANAAN KEGIATAN PEMBANGUNAN DESA</t>
  </si>
  <si>
    <t>BULAN:……………………………………………..TAHUN:…………………………………………………</t>
  </si>
  <si>
    <t>:……………………………</t>
  </si>
  <si>
    <t>KABUPATEN</t>
  </si>
  <si>
    <t>Biaya (Rp)</t>
  </si>
  <si>
    <t>Realisasi Penerima Manfaat</t>
  </si>
  <si>
    <t>Rencana Waktu</t>
  </si>
  <si>
    <t>Progres Kegiatan</t>
  </si>
  <si>
    <t>Laki-Laki</t>
  </si>
  <si>
    <t>Perempuan</t>
  </si>
  <si>
    <t>Jumlah Hari</t>
  </si>
  <si>
    <t>Tanggal Mulai</t>
  </si>
  <si>
    <t>Fisik %</t>
  </si>
  <si>
    <t>p</t>
  </si>
  <si>
    <t xml:space="preserve">Penyelenggaraan Pemerintahan Desa </t>
  </si>
  <si>
    <t>Desa……….Tanggal…………………</t>
  </si>
  <si>
    <t>Pelaksana Kegiatan……………………</t>
  </si>
  <si>
    <t>(………………………..)</t>
  </si>
  <si>
    <t>(……………………………….)</t>
  </si>
  <si>
    <t>DAFTAR RENCANA KERJASAMA PIHAK KETIGA</t>
  </si>
  <si>
    <t>FORMAT DATA DAN INFORMASI TENTANG RENCANA PEMBIAYAAN PEMBANGUNAN DESA</t>
  </si>
  <si>
    <t>Nama program /Kegiatan</t>
  </si>
  <si>
    <t>Jumlah Dana Indikatif ( Rp )</t>
  </si>
  <si>
    <t>PADesa</t>
  </si>
  <si>
    <t>Dana Desa (APBN)</t>
  </si>
  <si>
    <t>Alokasi Dana Desa (Bagian Dana Perimbangan Kota)</t>
  </si>
  <si>
    <t>Dana Bagian Dari Hasil pajak Dan Restibusi</t>
  </si>
  <si>
    <t>Bantuan Keuangan</t>
  </si>
  <si>
    <t xml:space="preserve">Sumber Keuangan lainya Yang Sah Dan Tidak Mengikat </t>
  </si>
  <si>
    <t>APBD Provinsi</t>
  </si>
  <si>
    <t>Pendapatan Trasfer</t>
  </si>
  <si>
    <t>DAFTAR PRIORITAS KEGITAN DANA DESA</t>
  </si>
  <si>
    <t>Desa Penatih Dangin Puri, 21 Oktober 2022</t>
  </si>
  <si>
    <t>Penatih Dangin Puri,21 Oktober 2022</t>
  </si>
  <si>
    <t>Tim Penyusun RKP Desa Tahun 2023</t>
  </si>
  <si>
    <t>Penatih Dangin Puri, 21 Oktober 2022</t>
  </si>
  <si>
    <t>Perbekel  Penatih Dangin Puri</t>
  </si>
  <si>
    <t>Terlaksanaya kegitan Mengikuti Lomba Hut Kota</t>
  </si>
  <si>
    <t>Desa/Kelurahan</t>
  </si>
  <si>
    <t>Pagu Dana</t>
  </si>
  <si>
    <t>ADD</t>
  </si>
  <si>
    <t>Dana Desa</t>
  </si>
  <si>
    <t>BHP</t>
  </si>
  <si>
    <t>BHR</t>
  </si>
  <si>
    <t>DDS</t>
  </si>
  <si>
    <t>DAU TAMBAHAN</t>
  </si>
  <si>
    <t>APBD</t>
  </si>
  <si>
    <t>DID</t>
  </si>
  <si>
    <t>PAD</t>
  </si>
  <si>
    <t>USULAN DANA DESA/KELURAHAN TAHUN 2023</t>
  </si>
  <si>
    <t>BIDANG KESEHATAN</t>
  </si>
  <si>
    <t>Pembangunan Jalan Alternatif Dari Nagasari sampai Jalan Siulan</t>
  </si>
  <si>
    <t>615m</t>
  </si>
  <si>
    <t>Memperlancar Lalulintas</t>
  </si>
  <si>
    <t>125 Hari</t>
  </si>
  <si>
    <t>TAHUN ANGGARAN 2024</t>
  </si>
  <si>
    <t>Desa Penatih Dangin Puri,</t>
  </si>
  <si>
    <t>Ketua Tim Penyusun RKP Desa 2024</t>
  </si>
  <si>
    <t xml:space="preserve">Desa Penatih Dangin Puri, </t>
  </si>
  <si>
    <t xml:space="preserve"> Januari - Desember 2024</t>
  </si>
  <si>
    <t>: Tambahan  Penghasilan Perangkat Desa dari BKK</t>
  </si>
  <si>
    <t>Skedes</t>
  </si>
  <si>
    <t>Konsumsi kotak 80or x 4 kali Musdes</t>
  </si>
  <si>
    <t>uang saku peserta (80or x 4)</t>
  </si>
  <si>
    <t>Konsumsi 80or x 4 kali Musdes</t>
  </si>
  <si>
    <t>uang saku peserta (80 x 4)</t>
  </si>
  <si>
    <t>Penyusunan Dokumen Perencanaan Desa (RKP Desa 2025)</t>
  </si>
  <si>
    <t>: Penyusunan dokumen keuangan Desa (APBDesa 2025 )</t>
  </si>
  <si>
    <t>: Penyusunan dokumen keuangan Desa (APBDesa Perubahan 2024)</t>
  </si>
  <si>
    <t>: Penyusunan dokumen keuangan Desa ( LPJ APBDesa 2023)</t>
  </si>
  <si>
    <t>Plastisin</t>
  </si>
  <si>
    <t>Belanja Tablet Penambah Darah</t>
  </si>
  <si>
    <t>Pepel</t>
  </si>
  <si>
    <t>Belanja Sarden</t>
  </si>
  <si>
    <t>Sarden</t>
  </si>
  <si>
    <t>: Penyelenggaraan Posyandu Lansia (Pemberian tambahan nutrisi bagi lansia)</t>
  </si>
  <si>
    <t>Belanja Perlengkapan Alat Tulis Kantor Dan Benda Pos</t>
  </si>
  <si>
    <t>2.2.05.5.2.1.06</t>
  </si>
  <si>
    <t>Susu anline 200 ml  ( 6 klp x 30or )x12</t>
  </si>
  <si>
    <t>Telor ( 6 klp x 30or) x 12</t>
  </si>
  <si>
    <t>2.2.02.2.2.05</t>
  </si>
  <si>
    <t>: Pelaksanaan Pengentasan stunting dari hulu</t>
  </si>
  <si>
    <t xml:space="preserve"> :Penyuluhan dan Pelatiah Bidang Kesehatan (Pendampingan calon pengantin Stunting)</t>
  </si>
  <si>
    <t>Konsumsi Pendampingan (40or )</t>
  </si>
  <si>
    <t>: II.11</t>
  </si>
  <si>
    <t>2.2.03.5.2.1.09</t>
  </si>
  <si>
    <t>Sewa soundsistem</t>
  </si>
  <si>
    <t>Sewa Bondres</t>
  </si>
  <si>
    <t>Konsumsi 10 or x 12 kali</t>
  </si>
  <si>
    <t>Konsumsi Kegiatan 8or x 1klp x12bln</t>
  </si>
  <si>
    <t>5orang x 1klp x 12bln</t>
  </si>
  <si>
    <t>Sewa dekorasi Panggung</t>
  </si>
  <si>
    <t>Bekanja Spanduk</t>
  </si>
  <si>
    <t>Honorarium kader BKL ( 5or x 1 kelompok x 12 bulan)</t>
  </si>
  <si>
    <t>: Pengasuhan Bersama atau Bina Keluarga Balita (Pembinaan Kader BKB)</t>
  </si>
  <si>
    <t>Tas belanja</t>
  </si>
  <si>
    <t>Konsumsi (34or x 2Kl)</t>
  </si>
  <si>
    <t>2.2.06.5.2.2.03</t>
  </si>
  <si>
    <t>No. RAB             :</t>
  </si>
  <si>
    <t>II.22</t>
  </si>
  <si>
    <t>: BHPD</t>
  </si>
  <si>
    <t>Konsumsi Pembinaan (15or x 1Kl)</t>
  </si>
  <si>
    <t>2.2.90.5.2.1.01</t>
  </si>
  <si>
    <t>2.2.91.5.2.1.01</t>
  </si>
  <si>
    <t>Konsumsi (20or x 3kl)</t>
  </si>
  <si>
    <t>Pertalite</t>
  </si>
  <si>
    <t>2.2.92.5.2.1.01</t>
  </si>
  <si>
    <t xml:space="preserve">Penyelengggaraan TPPS Desa </t>
  </si>
  <si>
    <t>Tip  Ex Kenko Bolpoin</t>
  </si>
  <si>
    <t>Pensil lumograf 100.2B</t>
  </si>
  <si>
    <t>Flash Disk 16GB</t>
  </si>
  <si>
    <t>2.2.93.5.2.2</t>
  </si>
  <si>
    <t>Honorarium TPPS (4or x 4kl)</t>
  </si>
  <si>
    <t>II.23</t>
  </si>
  <si>
    <t>: ADD</t>
  </si>
  <si>
    <t>Penyelenggaraan Posyandu Remaja</t>
  </si>
  <si>
    <t>Pengadaan Buku Administrasi</t>
  </si>
  <si>
    <t>5or x 3klp x 12bln</t>
  </si>
  <si>
    <t>Pemberian Makanan Tambahan</t>
  </si>
  <si>
    <t>Honorarium kader BKR ( 5or x 3 kelompok x 12 bulan)</t>
  </si>
  <si>
    <t xml:space="preserve">Solar L300  </t>
  </si>
  <si>
    <t>Solar Truk ( 2 unit x 3 bulan )</t>
  </si>
  <si>
    <t>Jaring / Terpal Sampah</t>
  </si>
  <si>
    <t>Upah  Sopir pengangkut sampah  2 orang x 3 bln</t>
  </si>
  <si>
    <t>Upah  Sopir pengangkut sampah  2 orang x 9 bln</t>
  </si>
  <si>
    <t>Upah  Tenaga pengangkut sampah  6 orang x 3 bln</t>
  </si>
  <si>
    <t>Upah  Tenaga pengangkut sampah  6 orang x 9 bln</t>
  </si>
  <si>
    <t>Pemeliharaan Bak Truk</t>
  </si>
  <si>
    <t xml:space="preserve">Sepatu </t>
  </si>
  <si>
    <t>Upah Petugas Kebersihan Lingkungan (2 or x 3bln)</t>
  </si>
  <si>
    <t>Upah Petugas Kebersihan Lingkungan (2 or x 9bln)</t>
  </si>
  <si>
    <t>Upah Petugas Jumali (1orx3bln)</t>
  </si>
  <si>
    <t>Upah Petugas Jumali (1orx9bln)</t>
  </si>
  <si>
    <t>Honor tenaga pembantu jumali   (16 or x 3 kali)</t>
  </si>
  <si>
    <t>Honor tenaga pembantu jumali   (16 or x 17 kali)</t>
  </si>
  <si>
    <t>Konsumsi Rapat ( 60 or x 1 kali)</t>
  </si>
  <si>
    <t>:Koordinasi Pembinaan Ketentraman, Ketertiban, dan Perlindungan Masyarakat (Penjagaan Linmas Desa)</t>
  </si>
  <si>
    <t>3.1.03.5.2.1.05</t>
  </si>
  <si>
    <t>3.1.03.5.2.1.04</t>
  </si>
  <si>
    <t>3.1.03.5.2.2.04</t>
  </si>
  <si>
    <t>3.1.03.5.2.6</t>
  </si>
  <si>
    <t>3.1.03.5.2.6.02</t>
  </si>
  <si>
    <t xml:space="preserve">  : Penyelenggaraan Festival Kesenian, Adat / Kebudayaan, dan Keagamaan (Pembinaan dan Lomba Nyurat Aksara Bali Anak SD, Ngwacen Lontar Anak Remaja Usia 19 s/d 23 Tahun, Nyatua Bali Krama Istri Dalam Rangka Penyelenggaraan Bulan Bahasa Bali )</t>
  </si>
  <si>
    <t>Konsumsi Rapat Persiapan Bulan Bahasa Bali</t>
  </si>
  <si>
    <t>Konsumsi Technical meeting Pembinaan Bulan Bahasa Bali</t>
  </si>
  <si>
    <t>Konsumsi ( Peserta 39 + Kades 1 + Sekdes 1 + Kasi 1 + TPK 3 + Juri 3 )</t>
  </si>
  <si>
    <t>Konsumsi ( Peserta 39 + Juri 9 + Babinsa 2 + TPK 3  + Perangkat 28 + BPD 9 + 1 Tamu + Linmas 2)</t>
  </si>
  <si>
    <t>Belanja Bendera/Umbul - umbul/ Spanduk</t>
  </si>
  <si>
    <t>Honor Narasumber ( 6 or x 5 kl)</t>
  </si>
  <si>
    <t xml:space="preserve">Tropy Ukir Kayu </t>
  </si>
  <si>
    <t>Konsumsi Pembinaan</t>
  </si>
  <si>
    <t>Kostum Peserta</t>
  </si>
  <si>
    <t>Honorarium Pelatih</t>
  </si>
  <si>
    <t>Belanja Uang Saku Peserta</t>
  </si>
  <si>
    <t>Konsumsi 100 or x 1 kl</t>
  </si>
  <si>
    <t>Konsumsi Pelatihan Atlit Hadang PKK ( Atlit 10 or + Official 1 or + Pelatih 1 or  x 5 kl )</t>
  </si>
  <si>
    <t>Konsumsi Pelatihan Atlit Metajog ( Atlit 3 or + Official 1 or + pelatih 1 or x 5 kl  )</t>
  </si>
  <si>
    <t>Konsumsi  Pelatihan Atlit Seni Pencak  Silat ( Atlit 2 or + Official 1 or + Pelatih 2 or  x 30 kl )</t>
  </si>
  <si>
    <t>Seragam dan Kain Seni Silat</t>
  </si>
  <si>
    <t>Honor Pelatih Tajog ( 1 or x 5 kali )</t>
  </si>
  <si>
    <t>Honor Pelatih Hadang ( 1 or x 5 kali )</t>
  </si>
  <si>
    <t>Uang Saku Pelatihan Atlit Hadang ( 10 or x 5 kl )</t>
  </si>
  <si>
    <t>Uang Saku Pelatihan Atlit Metajog ( 3 or x 5 kl )</t>
  </si>
  <si>
    <t>Atlit 15 Or + Pelatih 4 Or + Official 3 Or + Perangkat Desa 32 Or +TPK 5 Or + LPM 3 Or + BPD 9 Or</t>
  </si>
  <si>
    <t>Oficial ( 3 Or x 3 hari )</t>
  </si>
  <si>
    <t>konsumsi Kegiatan ( 250 or x 2 Hari )</t>
  </si>
  <si>
    <t>Belanja Bahan Perlengkapan Sarana Olah Raga</t>
  </si>
  <si>
    <t>Baliho dan Pemasangan</t>
  </si>
  <si>
    <t>Belanja seragam Perangkat Desa 32or,Petugas Kebersihan13or,  BPD 9or, Ketua Seksi Olahraga LPM 3or, TPK 5or, Pembantu Wasit 15orang</t>
  </si>
  <si>
    <t>Baju Kaos Polo dan Celana Trening</t>
  </si>
  <si>
    <t>stel</t>
  </si>
  <si>
    <t>Petugas Kebersihan Lapangan</t>
  </si>
  <si>
    <t>Honor MC Lomba Pagi 2or x 1 hr</t>
  </si>
  <si>
    <t>Honor Wasit 8or x 2 Hari</t>
  </si>
  <si>
    <t>Honor Pembantu Wasit (15 or Pembantu Wasit x 2Hari)</t>
  </si>
  <si>
    <t xml:space="preserve"> Dekorasi Panggung, Meja dan Kursi</t>
  </si>
  <si>
    <t>hr</t>
  </si>
  <si>
    <t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t>
  </si>
  <si>
    <t>Konsumsi Rapat</t>
  </si>
  <si>
    <t>Konsumsi Pelatihan ( Peserta 32 or + Pelatih 3 or + TPK 3 or + Perangkat Desa 4 or  X 3 Kl )</t>
  </si>
  <si>
    <t>Konsumsi Technical meeting ( TPK 3 or + Perangkat Desa 26 or + BPD 1 or  + Juri 8 )</t>
  </si>
  <si>
    <t>Konsumsi Lomba ( BPD 9 or + Perangkat Desa 26 or + TPK 3 or + Peserta 32 or + Juri 8 or + LPM 1 or Bhabinsa 2 or + Linmas 2 or )</t>
  </si>
  <si>
    <t>Honor Pelatih ( 3 Or X 3 Kl )</t>
  </si>
  <si>
    <t>Honor Juri ( 8 Or X 1 Kl )</t>
  </si>
  <si>
    <t>Pengiriman Peserta Lomba Lagu Wajib dan Lagu Perjuangan Tingkat SD dan SMP, Lomba Menggambar Tokoh Bung Karno dan Lomba Lari Karung Sekaa Teruna Dalan Rangka Bulan Bung Karno ) Ke Camat Denpasar Timur</t>
  </si>
  <si>
    <t>Konsumsi Pelatihan (  20 or x 1 Kl )</t>
  </si>
  <si>
    <t>Konsumsi Kegiatan ( 15 or x 1 Kl )</t>
  </si>
  <si>
    <t>Buku Gamabar</t>
  </si>
  <si>
    <t>Rautan Pensil</t>
  </si>
  <si>
    <t>Penghapus</t>
  </si>
  <si>
    <t>Gambar Untuk Mewarnai</t>
  </si>
  <si>
    <t>Meja Lipat</t>
  </si>
  <si>
    <t>Kostum Peserta ( 4 Or )</t>
  </si>
  <si>
    <t>Berias Peserta ( 4 Or )</t>
  </si>
  <si>
    <t>Honor Pelatih ( 3 Or X 1 Kl )</t>
  </si>
  <si>
    <t>Belanja Uang Saku ( 4 or x 1 Kl )</t>
  </si>
  <si>
    <t>Pengiriman Peserta Lomba Simulasi PKK ( 25 Orang), Lomba Menyanyikan Lagu Tembang Kenangan dan Kebangsaan Lansia  ( 1 Orang ), Lomba Pidato STT ( 1 Orang ) Ke Kota Denpasar Dalam Rangka Bulan Bung Karno</t>
  </si>
  <si>
    <t>Konsumsi Pelatihan (  35 or x 3 Kl )</t>
  </si>
  <si>
    <t>Konsumsi Kegiatan ( 45 or x 1 Kl )</t>
  </si>
  <si>
    <t>Kostum Peserta ( 27 Or )</t>
  </si>
  <si>
    <t>Berias Peserta ( 27 Or )</t>
  </si>
  <si>
    <t>Honor Pembina  ( 3 Or X 3 Kl )</t>
  </si>
  <si>
    <t>Uang Saku  Peserta Pembinaan  ( 27 or x 3 Kl )</t>
  </si>
  <si>
    <t>Belanja Uang Saku Peserta ( 27 or x 1 Kl )</t>
  </si>
  <si>
    <t>Konsumsi Rapat ( 25 or x 1 Kl )</t>
  </si>
  <si>
    <t>Konsumsi Kegiatan ( 25 or x 5 kl )</t>
  </si>
  <si>
    <t>Konsumsi Pelatihan ( 30 or x 1 Kali)</t>
  </si>
  <si>
    <t xml:space="preserve">Sumber Dana  :      </t>
  </si>
  <si>
    <t>3.4.03.5.2.1.01</t>
  </si>
  <si>
    <t>Ballpoint Faster F3</t>
  </si>
  <si>
    <t>Konsumsi Pelatihan ( 40 or x 1 kl)</t>
  </si>
  <si>
    <t>3.4.03.5.2.1.09</t>
  </si>
  <si>
    <t>3.4.03.5.2.2.05</t>
  </si>
  <si>
    <t>Narasumber ( 2or x 1 kl )</t>
  </si>
  <si>
    <t>Benih Bawang</t>
  </si>
  <si>
    <t>Tanah Subur</t>
  </si>
  <si>
    <t>Kampil</t>
  </si>
  <si>
    <t>Handsprayer 5L</t>
  </si>
  <si>
    <t>Pupuk Kandang</t>
  </si>
  <si>
    <t>Kapur Pertanian</t>
  </si>
  <si>
    <t>Pupuk NPK</t>
  </si>
  <si>
    <t>ZA</t>
  </si>
  <si>
    <t>Kultivator Ex. Yanmar Plus Rotari</t>
  </si>
  <si>
    <t xml:space="preserve"> Polibag 30cm</t>
  </si>
  <si>
    <t>Benih Bawang Merah (60gram)</t>
  </si>
  <si>
    <t>Saco-p/ Petrogladiator</t>
  </si>
  <si>
    <t>Gandasil Daun (500gram)</t>
  </si>
  <si>
    <t>Gandasil Buah (500gram)</t>
  </si>
  <si>
    <t>Kalinet/ NO 3</t>
  </si>
  <si>
    <t>Petrogenol</t>
  </si>
  <si>
    <t>Nordok 500gram</t>
  </si>
  <si>
    <t>Abacel/E Macel 250ml</t>
  </si>
  <si>
    <t>: Perdagangan dan Perindustrian</t>
  </si>
  <si>
    <t>: Pelatihan Kelompok Usahan Ekonomi Produktif (Kelompok Pengerajin Lampion "Dewata Janur Desa Penatih Dangin Puri)</t>
  </si>
  <si>
    <t>4.7.04.5.2</t>
  </si>
  <si>
    <t>4.7.04.5.2.1</t>
  </si>
  <si>
    <t>4.7.04.5.2.1.06</t>
  </si>
  <si>
    <t>Konsumsi Pelatihan  ( 20Or x 1kali )</t>
  </si>
  <si>
    <t>4.7.04.5.2.1.08</t>
  </si>
  <si>
    <t>4.7.04.5.2.2</t>
  </si>
  <si>
    <t>4.7.04.5.2.2.01</t>
  </si>
  <si>
    <t>4.7.04.5.2.2.04</t>
  </si>
  <si>
    <t>Honorium Narasumber / intruktur 2 or x 1kali</t>
  </si>
  <si>
    <t>4.7.04.5.2.7</t>
  </si>
  <si>
    <t>4.7.04.5.2.7.01</t>
  </si>
  <si>
    <t>Daun Lontar</t>
  </si>
  <si>
    <t>Stayrofoam Silinder</t>
  </si>
  <si>
    <t>Lontar warna</t>
  </si>
  <si>
    <t>Kertas Lilin</t>
  </si>
  <si>
    <t>Gulung</t>
  </si>
  <si>
    <t>Alat Stapels - HD10</t>
  </si>
  <si>
    <t xml:space="preserve">Cutter Ex Joyko L-500        </t>
  </si>
  <si>
    <t>Isi Cutter L-500</t>
  </si>
  <si>
    <t>Pisau Mutik</t>
  </si>
  <si>
    <t>Gunting ringgit</t>
  </si>
  <si>
    <t>Gunting biasa</t>
  </si>
  <si>
    <t>Isolasi Bening</t>
  </si>
  <si>
    <t>Palu Kecil</t>
  </si>
  <si>
    <t>Tang Gum</t>
  </si>
  <si>
    <t>Alat Steples Tembak Ex. 10Z Kanggaro</t>
  </si>
  <si>
    <t>Isi Step Gun 13/8</t>
  </si>
  <si>
    <t>Pak</t>
  </si>
  <si>
    <t>Jigsaw Ex.Bosch</t>
  </si>
  <si>
    <t>Bor Batrey Ex.Bosch</t>
  </si>
  <si>
    <t>Set Mata Bor Ex.Bosch</t>
  </si>
  <si>
    <t>Mata Grinda</t>
  </si>
  <si>
    <t>Jumlah Per Bidang Penyelenggaraan Pemerintah Desa</t>
  </si>
  <si>
    <t>Jumlah PerBidang Pembangunan</t>
  </si>
  <si>
    <t>Jumlah Perbidang Pembinaan Kemasyarakatn Desa</t>
  </si>
  <si>
    <t>Jumlah PerBidang Pemberdayaan Masyarakat</t>
  </si>
  <si>
    <t>TAHUN 2024</t>
  </si>
  <si>
    <t xml:space="preserve">Bidang                     </t>
  </si>
  <si>
    <t>:Kebudayaan dan Kegamaan</t>
  </si>
  <si>
    <t>No. RAB      :</t>
  </si>
  <si>
    <t>: Pemeliharaan Sarana dan Prasarana kebudayaan/Rumah adat (Candi Banjar Mertasari)</t>
  </si>
  <si>
    <t>Sumber Dana :</t>
  </si>
  <si>
    <t>Volume               :</t>
  </si>
  <si>
    <t>Paving : 324m2, Kanstin s : 19.5m2</t>
  </si>
  <si>
    <t>Waktu Pelaksanaan         : 12 Bulan</t>
  </si>
  <si>
    <t>3.2.4.5.2</t>
  </si>
  <si>
    <t>3.2.4.5.2.7</t>
  </si>
  <si>
    <t>Belanja Barang Jasa Yang Diserahkan Kepada Masyarakat</t>
  </si>
  <si>
    <t>3.2.4.5.2.7.03</t>
  </si>
  <si>
    <t>Belanja Bantuan Bangunan Yang di serahkan Kepanda Masyarakat</t>
  </si>
  <si>
    <t>Honor Tim yang melaksanak kegiatan</t>
  </si>
  <si>
    <t>Belanja Upah</t>
  </si>
  <si>
    <t>Tukang</t>
  </si>
  <si>
    <t>Pekerja</t>
  </si>
  <si>
    <t>Bahan Baku</t>
  </si>
  <si>
    <t>Bata Pres</t>
  </si>
  <si>
    <t>Pasir Pasang</t>
  </si>
  <si>
    <t>Koral</t>
  </si>
  <si>
    <t>Besi Dia 10</t>
  </si>
  <si>
    <t>btng</t>
  </si>
  <si>
    <t>Besi Dia 8</t>
  </si>
  <si>
    <t>Semen</t>
  </si>
  <si>
    <t>kg</t>
  </si>
  <si>
    <t>Batu Candi Tebal 2</t>
  </si>
  <si>
    <t>m2</t>
  </si>
  <si>
    <t>Batu Candi Tebal 5</t>
  </si>
  <si>
    <t>Batako</t>
  </si>
  <si>
    <t>Papan Proyek</t>
  </si>
  <si>
    <t>Prasasti</t>
  </si>
  <si>
    <t>: Bidang Kebudayaan dan Keagamaan</t>
  </si>
  <si>
    <t>Pemeliharaan sarana prasarana keagamaan milik desa (Pavingnisasi Area Pura Dalem Taman Pohmanis)</t>
  </si>
  <si>
    <t>SATUAN</t>
  </si>
  <si>
    <t>Paving : 314m2 Kanstin, Segillima 122.7m, Kanstin S 2.5m</t>
  </si>
  <si>
    <t>3.2.04.5.20.7</t>
  </si>
  <si>
    <t>3.2.04.5.20.7.03</t>
  </si>
  <si>
    <t>Belanja Bantuan Bangunan Yang Diserahkan Kepada Masyarakat</t>
  </si>
  <si>
    <t>Honorarium Tim Yang Melaksanakan Kegiatan</t>
  </si>
  <si>
    <t>Skretaris</t>
  </si>
  <si>
    <t>Pasir Urug</t>
  </si>
  <si>
    <t>Bahan Material</t>
  </si>
  <si>
    <t>Paving 8 "K225 Polos</t>
  </si>
  <si>
    <t>Kanstis Segilima K225</t>
  </si>
  <si>
    <t>Kanstin S K225</t>
  </si>
  <si>
    <t>: Pekerjaan Umum Penataan Ruang</t>
  </si>
  <si>
    <t>Pemeliharaan Jalan Lingkungan Permukiman/Gang Sekar Gunung</t>
  </si>
  <si>
    <t>2.3.02.5.3</t>
  </si>
  <si>
    <t xml:space="preserve">Belanja Modal </t>
  </si>
  <si>
    <t>2.3.02.5.3.5</t>
  </si>
  <si>
    <t>Belanja Modal Jalan</t>
  </si>
  <si>
    <t>2.3.02.5.3.5.01</t>
  </si>
  <si>
    <t>2.3.02.5.3.5.02</t>
  </si>
  <si>
    <t>2.3.02.5.3.5.03</t>
  </si>
  <si>
    <t xml:space="preserve"> RENCANA ANGGARAN BIAYA</t>
  </si>
  <si>
    <t>1 Unit Candi Bentar Bata Merah</t>
  </si>
  <si>
    <t>: Kegiatan Bakti Penganyaran</t>
  </si>
  <si>
    <t xml:space="preserve">Nganyarin ke Pura Batur lan Besakih </t>
  </si>
  <si>
    <t>3.2.95.5.2</t>
  </si>
  <si>
    <t>3.2.95.5.2.4</t>
  </si>
  <si>
    <t xml:space="preserve">Belanja Jasa Sewa </t>
  </si>
  <si>
    <t>3.2.95..5.2.4.03</t>
  </si>
  <si>
    <t>Belanja Jasa Sewa Sarana Mobilitas</t>
  </si>
  <si>
    <t>Paket Nganyarin ( 45 orang )</t>
  </si>
  <si>
    <t>Nganyarin ke Pura Mandara Giri Lumajang</t>
  </si>
  <si>
    <t>Nganyarin ke Pura Penataran Agung Rinjani</t>
  </si>
  <si>
    <t>3.2.03.5.2</t>
  </si>
  <si>
    <t>3.2.03.5.2.1</t>
  </si>
  <si>
    <t>3.2.03.5.2.1.06</t>
  </si>
  <si>
    <t>3.2.03.5.2.1.08</t>
  </si>
  <si>
    <t>3.2.03.5.2.1.90</t>
  </si>
  <si>
    <t>3.2.03.5.2.2</t>
  </si>
  <si>
    <t>3.2.03.5.2.2.04</t>
  </si>
  <si>
    <t>: Pemberdayaan Masyarakat</t>
  </si>
  <si>
    <t>: Pemberdayaan Perempuan, Perlindungan Anak dan Keluarga</t>
  </si>
  <si>
    <t>:Pelatihan/Penyuluhan Pemberdayaan Perempuan (Pembinaan Kelompok P2WKSS)</t>
  </si>
  <si>
    <t>Pembinaan Kelompok P2WKSS</t>
  </si>
  <si>
    <t>4.4.01..5.2</t>
  </si>
  <si>
    <t>4.4.01.5.2.1</t>
  </si>
  <si>
    <t>4.4.01.5.2.1.01</t>
  </si>
  <si>
    <t>4.4.01.5.2.1.06</t>
  </si>
  <si>
    <t>Konsumsi Pembinaan ( 30 or x 1 Kl )</t>
  </si>
  <si>
    <t>4.4.01.5.2.1.07</t>
  </si>
  <si>
    <t>Belanaja Bahan/Material</t>
  </si>
  <si>
    <t>4.4.01.5.2.1.08</t>
  </si>
  <si>
    <t>4.4.01.5.2.2</t>
  </si>
  <si>
    <t>4.4.01.5.2.2.04</t>
  </si>
  <si>
    <t>Jasa Narasumber ( 2 or x 1kali )</t>
  </si>
  <si>
    <t>: Tata Praja Pemerintahan, Perencanaan, Keuangan dan Pelaporan</t>
  </si>
  <si>
    <t xml:space="preserve">: Penyelenggaraan Lomba antar kewilayahan dan pengiriman kontingen dalam mengikuti Lomba Desa </t>
  </si>
  <si>
    <t>: 5 Hari</t>
  </si>
  <si>
    <t>1.4.11.5.2</t>
  </si>
  <si>
    <t>BELANJA</t>
  </si>
  <si>
    <t>1.4.11.5.2.1</t>
  </si>
  <si>
    <t>1.4.11.5.2.1.06</t>
  </si>
  <si>
    <t>Konsumsi Gladi Bersih (400 Orang x 1 Hari)</t>
  </si>
  <si>
    <t>Catatan : (Undangan 25 orang, Tokoh Masyarakat 5 orang, Kelian Adat 10 Orang, Kadus 8 Orang, Staf Desa 26 Orang, BPD 9 Orang, Karang Taruna 41 Orang, LPM 17 Orang, PKK 35 Orang, Penabuh 25 Orang, Penari 10 Orang, Linmas 35 orang, Lansia 20 orang, &amp; Tokoh Masyarakat.</t>
  </si>
  <si>
    <t>Konsumsi Perlombaan (400 Orang x 1 Hari)</t>
  </si>
  <si>
    <t>1.4.11.5.2.1.07</t>
  </si>
  <si>
    <t>VCO (Virgin Coconut Oil)</t>
  </si>
  <si>
    <t>Sekar Jepun</t>
  </si>
  <si>
    <t>Coco dan Masker Kefir</t>
  </si>
  <si>
    <t>Herbal Jung Kumis</t>
  </si>
  <si>
    <t>Papan Nama Acryclic Kantor</t>
  </si>
  <si>
    <t>Rak Display Acrylic untuk Brosur/Pengumuman</t>
  </si>
  <si>
    <t>Tempat Minuman Kaca</t>
  </si>
  <si>
    <t>Tempat Sampah Stainless</t>
  </si>
  <si>
    <t>Belanja Publikasi (Pembuatan Video Lomba Desa)</t>
  </si>
  <si>
    <t>1.4.11.5.2.1.08</t>
  </si>
  <si>
    <t>Belanja Bendera/Umbul-umbul/Spanduk</t>
  </si>
  <si>
    <t>Spanduk Kegiatan Uk.4x6m</t>
  </si>
  <si>
    <t>Spanduk Kegiatan Uk.3x1m</t>
  </si>
  <si>
    <t>1.4.11.5.2.1.09</t>
  </si>
  <si>
    <t>Baju Endek</t>
  </si>
  <si>
    <t>Pcs</t>
  </si>
  <si>
    <t>1.4.11.5.2.4</t>
  </si>
  <si>
    <t>1.4.11.5.2.4.01</t>
  </si>
  <si>
    <t>Belanja Jasa Sewa Bangunan/Gedung/Ruang</t>
  </si>
  <si>
    <t>1.4.11.5.2.4.02</t>
  </si>
  <si>
    <t>Belanja Jasa Sewa Peralatan/Perlengkapan</t>
  </si>
  <si>
    <t>Kebun Hias</t>
  </si>
  <si>
    <t>Screen LED 2x3Meter</t>
  </si>
  <si>
    <t>: Pembinaan Karang Taruna</t>
  </si>
  <si>
    <t>3.3.06.5.2</t>
  </si>
  <si>
    <t>3.3.06.5.2.1</t>
  </si>
  <si>
    <t>3.3.06.5.2.1.01</t>
  </si>
  <si>
    <t>3.3.06.5.2.1.06</t>
  </si>
  <si>
    <t>3.3.06.5.2.1.08</t>
  </si>
  <si>
    <t>3.3.06.5.2.2</t>
  </si>
  <si>
    <t>3.3.06.5.2.2.04</t>
  </si>
  <si>
    <t>Belanja Jasa Honorarium Ahli/Profesi/Narasumber</t>
  </si>
  <si>
    <t>Honor Pelatih / Instruktur ( 1 or x 1kali )</t>
  </si>
  <si>
    <t>: Kepemudaan dan Olahraga</t>
  </si>
  <si>
    <t>: Pelatihan Kesiapsiagaan/Tanggap Bencana Skala Lokal Desa ( Pelatihan Tanggap Darurat Bencana )</t>
  </si>
  <si>
    <t>3.1.04.5.2</t>
  </si>
  <si>
    <t>3.1.04.5.2.1</t>
  </si>
  <si>
    <t>3.1.04.5.2.1.04</t>
  </si>
  <si>
    <t>Tabung Pemadam Kebakaran</t>
  </si>
  <si>
    <t>3.1.04.5.2.1.06</t>
  </si>
  <si>
    <t>Konsumsi (45 or x 1 hr)</t>
  </si>
  <si>
    <t>3.1.04.5.2.1.08</t>
  </si>
  <si>
    <t>3.1.04.5.2.1.90</t>
  </si>
  <si>
    <t>3.1.04.5.2.2</t>
  </si>
  <si>
    <t>3.1.04.5.2.2.04</t>
  </si>
  <si>
    <t>Honor Narasumber ( 1 Or x 1kali)</t>
  </si>
  <si>
    <t>Sarana dan Prasarana Pemerintahan Desa</t>
  </si>
  <si>
    <t>Pemeliharaan Gedung/Prasarana Kantor Desa (Ruang Rapat)</t>
  </si>
  <si>
    <t>:34.43m2</t>
  </si>
  <si>
    <t>1.2.02.5.3</t>
  </si>
  <si>
    <t>1.2.02.5.3.4</t>
  </si>
  <si>
    <t>Belanja modal Gedung, Bangunan, Tanaman</t>
  </si>
  <si>
    <t>1.2.02.5.3.4.01</t>
  </si>
  <si>
    <t>1.2.02.5.3.4.03</t>
  </si>
  <si>
    <t>Belanja modal bahan baku</t>
  </si>
  <si>
    <t>Membongkar Lapisan dinding lama dan pembersihan</t>
  </si>
  <si>
    <t>Mainan Kaki Diniding Lapis Playwood 12m dan HPL</t>
  </si>
  <si>
    <t>Pemeliharaan Sarana dan Prasarana TK Milik Desa (Pemagaran)</t>
  </si>
  <si>
    <t>: 29.20m</t>
  </si>
  <si>
    <t>2.1.05.5.3</t>
  </si>
  <si>
    <t>2.1.05.5.3.4</t>
  </si>
  <si>
    <t>2.1.05.5.3.4.01</t>
  </si>
  <si>
    <t>2.1.05.5.3.4.03</t>
  </si>
  <si>
    <t>Tralis Pagar Keliling TK</t>
  </si>
  <si>
    <t>Pemeliharaan Sarana dan Prasarana TK Milik Desa (Cat Tembok Dalam)</t>
  </si>
  <si>
    <t>: 171.16m2</t>
  </si>
  <si>
    <t>Amlpas</t>
  </si>
  <si>
    <t>2.1.05.5.3.4.02</t>
  </si>
  <si>
    <t>Belanja modal upah tenaga kerja</t>
  </si>
  <si>
    <t>Roll</t>
  </si>
  <si>
    <t>Cat Tembok EX. Vinilek</t>
  </si>
  <si>
    <t>Amplas</t>
  </si>
  <si>
    <t>: 183.40m2</t>
  </si>
  <si>
    <t>Pelapis Setara Aquaproof</t>
  </si>
  <si>
    <t>Pemeliharaan Sarana dan Prasarana TK Milik Desa (Cat Plafon)</t>
  </si>
  <si>
    <t>: 138.60m2</t>
  </si>
  <si>
    <t>Plamir</t>
  </si>
  <si>
    <t>Kapi</t>
  </si>
  <si>
    <t>Pemeliharaan Sarana dan Prasarana TK Milik Desa (Mural)</t>
  </si>
  <si>
    <t>: 171.32m2</t>
  </si>
  <si>
    <t>Papapn Proyek</t>
  </si>
  <si>
    <t>Mural dinding gambar</t>
  </si>
  <si>
    <t>Penyedian Jaminan Keshatan dan ketenagakerjaan BPD</t>
  </si>
  <si>
    <t>1.1.93.5.1</t>
  </si>
  <si>
    <t>Belanja Jaminan Sosial Perbekel dan Perangkat Desa</t>
  </si>
  <si>
    <t>Jaminan Kesehatan BPD</t>
  </si>
  <si>
    <t>Jaminan Kesehatan Anggota BPD (6or x12BLN)</t>
  </si>
  <si>
    <t>Jaminan Kesehatan Sekretaris BPD (1or x 12Bln)</t>
  </si>
  <si>
    <t>Jaminan Kesehatan Wakil Ketua BPD (1or x 12 Bln)</t>
  </si>
  <si>
    <t>Jaminan Kesehatan Ketua BPD (1or x 12bln)</t>
  </si>
  <si>
    <t>.31.1.93.5.1.02</t>
  </si>
  <si>
    <t>Jaminan Ketenagakerjaan BPD</t>
  </si>
  <si>
    <t>Jaminan Ketenagakerjaan Ketua BPD (1or x 12bln)</t>
  </si>
  <si>
    <t>Jaminan Ketenagakerjaan Wakil Ketua BPD (1or x 12 Bln)</t>
  </si>
  <si>
    <t>Jaminan Ketenangakerjaan Sekretaris BPD (1or x 12Bln)</t>
  </si>
  <si>
    <t>Jaminan Ketenagakerjaan Anggota BPD (6or x12BLN)</t>
  </si>
  <si>
    <t>Penyedian Jaminan Keshatan dan ketenagakerjaan Staf Desa</t>
  </si>
  <si>
    <t>Jaminan Kesehatan Staf IT (1or x 12 Bln)</t>
  </si>
  <si>
    <t>Jaminan Kesehatan Satf Siskeudes (1or x 12Bln)</t>
  </si>
  <si>
    <t>Jaminan Kesehatan KPM (1or x12BLN)</t>
  </si>
  <si>
    <t>Jaminan Kesehatan Cleaning Service (2or x12BLN)</t>
  </si>
  <si>
    <t>Jaminan Kesehatan Staf</t>
  </si>
  <si>
    <t>Penyedian Jaminan Ketenagakerjaan Ekosistem Desa</t>
  </si>
  <si>
    <t>Kader Posyandu 65or</t>
  </si>
  <si>
    <t>Kader Posyandu Lansia 30or</t>
  </si>
  <si>
    <t>Kader Posbindu 5or</t>
  </si>
  <si>
    <t>Kader BKB 30or</t>
  </si>
  <si>
    <t>Kader BKL 5or</t>
  </si>
  <si>
    <t>Kader BKR 5or</t>
  </si>
  <si>
    <t>Kader Posyandu Remaja 15or</t>
  </si>
  <si>
    <t>Sopir Pengangkut Sampah 2or</t>
  </si>
  <si>
    <t>Tenaga Pengangkut Sampah 6or</t>
  </si>
  <si>
    <t>Linmas 36</t>
  </si>
  <si>
    <t>Petugas Kebersihan Lingkungan 2or</t>
  </si>
  <si>
    <t>Petugas Bank Sampah 9or</t>
  </si>
  <si>
    <t>Baret</t>
  </si>
  <si>
    <t>Kaos Dalam</t>
  </si>
  <si>
    <t>Kaos Kaki</t>
  </si>
  <si>
    <t>Sepatu PDL</t>
  </si>
  <si>
    <t>Ikat Pinggang</t>
  </si>
  <si>
    <t>Helm Motor</t>
  </si>
  <si>
    <t>Pasang</t>
  </si>
  <si>
    <t xml:space="preserve">: Penyelenggaraan Belanja Penghasilan Tetap, Tunjangan dan Operasional Pemerintah Desa </t>
  </si>
  <si>
    <t>: Penyediaan Operasional BPD (Rapat FKAKD)</t>
  </si>
  <si>
    <t xml:space="preserve">Konsumsi 50 or x  4 kali </t>
  </si>
  <si>
    <t>1.1.93.5.2</t>
  </si>
  <si>
    <t>1.1.93.5.2.1</t>
  </si>
  <si>
    <t>1.1.93.5.2.1.01</t>
  </si>
  <si>
    <t>1.1.93.5.2.1.06</t>
  </si>
  <si>
    <t>Konsumsi Sosialisasi (40 or x  1 kali )</t>
  </si>
  <si>
    <t>1.1.93.5.2.1.08</t>
  </si>
  <si>
    <t>1.1.93.5.2.2</t>
  </si>
  <si>
    <t>1.1.93.5.2.2.01</t>
  </si>
  <si>
    <t>1.1.93.5.2.2.05</t>
  </si>
  <si>
    <t>Petugas Seleksi 3or</t>
  </si>
  <si>
    <t>3.2.03.5.2.4</t>
  </si>
  <si>
    <t>3.2.03.5.2.4.02</t>
  </si>
  <si>
    <t>3.2.03.5.2.7</t>
  </si>
  <si>
    <t>3.2.03.5.2.7.90</t>
  </si>
  <si>
    <t>3.2.03.5.2.1.07</t>
  </si>
  <si>
    <t>3.2.03.5.2.7.91</t>
  </si>
  <si>
    <t>3.3.90.5.2</t>
  </si>
  <si>
    <t>3.3.90.5.2.7</t>
  </si>
  <si>
    <t>3.3.90.5.2.7.01</t>
  </si>
  <si>
    <t>Untuk menunjang kreativitas Sekaa Teruna</t>
  </si>
  <si>
    <t>Sekaa</t>
  </si>
  <si>
    <t>BKK Kota</t>
  </si>
  <si>
    <t>Honorarium kader BKR ( 5or x 1 kelompok x 12 bulan)</t>
  </si>
  <si>
    <t>:III.16</t>
  </si>
  <si>
    <t>3.4.04.5.2</t>
  </si>
  <si>
    <t>3.4.04.5.2.1</t>
  </si>
  <si>
    <t>3.4.04.5.2.1.01</t>
  </si>
  <si>
    <t>3.4.04.5.2.1.06</t>
  </si>
  <si>
    <t xml:space="preserve">Konsumsi Pelatihan </t>
  </si>
  <si>
    <t>3.4.04.5.2.1.90</t>
  </si>
  <si>
    <t>3.4.04.5.2.2.04</t>
  </si>
  <si>
    <t>Honor Narasumber</t>
  </si>
  <si>
    <t>3.4.04.5.2.2.05</t>
  </si>
  <si>
    <t>: II. 8</t>
  </si>
  <si>
    <t xml:space="preserve">Sumber Dana        : </t>
  </si>
  <si>
    <t>: Pembinaan Posyandu Remaja</t>
  </si>
  <si>
    <t>- Pengadaan Buku Administrasi</t>
  </si>
  <si>
    <t>- Cetak Buku Administrasi</t>
  </si>
  <si>
    <t xml:space="preserve">Konsumsi 5or x 3klp </t>
  </si>
  <si>
    <t>2.1.03.5.2.2</t>
  </si>
  <si>
    <t xml:space="preserve">Honor Narasumber 2or </t>
  </si>
  <si>
    <t>: Rembuk Stunting</t>
  </si>
  <si>
    <t>Kertas F4 70 gram / Sinar Dunia</t>
  </si>
  <si>
    <t>Konsumsi ( 30 or x 1kali )</t>
  </si>
  <si>
    <t xml:space="preserve">Honor Narasumber </t>
  </si>
  <si>
    <t>Honor Moderator</t>
  </si>
  <si>
    <t>2.2.93.5.2.1.08</t>
  </si>
  <si>
    <t>2.2.93.5.2.2.01</t>
  </si>
  <si>
    <t>2.2.93.5.2.2.04</t>
  </si>
  <si>
    <t>1 Orang Terpenuhinya Pagu Maksimal</t>
  </si>
  <si>
    <t>Target Capaian Tahun 2024</t>
  </si>
  <si>
    <t>12 Kl</t>
  </si>
  <si>
    <t>1 Orang</t>
  </si>
  <si>
    <t>15Orang Terpenuhinya Pagu Maksimal</t>
  </si>
  <si>
    <t>15 Orang</t>
  </si>
  <si>
    <t>16 Orang Terpenuhinya Pagu Maksimal</t>
  </si>
  <si>
    <t>16 Orang</t>
  </si>
  <si>
    <t>Penyediaan Oprasional Kanor</t>
  </si>
  <si>
    <t>29 Orang</t>
  </si>
  <si>
    <t xml:space="preserve">12 Bulan </t>
  </si>
  <si>
    <t>9 Orang</t>
  </si>
  <si>
    <t>10 Orang</t>
  </si>
  <si>
    <t>6.891 orang</t>
  </si>
  <si>
    <t>1 orang</t>
  </si>
  <si>
    <t>6.768 orang</t>
  </si>
  <si>
    <t>29 orang</t>
  </si>
  <si>
    <t>15 orang</t>
  </si>
  <si>
    <t>Tersedianya Aset Tetap ruang kerja.</t>
  </si>
  <si>
    <t>34.43m2 ruangan rapat yang mengalami kerusakan</t>
  </si>
  <si>
    <t>4Kali</t>
  </si>
  <si>
    <t>13 orang</t>
  </si>
  <si>
    <t>12 kl</t>
  </si>
  <si>
    <t>9orang</t>
  </si>
  <si>
    <t>Jaminan Kesehatan Staf Kaur Kasi 7 or x 12bln</t>
  </si>
  <si>
    <t>13 Orang</t>
  </si>
  <si>
    <t>224 orang terpenuhinya pagu maksimal</t>
  </si>
  <si>
    <t>224 Orang</t>
  </si>
  <si>
    <t>1, 2, 3, 10</t>
  </si>
  <si>
    <t>10, 16,</t>
  </si>
  <si>
    <t>3, 10, 16</t>
  </si>
  <si>
    <t>Terlaksananya kegiatan Lomba Desa</t>
  </si>
  <si>
    <t>3, 6, 12</t>
  </si>
  <si>
    <t>3. 4</t>
  </si>
  <si>
    <t>80 orang</t>
  </si>
  <si>
    <t>30 orang</t>
  </si>
  <si>
    <t>12 Kali</t>
  </si>
  <si>
    <t>Terlaksananya pendampingan 40orang calon penganti</t>
  </si>
  <si>
    <t>40 orang</t>
  </si>
  <si>
    <t>384 orang</t>
  </si>
  <si>
    <t>35 orang</t>
  </si>
  <si>
    <t>60 orang</t>
  </si>
  <si>
    <t>210orang</t>
  </si>
  <si>
    <t>105 orang</t>
  </si>
  <si>
    <t>32 Orang</t>
  </si>
  <si>
    <t>Teratasinya masalah Stunting</t>
  </si>
  <si>
    <t>Terpetakanya masalah stunting di lingkungan desa</t>
  </si>
  <si>
    <t>Terlaksananya Pemavingan Gang Sekar Gunung</t>
  </si>
  <si>
    <t>324m2</t>
  </si>
  <si>
    <t>2 orang</t>
  </si>
  <si>
    <t>3, 4, 10, 16</t>
  </si>
  <si>
    <t>Terlaksanannya  keamanan Desa 36 orang Linmas</t>
  </si>
  <si>
    <t>36 orang</t>
  </si>
  <si>
    <t>Terlaksananya Pemavingan Area Pura Dalem Taman Pohmanis</t>
  </si>
  <si>
    <t>314m2</t>
  </si>
  <si>
    <t>Tertatanya Banjar Mertasari</t>
  </si>
  <si>
    <t>1 Set</t>
  </si>
  <si>
    <t>28 orang</t>
  </si>
  <si>
    <t>45 orang</t>
  </si>
  <si>
    <t>Terbaharukan Organisasi Karang Taruna</t>
  </si>
  <si>
    <t>17orang</t>
  </si>
  <si>
    <t>2.3.12.5.3</t>
  </si>
  <si>
    <t>2.3.12.5.3.5</t>
  </si>
  <si>
    <t>2.3.12.5.3.5.01</t>
  </si>
  <si>
    <t>Ketua 1or</t>
  </si>
  <si>
    <t>2.3.12.5.3.5.02</t>
  </si>
  <si>
    <t>Besi Wire Mesh M10</t>
  </si>
  <si>
    <t>Kawat Beton</t>
  </si>
  <si>
    <t>Kayu Kelas III</t>
  </si>
  <si>
    <t>Paku Biasa 5' - 10'</t>
  </si>
  <si>
    <t>Minyak Bekisting</t>
  </si>
  <si>
    <t xml:space="preserve">Semen </t>
  </si>
  <si>
    <t>Pasir Beton</t>
  </si>
  <si>
    <t>Koral Beton</t>
  </si>
  <si>
    <t>Limestone</t>
  </si>
  <si>
    <t>2.3.12.5.3.5.03</t>
  </si>
  <si>
    <t>Kayu Usuk 4/6</t>
  </si>
  <si>
    <t xml:space="preserve">Dolken Kayu  8" - 10"/4 m </t>
  </si>
  <si>
    <t>Perbaikan Senderan Batu Kali 7.965m3</t>
  </si>
  <si>
    <t>Batu Belah 15 cm / 20 cm</t>
  </si>
  <si>
    <t>Terbangunannya Jalan Usaha Tani di Subak Temaga Munduk Pengiu</t>
  </si>
  <si>
    <t>5115.23m3</t>
  </si>
  <si>
    <t>42.74m3</t>
  </si>
  <si>
    <t>Terpeliharanya senderan yang rusak di subak Temaga munduk Pengiu</t>
  </si>
  <si>
    <t>7.965m3</t>
  </si>
  <si>
    <t>1.1.93.5.1.02</t>
  </si>
  <si>
    <t>Sarana dan Prasarana Pemerintah Desa</t>
  </si>
  <si>
    <t>: 126m2</t>
  </si>
  <si>
    <t>1.2.02.5.3.4.02</t>
  </si>
  <si>
    <t>Tanah Humus</t>
  </si>
  <si>
    <t>Tanaman Hias</t>
  </si>
  <si>
    <t>Terpeliharanya Verical Gharden desa</t>
  </si>
  <si>
    <t xml:space="preserve">Bidang     </t>
  </si>
  <si>
    <t>: Pendidikan</t>
  </si>
  <si>
    <t xml:space="preserve">Kegiatan          </t>
  </si>
  <si>
    <t>Pembinaan</t>
  </si>
  <si>
    <t>2.1.03.5.2</t>
  </si>
  <si>
    <t>2.1.03.5.2.1</t>
  </si>
  <si>
    <t>2.1.03.5.2.1.01</t>
  </si>
  <si>
    <t>Lontar</t>
  </si>
  <si>
    <t>Lembar</t>
  </si>
  <si>
    <t>2.1.03.5.2.1.06</t>
  </si>
  <si>
    <t>Belanja Barang Perlengkapan Konsumsi</t>
  </si>
  <si>
    <t>Konsumsi Pelatihan 25 or x 15 hari</t>
  </si>
  <si>
    <t>2.1.03.5.2.1.08</t>
  </si>
  <si>
    <t>2.1.03.5.2.2.01</t>
  </si>
  <si>
    <t>Pelatih ( 2 or X 15 Hr )</t>
  </si>
  <si>
    <t>Terlaksananya Pembinaan Bahasa Bali Untuk Anak</t>
  </si>
  <si>
    <t>25or</t>
  </si>
  <si>
    <t>2.2.03.5.2.1.0.7</t>
  </si>
  <si>
    <t>:Kesehatan</t>
  </si>
  <si>
    <t>Penyuluhan dan Pelatihan Bidang Kesehatan (PHBS)</t>
  </si>
  <si>
    <t>Konsumsi (Kader Posyandu 65 or + Narasumber 2or + PPKD 2or + Perbekel 1 or)</t>
  </si>
  <si>
    <t>Terlaksananya Penyluhan PHBS Kepada 65 Kader Posyandu</t>
  </si>
  <si>
    <t>65orang</t>
  </si>
  <si>
    <t>2.2.02.5.2.2.01</t>
  </si>
  <si>
    <t>Belanja Jasa Honorarium Narasumber/ Ahli</t>
  </si>
  <si>
    <t>Dokter Spesialis Anak 13 KL</t>
  </si>
  <si>
    <t>Pemutahiran Peta Desa</t>
  </si>
  <si>
    <t>Kl</t>
  </si>
  <si>
    <t>: Pemukiman</t>
  </si>
  <si>
    <t>2.4.09.5.3</t>
  </si>
  <si>
    <t>2.4.09.5.3.4</t>
  </si>
  <si>
    <t>Belanja Modal Gedung Bangunan dan Taman</t>
  </si>
  <si>
    <t>2.4.09.5.3.4.01</t>
  </si>
  <si>
    <t>2.4.09.5.3.4.02</t>
  </si>
  <si>
    <t>2.4.09.5.3.4.03</t>
  </si>
  <si>
    <t>Nama Desa Huruf Stailis</t>
  </si>
  <si>
    <t>Alat Pembuat Lubang Biopori</t>
  </si>
  <si>
    <t>Pipa untuk lubang Bio Pori</t>
  </si>
  <si>
    <t>Tertatanya Taman di Lingkungan Desa</t>
  </si>
  <si>
    <t>:Ketenteraman, Ketertiban Umum, dan Pelindungan Masyarakat</t>
  </si>
  <si>
    <t xml:space="preserve">Pengadaan/Pen (pembangunan pos, Perbaikan Pos Keamanan di Depan Pura Dalem Laplap) </t>
  </si>
  <si>
    <t>Perbaikan Jaringan Listrik</t>
  </si>
  <si>
    <t>3.1.1.5.2</t>
  </si>
  <si>
    <t>3.1.1.5.2.6</t>
  </si>
  <si>
    <t>Belanja Pemeliharaan Listrik</t>
  </si>
  <si>
    <t>3.1.1.5.2.6.08</t>
  </si>
  <si>
    <t>Belanja Pemeliharaan Listrik dan Lampu Untuk Pos Keamanan</t>
  </si>
  <si>
    <t>Pemeliharaan Jaringan Listrik dan Lampu</t>
  </si>
  <si>
    <t>: Penyuluhan dan Pelatihan Pendidikan Bagi Masyarakat ( Pembinaan dan Penyelenggaraan Bunda Literasi )</t>
  </si>
  <si>
    <t>Block Book</t>
  </si>
  <si>
    <t>Bolt Point</t>
  </si>
  <si>
    <t>Konsumsi Pelatihan 7orang Pengurus PKK + 2orang Narasumber 1 Orang Perbekel + 2orang PPKD</t>
  </si>
  <si>
    <t>Konsumsi Kegiatan 7or Pengurus PKK + 2 Or PPKD + 50 Or Peserta x 3KL</t>
  </si>
  <si>
    <t>2.1.03.5.2.1.07</t>
  </si>
  <si>
    <t>Tatarias 7 orang x 3Kl</t>
  </si>
  <si>
    <t>Pelatih ( 2 or X 1Kl )</t>
  </si>
  <si>
    <t>Terselenggaranya Kegiatan Bunda Literasi</t>
  </si>
  <si>
    <t>7or</t>
  </si>
  <si>
    <t>: Pelatihan Kelompok Usahan Ekonomi Produktif (Kelompok Pengerajin Furniture)</t>
  </si>
  <si>
    <t>Table saw</t>
  </si>
  <si>
    <t>Meetersaw</t>
  </si>
  <si>
    <t>Meteran</t>
  </si>
  <si>
    <t>Waterpas</t>
  </si>
  <si>
    <t>Penggaris siku</t>
  </si>
  <si>
    <t>Edging trimmer</t>
  </si>
  <si>
    <t>Roda sleding</t>
  </si>
  <si>
    <t>Plywood 9 mili</t>
  </si>
  <si>
    <t>Set kunci lemari</t>
  </si>
  <si>
    <t>Hlp 10m</t>
  </si>
  <si>
    <t>Lem hpl</t>
  </si>
  <si>
    <t>kaleng</t>
  </si>
  <si>
    <t>Baut gypsum 2 in</t>
  </si>
  <si>
    <t>Kapi srap</t>
  </si>
  <si>
    <t>Cuter</t>
  </si>
  <si>
    <t>Ketua Tim Penyusun RKP Desa 2023</t>
  </si>
  <si>
    <t>2.1.07.5.2</t>
  </si>
  <si>
    <t>2.1.07.5.2.1</t>
  </si>
  <si>
    <t>2.1.07.5.2.1.01</t>
  </si>
  <si>
    <t>Belanja Buku Bacaan Perpustakaan</t>
  </si>
  <si>
    <t>2.1.07.5.2.1.04</t>
  </si>
  <si>
    <t>Belanja Bahan Bakar Kendaraan Bermotor</t>
  </si>
  <si>
    <t>Belanja BBM untuk Perpustakaan Keliling</t>
  </si>
  <si>
    <t>2.1.07.5.2.6</t>
  </si>
  <si>
    <t>2.1.07.5.2.6.02</t>
  </si>
  <si>
    <t>Pemeliharaan Moci Perpustakaan Keliling</t>
  </si>
  <si>
    <t>2.1.07.5.2.2</t>
  </si>
  <si>
    <t>2.1.07.5.2.2.01</t>
  </si>
  <si>
    <t>2.1.07.5.3</t>
  </si>
  <si>
    <t>2.1.07.5.3.2</t>
  </si>
  <si>
    <t>2.1.07.5.3.2.02</t>
  </si>
  <si>
    <t>Belanja Modal Peralatan Elektronik dan Alat Studio</t>
  </si>
  <si>
    <t>Belanja Tablet Untuk Perpustakaan Digital</t>
  </si>
  <si>
    <t>Belenja Aplikasi Perpustakaan</t>
  </si>
  <si>
    <t>Belanja Modal Kendaraan Darat Bermotor</t>
  </si>
  <si>
    <t>Moci Untuk Perpustakaan Keliling</t>
  </si>
  <si>
    <t>Caroseri untuk Tempat buku</t>
  </si>
  <si>
    <t>Terpenuhinya Failisat Membaca Desa</t>
  </si>
  <si>
    <t>PEMBERDAYAAN KEMASYARAKATAN DESA</t>
  </si>
  <si>
    <t>: Sub Bidang Pertanian dan Peternakan</t>
  </si>
  <si>
    <t>4.2.04.5.3</t>
  </si>
  <si>
    <t>Saluran Tersier</t>
  </si>
  <si>
    <t>500m</t>
  </si>
  <si>
    <t>: Keadaan Mendesak</t>
  </si>
  <si>
    <t xml:space="preserve"> Penanggulangan Keadaan Mendesak Pemberian BLT</t>
  </si>
  <si>
    <t>4.3.5.4</t>
  </si>
  <si>
    <t>Belanja Tak Terduga</t>
  </si>
  <si>
    <t>4.3.5.4.1</t>
  </si>
  <si>
    <t>4.3.5.2.1.01</t>
  </si>
  <si>
    <t>DD</t>
  </si>
  <si>
    <t>Peningkatan SD Negeri 4 Penatih</t>
  </si>
  <si>
    <t>250 Hari</t>
  </si>
  <si>
    <t>: Pertanian dan peternakan</t>
  </si>
  <si>
    <t>PENANGANAN INFLASI DESA MELALUI KETAHANAN PANGAN</t>
  </si>
  <si>
    <t>4.2.03.5.2</t>
  </si>
  <si>
    <t>4.2.03.5.2.1</t>
  </si>
  <si>
    <t>4.2.03.5.2.1.06</t>
  </si>
  <si>
    <t>Konsumsi Pelatihan  (2Or x13bjrx 1kali )</t>
  </si>
  <si>
    <t>4.2.03.5.2.1.08</t>
  </si>
  <si>
    <t>4.2.03.5.2.1.90</t>
  </si>
  <si>
    <t>4.2.03.5.2.2.04</t>
  </si>
  <si>
    <t>Honorarium Narasumber/ instruktur</t>
  </si>
  <si>
    <t>4.2.03.5.2.7</t>
  </si>
  <si>
    <t>Belanja Barang Perlengkapan diserahkan Kepada Masyarakat</t>
  </si>
  <si>
    <t>4.2.03.5.2.7.01</t>
  </si>
  <si>
    <t>Bibit Cabai</t>
  </si>
  <si>
    <t>Pupuk Urea (10kg x 13 bjr)</t>
  </si>
  <si>
    <t>Tanah Subur kohe taikambing(10zak x 13bjr)</t>
  </si>
  <si>
    <t>zak</t>
  </si>
  <si>
    <t>Polibag 25x25</t>
  </si>
  <si>
    <t>Pupuk Organik Cair(5ltr x 13 bjr)</t>
  </si>
  <si>
    <t>ltr</t>
  </si>
  <si>
    <t>Antracol(3pcs x 13 bjr)</t>
  </si>
  <si>
    <t>pcs</t>
  </si>
  <si>
    <t>: Penyuluhan dan Pelatihan Bidang Kesehatan(Sosialisasi Germas)</t>
  </si>
  <si>
    <t>Konsumsi ( 92 or x 1kali )</t>
  </si>
  <si>
    <t>Terselenggaranya Germas</t>
  </si>
  <si>
    <t xml:space="preserve">Pemeliharaan Gedung/Prasarana Kantor Desa (Pengelasan Atap Parkir) </t>
  </si>
  <si>
    <t>:62.10m2</t>
  </si>
  <si>
    <t>Pengelasan Rangka dan Atap Drimdek</t>
  </si>
  <si>
    <t>Penambahan Talang</t>
  </si>
  <si>
    <t>m1</t>
  </si>
  <si>
    <t>62.10m2 Terpeliharanya atap tempat parkir</t>
  </si>
  <si>
    <t>Oprasional TPS 3R</t>
  </si>
  <si>
    <t>2.4.07.5.2.1.01</t>
  </si>
  <si>
    <t>Belanja Perlengkapan Alat Tulis Kantor</t>
  </si>
  <si>
    <t>Bolpoin</t>
  </si>
  <si>
    <t>Boku Double Folio</t>
  </si>
  <si>
    <t>isi tabung Gas 3kg</t>
  </si>
  <si>
    <t>BBM Kendaraan (3unit)</t>
  </si>
  <si>
    <t xml:space="preserve">tahun </t>
  </si>
  <si>
    <t>2.4.07.5.2.1.03</t>
  </si>
  <si>
    <t>Belanja Perlengkapan Alat-alat Rumah Tangga/Peralatan dan Bahan Kebersihan</t>
  </si>
  <si>
    <t>Sabun Cuci Piring</t>
  </si>
  <si>
    <t>Sabun Cuci tangan</t>
  </si>
  <si>
    <t>Sabun Cuci Porselin</t>
  </si>
  <si>
    <t>Lap Keset</t>
  </si>
  <si>
    <t>Ember Timba</t>
  </si>
  <si>
    <t>Gayung</t>
  </si>
  <si>
    <t>Sapu tangan</t>
  </si>
  <si>
    <t>cairan Pembersih lanatai</t>
  </si>
  <si>
    <t>Belanja Upakara, Upacara dan Aci aci</t>
  </si>
  <si>
    <t>Banten Lengkap Setiap Hari</t>
  </si>
  <si>
    <t>Banten Purnama Tilem dan Hari raya lainnya (Pejati + Sodan)</t>
  </si>
  <si>
    <t>Tong Kuat 100c</t>
  </si>
  <si>
    <t>Bak Silver</t>
  </si>
  <si>
    <t>Bak UK 22</t>
  </si>
  <si>
    <t>Bak UK 24</t>
  </si>
  <si>
    <t>Garu</t>
  </si>
  <si>
    <t>SarungTangan Hijau</t>
  </si>
  <si>
    <t>Cetok</t>
  </si>
  <si>
    <t>Garu Kayu</t>
  </si>
  <si>
    <t>Sabit</t>
  </si>
  <si>
    <t>Sekop</t>
  </si>
  <si>
    <t>Terpal</t>
  </si>
  <si>
    <t>Kampil pupuk 25kg</t>
  </si>
  <si>
    <t>2.4.07.5.2.1.12</t>
  </si>
  <si>
    <t>Belanja Obat -obat Pertanian</t>
  </si>
  <si>
    <t>Emmtan 1ltr</t>
  </si>
  <si>
    <t>2.4.07.5.2.2.01</t>
  </si>
  <si>
    <t>Honor Tim Yang Melaksanakan Kegiatan</t>
  </si>
  <si>
    <t>Ketua KPP</t>
  </si>
  <si>
    <t>Sekretaris KPP</t>
  </si>
  <si>
    <t>Bendahara KPP</t>
  </si>
  <si>
    <t>Honor Petugas</t>
  </si>
  <si>
    <t>Petugas Pemilah Sampah 4or x 12bln</t>
  </si>
  <si>
    <t>2.4.07.5.2.5.01</t>
  </si>
  <si>
    <t>Belanja Langganan Listrik</t>
  </si>
  <si>
    <t>Listrik</t>
  </si>
  <si>
    <t>2.4.07.5.2.5.02</t>
  </si>
  <si>
    <t>Belanja Langganan Air Bersih</t>
  </si>
  <si>
    <t>Belanja Air Minum Galon</t>
  </si>
  <si>
    <t>Galon</t>
  </si>
  <si>
    <t>Belanja Pemeliharaan Mesin dan alat berat</t>
  </si>
  <si>
    <t>Pmemeliharaan Mesin Pencacah Sampah</t>
  </si>
  <si>
    <t>Pemeliharaan Motor Sampah Roda Tiga</t>
  </si>
  <si>
    <t>Terpenuhinya Oprasional TPS3R</t>
  </si>
  <si>
    <t>Rerjaganya Kesehatan Remaja</t>
  </si>
  <si>
    <t>Pagu DD</t>
  </si>
  <si>
    <t>PRIORITAS KEGIATAN BIDANG IV</t>
  </si>
  <si>
    <t>PRIORITAS KEGIATAN BIDANG III</t>
  </si>
  <si>
    <t>PRIORITAS KEGIATAN BIDANG II</t>
  </si>
  <si>
    <t>PRIORITAS KEGIATAN BIDANG I</t>
  </si>
  <si>
    <t>Terlaksanan Penididkan Bahasa Bali Anak</t>
  </si>
  <si>
    <t>Terpenuhinya Pemberian BLT</t>
  </si>
  <si>
    <t>Terlaksananya Kegiatan Ketahanan Pangan</t>
  </si>
  <si>
    <t>Terbinanya Kelompok UMKM</t>
  </si>
  <si>
    <t>Terpeliharanya Saluran Irihasi Subak</t>
  </si>
  <si>
    <t>4, 8, 10, 17</t>
  </si>
  <si>
    <t>1, 2, 4, 8, 10, 17</t>
  </si>
  <si>
    <t>4, 8, 10, 14, 16, 17</t>
  </si>
  <si>
    <t>1, 2, 3, 4, 8, 10</t>
  </si>
  <si>
    <t>Terlaksananya Pembinaan Kelompok P2WKSS</t>
  </si>
  <si>
    <t>Terlaksananya Pelatihan Tim Penyususn RKP</t>
  </si>
  <si>
    <t>Terlaksannya Pelatihan Perangkat Desa</t>
  </si>
  <si>
    <t>Terlaksannya Pelatihan BPD</t>
  </si>
  <si>
    <t>Terlaksannya Pelatihan PKPKD, PPKD dan TPK</t>
  </si>
  <si>
    <t>Terbinanya BUMDesa Penatih Dangin Puri</t>
  </si>
  <si>
    <t>31 KK</t>
  </si>
  <si>
    <t>20 orang</t>
  </si>
  <si>
    <t>10 orang</t>
  </si>
  <si>
    <t>16 orang</t>
  </si>
  <si>
    <t>37 Orang</t>
  </si>
  <si>
    <t>6 Orang</t>
  </si>
  <si>
    <t>Desa</t>
  </si>
  <si>
    <t>2. Pelaksanaan Pembangunan Desa</t>
  </si>
  <si>
    <t>Tujuan</t>
  </si>
  <si>
    <t>Bidang/Kegiatan</t>
  </si>
  <si>
    <t>1. Penyelenggaraan Pemerintahan Desa</t>
  </si>
  <si>
    <t>Meningkatka Kesejahteraan Aparatur Desa</t>
  </si>
  <si>
    <t>Dukungan Oprasional Pemerintah Desa</t>
  </si>
  <si>
    <t>Meningkatka Kesejahteraan Aparatur BPD</t>
  </si>
  <si>
    <t>Dukunag Oprasional BPD</t>
  </si>
  <si>
    <t>Terlaksananya Forum Komunikasi Antar Kelembagaan Desa</t>
  </si>
  <si>
    <t>Meningkatkan Kesejahteraan Staf Desa</t>
  </si>
  <si>
    <t>Terpenuhinya Struktur Oraganisasi Tatanan Kerja Desa</t>
  </si>
  <si>
    <t>Meningkatkan Kesejahteraan BPD</t>
  </si>
  <si>
    <t>Meningkatkan Kesejahteraan Ekosistem Desa</t>
  </si>
  <si>
    <t>Meningkatkan Kegiatan Sosila Pemerintah Desa</t>
  </si>
  <si>
    <t>Terpenuhinya Administrasi Bank</t>
  </si>
  <si>
    <t>Meiningkatkan Kesejahteraan Aparatur Desa</t>
  </si>
  <si>
    <t>Meningkatkan Oprasional Pemerintah Desa</t>
  </si>
  <si>
    <t>Terdatanya Potensi dan Perkembangan Desa</t>
  </si>
  <si>
    <t>Meingkatkan Kwalitas Pengelolaan Arsip Desa</t>
  </si>
  <si>
    <t>Pendataan Ketertiban Adminitrasi Penduduk</t>
  </si>
  <si>
    <t>Terlaksananya Musyawarah Pembangunan Desa</t>
  </si>
  <si>
    <t>Terlaksananya Musyawarah Desa</t>
  </si>
  <si>
    <t>Tersusunya Dokumen Perencanaan Desa</t>
  </si>
  <si>
    <t>Tersusunya Dokumen Keuangan Desa</t>
  </si>
  <si>
    <t>Tersusunya Laporan Keuangan Desa</t>
  </si>
  <si>
    <t>Terselenggaranya Lomba Desa</t>
  </si>
  <si>
    <t>Memperlancar Oprasional TK</t>
  </si>
  <si>
    <t>Meningkatkan Minat Anak Dalam Bahasa Bali</t>
  </si>
  <si>
    <t>Terpeliharanya Fasiltias TK</t>
  </si>
  <si>
    <t>Meningkatkan Kesejahteraan Balita</t>
  </si>
  <si>
    <t>Terjaganya Pemenuhina Gizi Ibu Hamil</t>
  </si>
  <si>
    <t>Meningkatkan Kesejahteraan Lansia</t>
  </si>
  <si>
    <t>Pencegaan Stunting Dari Awal</t>
  </si>
  <si>
    <t>Meningkatkan Pengetahun Tentang Kesehatan</t>
  </si>
  <si>
    <t>Meningkatkan Kapasitas Kader Posyandu</t>
  </si>
  <si>
    <t>Meningkatkan Pemehamab Bahaya Narkoba dan HIV/AIDS</t>
  </si>
  <si>
    <t>Meningkatkan Kapasitas Kader POSBINDU</t>
  </si>
  <si>
    <t>Meningkatkan Pemahaman Tentang KB</t>
  </si>
  <si>
    <t>Meingkatkan Pemahaman Tentang Kesehatan</t>
  </si>
  <si>
    <t>Meningkatkan Kwalitas Kesehtan Balita</t>
  </si>
  <si>
    <t>Meingkatakan Kwalitas Kesehatan Lansia</t>
  </si>
  <si>
    <t>Meningkatakan Kwalitas Kader BKB</t>
  </si>
  <si>
    <t>Meningkatkan Kwalitas Kader BKR</t>
  </si>
  <si>
    <t>Meningkatkan Kwalitas Kesehatan Remaja</t>
  </si>
  <si>
    <t>Meningkatakan Kwalitas Kesehatan BALITA</t>
  </si>
  <si>
    <t>Menanggulangi Bahaya DBD</t>
  </si>
  <si>
    <t>Terselengaranya Penanggulanan Stunting</t>
  </si>
  <si>
    <t>Terlelenggaranya Rembug Stunting</t>
  </si>
  <si>
    <t>Meningkatkan Kwalitas Kader Posyandu Remaja</t>
  </si>
  <si>
    <t>Terpeliharanya Jalan Lingkungan Gang Sekar Gunung</t>
  </si>
  <si>
    <t>Meningkatkan Pengelolaan Sampah Desa</t>
  </si>
  <si>
    <t>Terpeliharanya jalan Usaha Tani</t>
  </si>
  <si>
    <t>Meningkatkan Minat Baca Anak</t>
  </si>
  <si>
    <t>Memberi Tranparansi Anggaran Kepada Masyarakat</t>
  </si>
  <si>
    <t>Paud Desa</t>
  </si>
  <si>
    <t>Tersebar</t>
  </si>
  <si>
    <t>Dusun Gunung</t>
  </si>
  <si>
    <t>Subak Temaga</t>
  </si>
  <si>
    <t>3. Pembinaan Kemasyarakatan Desa</t>
  </si>
  <si>
    <t>Terpeliharanya Pos Kemanan Lingkungan</t>
  </si>
  <si>
    <t>Terjaganya Kemanan Lingkungan</t>
  </si>
  <si>
    <t>Terbinanya Kelompok kesenian di desa</t>
  </si>
  <si>
    <t>Terselenggaranya Bulan Bahasa Bali</t>
  </si>
  <si>
    <t>Terpeliharanya Area Pura</t>
  </si>
  <si>
    <t>Terpeliharanya Banjar Mertasari</t>
  </si>
  <si>
    <t>Pelerstarian adat dan budaya</t>
  </si>
  <si>
    <t>Terselenggaranga Oprasional Subak</t>
  </si>
  <si>
    <t>Terselenggaranya Oprasional Desa Pakraman</t>
  </si>
  <si>
    <t>Terlaksananya Pekan Olahraga Kota</t>
  </si>
  <si>
    <t>Terlaksananya Bulan Bungkarno</t>
  </si>
  <si>
    <t>Terlaksananya Pekan Olahraga Desa</t>
  </si>
  <si>
    <t>Terbinanya Karang Taruna</t>
  </si>
  <si>
    <t>Menunjang Oprasional Sekaa Truna</t>
  </si>
  <si>
    <t>Mingkatkan Kinerja Anggota LPM</t>
  </si>
  <si>
    <t>Meningkatkan Kwalitas PKK</t>
  </si>
  <si>
    <t>Terdatanya Program Dasa Wisma</t>
  </si>
  <si>
    <t>Dusun Laplap Kauh</t>
  </si>
  <si>
    <t>Dusun Pohmanis</t>
  </si>
  <si>
    <t>Dusun Mertasari</t>
  </si>
  <si>
    <t>4. Pemberdayaan Kemasyarakat Desa</t>
  </si>
  <si>
    <t>Meningkatkan Kwantitas Tanaman Pangan</t>
  </si>
  <si>
    <t>Terpeliharanya Saluran Subak</t>
  </si>
  <si>
    <t>Terbinanya Kelompok P2WKSS</t>
  </si>
  <si>
    <t>Meningkatkan Kwalitas Tim Penyusunan RKP</t>
  </si>
  <si>
    <t>Meningkatkan Kwalias Perangkat Desa</t>
  </si>
  <si>
    <t>Meningkatkan Kwalitas Sarana Usaha Dan Koprasi</t>
  </si>
  <si>
    <t>Meningkatkan Kwalias BPD</t>
  </si>
  <si>
    <t>Meningkatkan Kwalias TPK</t>
  </si>
  <si>
    <t>Meningkatkan Kwalitas Kelompok Produktif Lampion Desa</t>
  </si>
  <si>
    <t>Meningkatkan Kwalitas Kelompok Produktif</t>
  </si>
  <si>
    <t>Terlaksananya Pemberian BLT</t>
  </si>
  <si>
    <t>Indikatif Program / Kegiatan Desa</t>
  </si>
  <si>
    <t>Jumlah Dana Sesuai Dengan RAB (Rp)</t>
  </si>
  <si>
    <t>1. Penyelenggaraan Pemerintah Desa</t>
  </si>
  <si>
    <t>4. Pemberdayaan Masyarakat Desa</t>
  </si>
  <si>
    <t>Alat Ukur Tensi</t>
  </si>
  <si>
    <t>Sitk Gula Darah</t>
  </si>
  <si>
    <t>Sitk Kolestrol</t>
  </si>
  <si>
    <t>Sitk Asam Urat</t>
  </si>
  <si>
    <t>Kertas HVS 75 Gr Ex. Paper One</t>
  </si>
  <si>
    <t>Pemeliharaan (Printer 11 unit )</t>
  </si>
  <si>
    <t>Pemeliharaan (Service 14unit AC)</t>
  </si>
  <si>
    <t>Pemeliharaan 3 Unit PC</t>
  </si>
  <si>
    <t>Pemerliharaan 17 Unit Laptop</t>
  </si>
  <si>
    <t>Konsumsi  43 x 12 bln x 3 Kali</t>
  </si>
  <si>
    <t xml:space="preserve">HT </t>
  </si>
  <si>
    <t xml:space="preserve">Stand Tiang Bendera </t>
  </si>
  <si>
    <t>: Penyuluhan dan Pelatihan Bidang Kesehatan (Pembinaan Penangulangan Rabies Desa)</t>
  </si>
  <si>
    <t>Spanduk Sosialisasi</t>
  </si>
  <si>
    <t>Belanja Jasa Honor Petugas</t>
  </si>
  <si>
    <t>2.2.04.5.2.7</t>
  </si>
  <si>
    <t>Belanja Barang yang di Serahkan kepada masyarakat</t>
  </si>
  <si>
    <t>2.2.04.5.2.7.99</t>
  </si>
  <si>
    <t>Belanja Barang yang di Serahkan kepada masyarakat Lainnya</t>
  </si>
  <si>
    <t>Solp Tangan</t>
  </si>
  <si>
    <t>cetak formulir</t>
  </si>
  <si>
    <t>: Perbaikan Jalan Usaha Tani Subak Pohmanis</t>
  </si>
  <si>
    <t>BHPD</t>
  </si>
  <si>
    <t>BHRD</t>
  </si>
  <si>
    <t>BKK KOTA</t>
  </si>
  <si>
    <t>Bunga Bank</t>
  </si>
  <si>
    <t>PAD Swadaya</t>
  </si>
  <si>
    <t>Silpa DD</t>
  </si>
  <si>
    <t>Silpa ADD</t>
  </si>
  <si>
    <t>Silpa BHPD</t>
  </si>
  <si>
    <t>Silpa BHRD</t>
  </si>
  <si>
    <t>Silpa Pad</t>
  </si>
  <si>
    <t>Bidang I</t>
  </si>
  <si>
    <t>Bidang II</t>
  </si>
  <si>
    <t>Bidang III</t>
  </si>
  <si>
    <t>Bidang IV</t>
  </si>
  <si>
    <t>Bidang V</t>
  </si>
  <si>
    <t>Silpa Bunga Bank</t>
  </si>
  <si>
    <t>Selisih</t>
  </si>
  <si>
    <t>BKK Tambahan Penghasilan</t>
  </si>
  <si>
    <t>BKK TPP</t>
  </si>
  <si>
    <t>Silpa PAD</t>
  </si>
  <si>
    <t>Kode Rekening</t>
  </si>
  <si>
    <t>Uraiam</t>
  </si>
  <si>
    <t>2.2.06.5.2.4</t>
  </si>
  <si>
    <t>2.2.06.5.2.4.03</t>
  </si>
  <si>
    <t>Slpa DD</t>
  </si>
  <si>
    <t>BKK Provinsi</t>
  </si>
  <si>
    <t>BKK Provinis</t>
  </si>
  <si>
    <t>211.05m2</t>
  </si>
  <si>
    <t>2.3.03.5.3</t>
  </si>
  <si>
    <t>2.3.03.5.3.5</t>
  </si>
  <si>
    <t>2.3.03.5.3.5.01</t>
  </si>
  <si>
    <t>2.3.03.5.3.5.02</t>
  </si>
  <si>
    <t>11.79m3</t>
  </si>
  <si>
    <t>2.3.03.5.3.5.03</t>
  </si>
  <si>
    <t>14.175m3</t>
  </si>
  <si>
    <t>: Pemeliharaan Jalan Usaha Tani (Subak Pohmanis Pembesian)</t>
  </si>
  <si>
    <t>: Pemeliharaan Jalan Usaha Tani (Subak pohmanis Pengecoran Beton)</t>
  </si>
  <si>
    <t>: 23.58m3</t>
  </si>
  <si>
    <t>: Pemeliharaan Jalan Usaha Tani (Subak Pohmanis Bekisting)</t>
  </si>
  <si>
    <t>: Bekisting 37.8m2</t>
  </si>
  <si>
    <t>Plywood 9 mm</t>
  </si>
  <si>
    <t>btg</t>
  </si>
  <si>
    <t>: Pemeliharaan Jalan Usaha Tani (Subak Pohmanis Perbaikan Senderan Batu Kali)</t>
  </si>
  <si>
    <t>Perbaikan Senderan Batu Kali 9m3</t>
  </si>
  <si>
    <t xml:space="preserve"> Senderan Batu Kali 165.83m3, Galian Pondasi 392.80m dan lansiran</t>
  </si>
  <si>
    <t xml:space="preserve"> Urug Limestone 134.31m3 dan lansiran</t>
  </si>
  <si>
    <t>2.3.12.5.3.5.04</t>
  </si>
  <si>
    <t>Sewa Alat</t>
  </si>
  <si>
    <t>Sewa Stamper</t>
  </si>
  <si>
    <t>Pasang Paving 570.36m2, Kanstin 814.4m, Lansiran</t>
  </si>
  <si>
    <t>Rak Linmas</t>
  </si>
  <si>
    <t>3.3.06.5.2.4</t>
  </si>
  <si>
    <t>3.3.06.5.2.4.03</t>
  </si>
  <si>
    <t>OR</t>
  </si>
  <si>
    <t>3.3.06.5.2.1.09</t>
  </si>
  <si>
    <t>Belanja Seragam</t>
  </si>
  <si>
    <t>Jumlah RAB</t>
  </si>
  <si>
    <t>LAMPIRAN</t>
  </si>
  <si>
    <t>DAN BELANJA DESA</t>
  </si>
  <si>
    <t>PEMERINTAH DESA PENATIH DANGIN PURI</t>
  </si>
  <si>
    <t>KODE REKENING</t>
  </si>
  <si>
    <t>KELUARAN/OUTPUT</t>
  </si>
  <si>
    <t>ANGGARAN</t>
  </si>
  <si>
    <t>SUMBER DANA</t>
  </si>
  <si>
    <t>PERATURAN PERBEKEL DESA PENATIH DANGIN PURI</t>
  </si>
  <si>
    <t>PENJABARAN ANGGARAN PENDAPATAN</t>
  </si>
  <si>
    <t>FORMAT PENJABARAN ANGGARAN PENDAPATAN DAN BELANJA DESA</t>
  </si>
  <si>
    <t>PENDAPATAN</t>
  </si>
  <si>
    <t>01</t>
  </si>
  <si>
    <t>Hasil Usaha</t>
  </si>
  <si>
    <t>Trasfer</t>
  </si>
  <si>
    <t>Bagi dari Hasil Pajak dan Retribusi Daerah Kapupaten/Kota</t>
  </si>
  <si>
    <t>Bagi dari Hasil Pajak Daerah Kapupaten/Kota</t>
  </si>
  <si>
    <t>BHPD, BHRD</t>
  </si>
  <si>
    <t>Alokasi Dana Desa</t>
  </si>
  <si>
    <t>Bantuan Keuangan Provinsi</t>
  </si>
  <si>
    <t>Bantuan Keuangan dari APBD Provinsi</t>
  </si>
  <si>
    <t>BKK PROV</t>
  </si>
  <si>
    <t>Bantuan Keuangan APBD Kabupaten/Kota</t>
  </si>
  <si>
    <t>Pendapatan Lain - lain</t>
  </si>
  <si>
    <t>JUMLAH PENDAPATAN</t>
  </si>
  <si>
    <t>NOMOR    TAHUN 2023</t>
  </si>
  <si>
    <t>02</t>
  </si>
  <si>
    <t>03</t>
  </si>
  <si>
    <t>04</t>
  </si>
  <si>
    <t>06</t>
  </si>
  <si>
    <t>05</t>
  </si>
  <si>
    <t>08</t>
  </si>
  <si>
    <t>07</t>
  </si>
  <si>
    <t>09</t>
  </si>
  <si>
    <t>BHPD, PAD</t>
  </si>
  <si>
    <t>.31.1.93.5.1.3</t>
  </si>
  <si>
    <t>.31.1.93.5.1.3.01</t>
  </si>
  <si>
    <t>1.1.93.5.1.3</t>
  </si>
  <si>
    <t>1.1.93.5.1.3.01</t>
  </si>
  <si>
    <t>Penghasilan tetap dan Tunjangan Perangkat</t>
  </si>
  <si>
    <t>Konsumsi kader 5or x 6klp x 12</t>
  </si>
  <si>
    <t>BKK Prov</t>
  </si>
  <si>
    <t>90</t>
  </si>
  <si>
    <t/>
  </si>
  <si>
    <t>'01</t>
  </si>
  <si>
    <t>00</t>
  </si>
  <si>
    <t>JUMLAH BELANAJA</t>
  </si>
  <si>
    <t>SURPLUS/(DEFISIT)</t>
  </si>
  <si>
    <t>PEMBIAYAAN</t>
  </si>
  <si>
    <t>Penerimaan Pembiayaan</t>
  </si>
  <si>
    <t>Silpa Tahun Sebelumnya</t>
  </si>
  <si>
    <t>Pengeluaran Pembiayaan</t>
  </si>
  <si>
    <t>Penyertaan Modal Desa</t>
  </si>
  <si>
    <t>dst</t>
  </si>
  <si>
    <t>SELISIH PEMBIYAYAAN</t>
  </si>
  <si>
    <t>PADesa Hasil Usaha</t>
  </si>
  <si>
    <t>Bagi Hasil Pajak Daerah</t>
  </si>
  <si>
    <t>Bagi Hasil Retribusi Daerah</t>
  </si>
  <si>
    <t>BKK TPPP</t>
  </si>
  <si>
    <t>Belanja</t>
  </si>
  <si>
    <t>: Tanggap Darurat Bencana</t>
  </si>
  <si>
    <t>Surplus /(defisit)</t>
  </si>
  <si>
    <t xml:space="preserve">Pengeluaran pembiayaan </t>
  </si>
  <si>
    <t>Selisih Pembiayaan</t>
  </si>
  <si>
    <t>Total transfer</t>
  </si>
  <si>
    <t>Total PAD</t>
  </si>
  <si>
    <t>Total Bunga Bank</t>
  </si>
  <si>
    <t>Total Pendapatan</t>
  </si>
  <si>
    <t>Total Belanja</t>
  </si>
  <si>
    <t>Penmbangunan Jalan TPS 3R</t>
  </si>
  <si>
    <t>Terlaksananya Pembangungan Jalan TPS 3R</t>
  </si>
  <si>
    <t>Terlaksananya Pengendalian Rabies</t>
  </si>
  <si>
    <t>Pemeliharaan/Rehabilitasi/ Peningkatan Gedung/ Prasarana Kantor Desa (Pemeliharaan Talang Air Gudang Bumdesa)</t>
  </si>
  <si>
    <t>Terpeliharanya Gudang BUMDesa</t>
  </si>
  <si>
    <t>PKTD Pengerukan Gorong' Di Wilayah Desa Penatih Dangin Puri</t>
  </si>
  <si>
    <t>Terpenuhinya 31 KK Penerima BLT</t>
  </si>
  <si>
    <t>4, 8, 10, 17, 18</t>
  </si>
  <si>
    <t>4, 8, 10, 11, 16, 17, 18</t>
  </si>
  <si>
    <t>1, 2, 3, 4, 8, 10, 11</t>
  </si>
  <si>
    <t>1, 2, 4, 8, 10, 11</t>
  </si>
  <si>
    <t>Terlaksananya Pelatihan Kelompok Budidaya Jamur</t>
  </si>
  <si>
    <t>Terlaksananya Pelatihan Kelompok Budidaya Bawang Merah</t>
  </si>
  <si>
    <t>Terlaksananya Ketahanan Pangan</t>
  </si>
  <si>
    <t>Terpeliharanya Jalan Usaha Tani</t>
  </si>
  <si>
    <t>Terlaksananya Pelatihan Kelompok P2WKSS</t>
  </si>
  <si>
    <t>Terlaksanya Pelatihan Penyususn RKP</t>
  </si>
  <si>
    <t>Terlaksananya Pelatihan Perangkat Desa</t>
  </si>
  <si>
    <t>Perlaksananya Peningkatan Kapasitas NPD</t>
  </si>
  <si>
    <t>Terlaksanyana Pelatiah PKPKD, PPKD, TPK</t>
  </si>
  <si>
    <t>Terlaksanyanya Pelatiahan Management BUMDesa</t>
  </si>
  <si>
    <t>Telaksananya Pelatihan Kelompok Lampion</t>
  </si>
  <si>
    <t>Terlasananya Pelatihan Kelompok Furniture</t>
  </si>
  <si>
    <t>1 Tahun</t>
  </si>
  <si>
    <t>260 orang</t>
  </si>
  <si>
    <t>Mengetahui:</t>
  </si>
  <si>
    <t>Perbekel Penatih Dangin Puri</t>
  </si>
  <si>
    <t>Desa Penatih Dangin Puri,  26 September 2023</t>
  </si>
  <si>
    <t>Di Susun Oleh:</t>
  </si>
  <si>
    <t>Ketua Penyusun RKP Desa Tahun 2024</t>
  </si>
  <si>
    <t>Jumlah Belanja</t>
  </si>
  <si>
    <t>Jumlah Belanja di Kurangi BKK</t>
  </si>
  <si>
    <t>Siltap dan Tunjangan Perbekel dan Perangkat</t>
  </si>
  <si>
    <t>Jaminan Kesehatan dan Ketenagakerjaan Perangkat Desa</t>
  </si>
  <si>
    <t>Tunjanga BPD</t>
  </si>
  <si>
    <t>Oprasional BPD</t>
  </si>
  <si>
    <t>Penghasilan Staf</t>
  </si>
  <si>
    <t>Jaminan Kesehatan BPD dan Staf</t>
  </si>
  <si>
    <t>Total Jumlah</t>
  </si>
  <si>
    <t>Jumlah Pagu DD</t>
  </si>
  <si>
    <t>BLT</t>
  </si>
  <si>
    <t>Persentase</t>
  </si>
  <si>
    <t>Ketahanan Pangan</t>
  </si>
  <si>
    <t>Kostum 7orang</t>
  </si>
  <si>
    <t>Pemeliharaan Sarana dan Prasarana TK Milik Desa (Lapis Water Proofig)</t>
  </si>
  <si>
    <t>Samsat Motor Lisitrik</t>
  </si>
  <si>
    <t>Service Motor listrik 3 x 12bln</t>
  </si>
  <si>
    <t>Spare Part Batrey Motorl lisrik</t>
  </si>
  <si>
    <t>Jaminan Ketenagakerjaan Staf</t>
  </si>
  <si>
    <t>Jaminan Kesehatan Staf BPD (1or x12BLN)</t>
  </si>
  <si>
    <t>Jaminan KetenagaKerjaan Staf IT (1or x 12 Bln)</t>
  </si>
  <si>
    <t>Jaminan Ketenagakerjaan Satf Siskeudes (1or x 12Bln)</t>
  </si>
  <si>
    <t>Jaminan Ketenagakerjaan Staf BPD (1or x12BLN)</t>
  </si>
  <si>
    <t>Jaminan Ketenagakerjaan KPM (1or x12BLN)</t>
  </si>
  <si>
    <t>Jaminan Ketenagakerjaan Cleaning Service (2or x12BLN)</t>
  </si>
  <si>
    <t>Jaminan Ketenagakerjaan Ekosistem Desa 211 x12 bln</t>
  </si>
  <si>
    <t>Penyusunan Dokumen Perencanaan Desa (RPJM Perubahan)</t>
  </si>
  <si>
    <t>Anggota 9 or</t>
  </si>
  <si>
    <t>Stck HB</t>
  </si>
  <si>
    <t>: Pelaksanaan Pembangunan</t>
  </si>
  <si>
    <t>: Pekerjaan Umum dan Penataan Ruang</t>
  </si>
  <si>
    <t>: II.27</t>
  </si>
  <si>
    <t xml:space="preserve">: Panjang (522m) </t>
  </si>
  <si>
    <t>2.3.05.3.</t>
  </si>
  <si>
    <t>2.3.05.5.3.7</t>
  </si>
  <si>
    <t>Belanja Modal Irigasi</t>
  </si>
  <si>
    <t>2.3.05.5.3.7.02</t>
  </si>
  <si>
    <t>Belanja Upah PKTD</t>
  </si>
  <si>
    <t>Pekerja Galian dan pembersihan 35 or x 12hr</t>
  </si>
  <si>
    <t>Belanja modal oprasional tim yang melaksanakan kegiatan</t>
  </si>
  <si>
    <t>Oprasional TPK</t>
  </si>
  <si>
    <t>KL</t>
  </si>
  <si>
    <t>prasional TPK</t>
  </si>
  <si>
    <t>: (Ketahanan Pangan) Pelatihan Budidaya Jamur</t>
  </si>
  <si>
    <t>: Ketahanan Pangan ( Holti Kultural Budidaya Bawang Merah Dari Benih)</t>
  </si>
  <si>
    <t>: Penguatan Ketahanan Pangan Tingkat Desa ( Peningkatan ketersediaan Bibit/benih tanaman pangan)</t>
  </si>
  <si>
    <t>Operasional Pemerintah Desa</t>
  </si>
  <si>
    <t>Max 3%</t>
  </si>
  <si>
    <t>: Penyediaan opersional pemerintah Desa 3% DD</t>
  </si>
  <si>
    <t>Silpa BHP</t>
  </si>
  <si>
    <t>SilpaBHRD</t>
  </si>
  <si>
    <t>Baju Seragam</t>
  </si>
  <si>
    <t>Pakian dan atribut Joged</t>
  </si>
  <si>
    <t>Buku Absen</t>
  </si>
  <si>
    <t>Konsumsi Rapat (40 Orang x 2 Kali )</t>
  </si>
  <si>
    <t>Konsumsi Pembinaan Camat (50 Orang x 2 Kali )</t>
  </si>
  <si>
    <t>Konsumsi Pembinaan DPMD (50 Orang x 2 Kali )</t>
  </si>
  <si>
    <t xml:space="preserve">Belanja Perlengkapan Alat Tulis Kantor dan Benda Pos </t>
  </si>
  <si>
    <t xml:space="preserve">Rim </t>
  </si>
  <si>
    <t xml:space="preserve">Map Plastik Kancing </t>
  </si>
  <si>
    <t xml:space="preserve">Buah </t>
  </si>
  <si>
    <t>Stopmap</t>
  </si>
  <si>
    <t xml:space="preserve">Belanja Cetak dan Penggandaan </t>
  </si>
  <si>
    <t xml:space="preserve">Lembar </t>
  </si>
  <si>
    <t xml:space="preserve">Cetak Profil Desa </t>
  </si>
  <si>
    <t>Buku</t>
  </si>
  <si>
    <t xml:space="preserve">Jilid </t>
  </si>
  <si>
    <t>Ex</t>
  </si>
  <si>
    <t>:Peningkatan Sarana Prasarana Perpustakaan/Taman Bacaan Desa/ Sanggar Belajar Milik Desa (Perpustakaan Desa, Digital dan keliling)</t>
  </si>
  <si>
    <t>Konsumsi  pelatihan( 30or x 1kali )</t>
  </si>
  <si>
    <t>Spanduk Kegiatan pelatihan</t>
  </si>
  <si>
    <t>Spanduk Event</t>
  </si>
  <si>
    <t>Konsumsi Event 65 orx 3kali</t>
  </si>
  <si>
    <t>cetak Brosur</t>
  </si>
  <si>
    <t>Honor utuk kunjugan rumah (12Banjar x 4 kali)</t>
  </si>
  <si>
    <t>Konsumsi Kunjungan 10or x 12 bjr x 4 Kali</t>
  </si>
  <si>
    <t>Set CCTV Untuk ligkungan</t>
  </si>
  <si>
    <t>arah Jalur Evakuasi</t>
  </si>
  <si>
    <t>Tempat titik Kumpul</t>
  </si>
  <si>
    <t>Tandu</t>
  </si>
  <si>
    <t>Sewa Tranportasi/Outbone</t>
  </si>
  <si>
    <t>Unti</t>
  </si>
  <si>
    <t>3.1.04.5.2.1.07</t>
  </si>
  <si>
    <t>: Pembinaan Adat dan Keagamaan (Tumpek Landep)</t>
  </si>
  <si>
    <t>3.2.90.5.2.4</t>
  </si>
  <si>
    <t>Sewa Tenda</t>
  </si>
  <si>
    <t>Kursi</t>
  </si>
  <si>
    <t>Konsumsi Donor Darah</t>
  </si>
  <si>
    <t>3.4.02.5.2.7.90</t>
  </si>
  <si>
    <t>Belanja Barang dan Jasa yang Diserahkan kepada Masyarakat Lainnya</t>
  </si>
  <si>
    <t>Belanja Souvenir Tamler Bagi Pendonr</t>
  </si>
  <si>
    <t>Donor Darah</t>
  </si>
  <si>
    <t>Sepanduk Kegiatan</t>
  </si>
  <si>
    <t>Jalan Santai</t>
  </si>
  <si>
    <t>Konsumsi Kegiatan Jalan santai ( 150 or x 1 Kl )</t>
  </si>
  <si>
    <t>Baliho</t>
  </si>
  <si>
    <t>Belanja Honrarium</t>
  </si>
  <si>
    <t>3.4.02.5.2.2.01</t>
  </si>
  <si>
    <t>Belanja Honrarium Tim Yang Melaksanakan Kegiatan</t>
  </si>
  <si>
    <t>Belanja Honrarium Petugas</t>
  </si>
  <si>
    <t>3.4.02.5.2.2.05</t>
  </si>
  <si>
    <t>Petugas Kebersihan</t>
  </si>
  <si>
    <t>Dekorasi</t>
  </si>
  <si>
    <t>Sewa Gedung</t>
  </si>
  <si>
    <t>Sewa tempat</t>
  </si>
  <si>
    <t>3.4.02.5.2.4</t>
  </si>
  <si>
    <t>3.4.02.5.2.4.01</t>
  </si>
  <si>
    <t>3.4.02.5.2.4.02</t>
  </si>
  <si>
    <t>Belanja Barang dan Jasa yang Diserahkan kepada Masyarakat</t>
  </si>
  <si>
    <t>TV 32 inc</t>
  </si>
  <si>
    <t>Kipas Angin</t>
  </si>
  <si>
    <t>Sepeda</t>
  </si>
  <si>
    <t>Petugas Kesehatan</t>
  </si>
  <si>
    <t>Lanscape taman</t>
  </si>
  <si>
    <t>Rumput</t>
  </si>
  <si>
    <t>Pemeliharaan taman Milik Desa (Biopori dan Penataan Taman di Patung Petani, depan kertapala)</t>
  </si>
  <si>
    <t>Hiasan Dekorasi</t>
  </si>
  <si>
    <t>Silpa BKK Motor</t>
  </si>
  <si>
    <t>Belanja Konsumsi 100or x 2kali</t>
  </si>
  <si>
    <t>BLT 25%</t>
  </si>
  <si>
    <t>Minimum 20%</t>
  </si>
  <si>
    <t>Silpa BHR</t>
  </si>
  <si>
    <t>: Penyuluhan dan Pelatihan Pendidikan Bagi Masyarakat ( Pelatihan Bahasa Bali Untuk Anak-Anak 7-12 Th )</t>
  </si>
  <si>
    <t>: Pemeliharaan Jalan Usaha Tani (KETAHANAN PANGAN) (Subak Pohmanis Bongkar Paving)</t>
  </si>
  <si>
    <t>: Pemeliharaan Jalan Usaha Tani (KETAHANAN PANGAN) (Subak Pohmanis Urug Limestone)</t>
  </si>
  <si>
    <t>: Pemeliharaan Jalan Usaha Tani (KETAHANAN PAGAN) (Subak Pohmanis Urug Pasir)</t>
  </si>
  <si>
    <t>: Pemeliharaan Prasarana Jalan Desa (Pembersihan saluran air untuk kelancaran pertanian dan gorong-gorong (PKTD MURNI Ketahanan Pangan)</t>
  </si>
  <si>
    <t>: Pembangunan Jalan Usaha Tani (Subak Temaga Munduk Ngancang Perbaikan Senderan Batu Kali)</t>
  </si>
  <si>
    <t>: Pembangunan Jalan Usaha Tani KETAHANAN PANGAN(Subak Temaga Munduk Ngancang Pemavingan)</t>
  </si>
  <si>
    <t>: Pembangunan Jalan Usaha Tani KETAHANAN PANGAN(Subak Temaga Munduk Ngancang Urug Limestone)</t>
  </si>
  <si>
    <t>: Pembangunan Jalan Usaha Tani KETAHANAN PANGAN (Subak Temaga Munduk Ngancang Perbaikan Senderan Batu Kali)</t>
  </si>
  <si>
    <t>Gula 8kg x 12bln</t>
  </si>
  <si>
    <t>Konsumsi Pembinaan 25 or x 16kali</t>
  </si>
  <si>
    <t>Daun Rindik</t>
  </si>
  <si>
    <t>Honor Narasumber/ Pembina tabuh ( 1 orx 16kali)</t>
  </si>
  <si>
    <t>Honor Narasumber/ Pembina tari ( 1 orx 16kali)</t>
  </si>
  <si>
    <t xml:space="preserve">Pakian Penabuh </t>
  </si>
  <si>
    <t>: Pembinaan Kesenian, Adat, Kebudayaan, dan Keagamaan ( Pembinaan Sekaa Seni Joged )</t>
  </si>
  <si>
    <t>Pemeliharaan/ Rehabilitasi/ Peningkatan Gedung/ Prasarana Kantor Desa (Penataan Kebun dan Vertical Garden)</t>
  </si>
  <si>
    <t>Silpa BKK</t>
  </si>
  <si>
    <t>OB 2or x 12bln</t>
  </si>
  <si>
    <t>Kupon Bazar (210Lbr x 1 thn )</t>
  </si>
  <si>
    <t>Penjor</t>
  </si>
  <si>
    <t>Swadaya Partisipasi, Gotong Royong</t>
  </si>
  <si>
    <t>Swadaya Partisipasi Dan Gotong Royong</t>
  </si>
  <si>
    <t>Upah  Tenaga pungut iuran  2 orang x 3 bln</t>
  </si>
  <si>
    <t>Upah  Tenaga pungut iuran  2 orang x 9 bln</t>
  </si>
  <si>
    <t>ADD, Silpa BKK</t>
  </si>
  <si>
    <t>1.4.11.5.2.01</t>
  </si>
  <si>
    <t>1.4.11.5.2.05</t>
  </si>
  <si>
    <t>Belanja Barang Perlengkepan</t>
  </si>
  <si>
    <t>Tidak Masuk Sum</t>
  </si>
  <si>
    <t>Dobel Sumber Dana</t>
  </si>
  <si>
    <t>Doble Anggaran</t>
  </si>
  <si>
    <t>Buku Digital</t>
  </si>
  <si>
    <t>Belanja Modal Kendaraan</t>
  </si>
  <si>
    <t>2.1.07.5.3.3</t>
  </si>
  <si>
    <t>2.1.07.5.3.3.02</t>
  </si>
  <si>
    <t>Koreksi Boleh DD</t>
  </si>
  <si>
    <t>2.2.03.5.2.4.03</t>
  </si>
  <si>
    <t>Belanja Jasa Sewa Mobilitas</t>
  </si>
  <si>
    <t>Outbond Kader Posyandu</t>
  </si>
  <si>
    <t>Outbond Kader Posbindu</t>
  </si>
  <si>
    <t>Out Bond Kader BKB</t>
  </si>
  <si>
    <t>2.2.06.5.2.4.'03</t>
  </si>
  <si>
    <t>Outbond Kader BKR</t>
  </si>
  <si>
    <t>Honorarium Staff Pembantu Kaur/kasi (8 or x 12bln)</t>
  </si>
  <si>
    <t>2.2..06.5.2.1.09</t>
  </si>
  <si>
    <t>Outbond Kader BKL</t>
  </si>
  <si>
    <t>Konsumsi Pembinaan (10or x 1Kl)</t>
  </si>
  <si>
    <t>Jasa Narasumber (2or x 1kali)</t>
  </si>
  <si>
    <t xml:space="preserve"> :  Pengasuhan Bersama atau Bina Keluarga Lansia ( Pembinaan dan Penyelenggaraan BKL)</t>
  </si>
  <si>
    <t>Oprasioanl TPK</t>
  </si>
  <si>
    <t>Belanja Barang Yanf Diserhkan</t>
  </si>
  <si>
    <t>Belanja Bahan Perlengkapan yang diserahkan kepada masyarakat</t>
  </si>
  <si>
    <t>3.2.03.5.2.7.01</t>
  </si>
  <si>
    <t>3.2.90.5.2.4.02</t>
  </si>
  <si>
    <t>Drone</t>
  </si>
  <si>
    <t>283.5 m2</t>
  </si>
  <si>
    <t>Slipa BHPD</t>
  </si>
  <si>
    <t>Lemari Ruang Sekretaris Desa</t>
  </si>
  <si>
    <t>Foto Presiden dan Wakil</t>
  </si>
  <si>
    <t>1.1.04.5.2.5.99</t>
  </si>
  <si>
    <t>Belanja Operasional Perkantoran lainnya</t>
  </si>
  <si>
    <t>Biaya Administrasi Bank</t>
  </si>
  <si>
    <t>Pajak Bunga Bank</t>
  </si>
  <si>
    <t>Petugas Foging (10or x 3Kl)</t>
  </si>
  <si>
    <t xml:space="preserve">Pembaharuan Aplikasi SIPENARI </t>
  </si>
  <si>
    <t>Konsumsi ( 59 Peserta + 1 Kades +1 Kasi + 3 TPK + 6 Narasumber) x 5 Kegiatan</t>
  </si>
  <si>
    <t>Biaya Pembbuangan Sampah Ke TPA</t>
  </si>
  <si>
    <t>1.1.96.5.1.1.91</t>
  </si>
  <si>
    <t>Kekurangan Tambaha Penghasilan Perbekel</t>
  </si>
  <si>
    <t>Kasi 3orx12bln</t>
  </si>
  <si>
    <t>Kasi 3orx3bln</t>
  </si>
  <si>
    <t>Kaur 3orx3Bln</t>
  </si>
  <si>
    <t>Kadus 8or x 3bln</t>
  </si>
  <si>
    <t>Kadus 8or x 12bln</t>
  </si>
  <si>
    <t>Kaur 3orx12bln</t>
  </si>
  <si>
    <t>1.1.97.5.1</t>
  </si>
  <si>
    <t>1.1.97.5.1.2</t>
  </si>
  <si>
    <t>1.1.97.5.1.2.91</t>
  </si>
  <si>
    <t>Kekurangan Tambahan Penghasilan Perangkat Desa Dari BKK</t>
  </si>
  <si>
    <t>1.1.97.5.1.2.90</t>
  </si>
  <si>
    <t>Tambahan Penghasilan Perangkat Desa Dari BKK</t>
  </si>
  <si>
    <t>1.1.96.5.1.1.90</t>
  </si>
  <si>
    <t>Tambahan Penghasilan Perbekel Dari BKK</t>
  </si>
  <si>
    <t>Pembangunan Sekolah Menengah Pertama Di Lingkungan Desa Penatih Dangin Puri</t>
  </si>
  <si>
    <t>3885m2</t>
  </si>
  <si>
    <t>Meningkatkan Kenyamanan Siswa Dalam Porses Belajar</t>
  </si>
  <si>
    <t>Mempermudah Akses Masyarakat Untuk Menempuh Pendidikan di Tingkat Menengah</t>
  </si>
  <si>
    <t>365 Hari</t>
  </si>
  <si>
    <t>Pemberian BLT 42 KK x 12bln</t>
  </si>
  <si>
    <t>Jaminan Ketenaga Kerjaan Staf Kaur Kasi 8 or x 12bln</t>
  </si>
  <si>
    <t>Kaur Umum</t>
  </si>
  <si>
    <t>I Made Darasana</t>
  </si>
  <si>
    <t>Kasi Kesra</t>
  </si>
  <si>
    <t>Ni Kadek Agis Dwijayanti</t>
  </si>
  <si>
    <t>Kasi Pemerintahan</t>
  </si>
  <si>
    <t>I Kadek Andika</t>
  </si>
  <si>
    <t>Kaur Perencanaan</t>
  </si>
  <si>
    <t>I Made Pramiarta</t>
  </si>
  <si>
    <t>PLT Kasi Pelayanan</t>
  </si>
  <si>
    <t>Honor Petugas pendata</t>
  </si>
  <si>
    <t>I Made Darsana</t>
  </si>
  <si>
    <r>
      <rPr>
        <i/>
        <sz val="9"/>
        <rFont val="Times New Roman"/>
        <family val="1"/>
      </rPr>
      <t>Perbeke</t>
    </r>
    <r>
      <rPr>
        <sz val="9"/>
        <rFont val="Times New Roman"/>
        <family val="1"/>
      </rPr>
      <t>l  Desa Penatih Dangin Puri</t>
    </r>
  </si>
  <si>
    <t>uang saku peserta (68 or x 2kali)</t>
  </si>
  <si>
    <t>DD Ketahanan Pangan</t>
  </si>
  <si>
    <t>Pagu</t>
  </si>
  <si>
    <t>Stunting</t>
  </si>
  <si>
    <t>Pelastik sampah Jumat Bersih</t>
  </si>
  <si>
    <t>Konsumsi Jumat Bersih 29or x 12 BLN x 2Kl</t>
  </si>
  <si>
    <t>PAD, ADD</t>
  </si>
  <si>
    <t>KEGIATAN</t>
  </si>
  <si>
    <t>KASI</t>
  </si>
  <si>
    <t>RENCANA PENARIKAN ANGGARAN (Rp)</t>
  </si>
  <si>
    <t>KAUR</t>
  </si>
  <si>
    <t xml:space="preserve">Januari </t>
  </si>
  <si>
    <t>Februari</t>
  </si>
  <si>
    <t>Maret</t>
  </si>
  <si>
    <t>April</t>
  </si>
  <si>
    <t>Mei</t>
  </si>
  <si>
    <t>Juni</t>
  </si>
  <si>
    <t>Juli</t>
  </si>
  <si>
    <t>Agustus</t>
  </si>
  <si>
    <t>September</t>
  </si>
  <si>
    <t>Oktober</t>
  </si>
  <si>
    <t>November</t>
  </si>
  <si>
    <t>Desember</t>
  </si>
  <si>
    <t>Pasangan Lapisan Rockwool</t>
  </si>
  <si>
    <t>Pasangan Kalsiboard dan Wallpaper atas mainan dinding</t>
  </si>
  <si>
    <t>Pekerjaan waterproofing (Lemkra) Pada dinding lama</t>
  </si>
  <si>
    <t>Pemindahan dan Pemasangan Lemari Piala</t>
  </si>
  <si>
    <t>bobok plesteran bagian bawah dinding (tinggi 20cm) plesterkembali setelah waterproofing</t>
  </si>
  <si>
    <t>cat dengan ex aquaproof bagan dalam</t>
  </si>
  <si>
    <t>Stain Jendela alumunium bagian selatan</t>
  </si>
  <si>
    <t>Kasi Kesejahteraan</t>
  </si>
  <si>
    <t>Kasi Pelayanan</t>
  </si>
  <si>
    <t>RENCANA ANGGARAN KAS DESA</t>
  </si>
  <si>
    <t xml:space="preserve">DESA </t>
  </si>
  <si>
    <t>: DENPSAR TIMUR</t>
  </si>
  <si>
    <t>KABUPATEN/KOTA</t>
  </si>
  <si>
    <t>Diverifikasi Oleh</t>
  </si>
  <si>
    <t>Sekretaris Desa</t>
  </si>
  <si>
    <t>Disetujui Oleh</t>
  </si>
  <si>
    <t>Denpasar 20 Maret 2024</t>
  </si>
  <si>
    <t>I Putu Ary Setyawan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</si>
</sst>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3" formatCode="_(* #,##0.00_);_(* \(#,##0.00\);_(* &quot;-&quot;??_);_(@_)"/>
    <numFmt numFmtId="164" formatCode="_-&quot;Rp&quot;* #,##0_-;\-&quot;Rp&quot;* #,##0_-;_-&quot;Rp&quot;* &quot;-&quot;_-;_-@_-"/>
    <numFmt numFmtId="165" formatCode="_-* #,##0_-;\-* #,##0_-;_-* &quot;-&quot;_-;_-@_-"/>
    <numFmt numFmtId="166" formatCode="_-* #,##0.00_-;\-* #,##0.00_-;_-* &quot;-&quot;??_-;_-@_-"/>
    <numFmt numFmtId="167" formatCode="_(* #,##0_);_(* \(#,##0\);_(* &quot;-&quot;??_);_(@_)"/>
    <numFmt numFmtId="168" formatCode="_(* #,##0.0_);_(* \(#,##0.0\);_(* &quot;-&quot;??_);_(@_)"/>
    <numFmt numFmtId="169" formatCode="_(* #,##0.0000_);_(* \(#,##0.0000\);_(* &quot;-&quot;??_);_(@_)"/>
    <numFmt numFmtId="170" formatCode="_(* #,##0.00_);_(* \(#,##0.00\);_(* &quot;-&quot;_);_(@_)"/>
    <numFmt numFmtId="171" formatCode="_-&quot;Rp&quot;* #,##0.00_-;\-&quot;Rp&quot;* #,##0.00_-;_-&quot;Rp&quot;* &quot;-&quot;_-;_-@_-"/>
    <numFmt numFmtId="172" formatCode="_(* #,##0.0000_);_(* \(#,##0.0000\);_(* &quot;-&quot;_);_(@_)"/>
    <numFmt numFmtId="173" formatCode="0.000"/>
    <numFmt numFmtId="174" formatCode="_(* #,##0.000_);_(* \(#,##0.000\);_(* &quot;-&quot;??_);_(@_)"/>
    <numFmt numFmtId="175" formatCode="_(* #,##0.000_);_(* \(#,##0.000\);_(* &quot;-&quot;???_);_(@_)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indexed="8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2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sz val="10"/>
      <name val="Times New Roman"/>
      <family val="1"/>
    </font>
    <font>
      <sz val="10"/>
      <name val="Arial"/>
      <family val="2"/>
    </font>
    <font>
      <sz val="10"/>
      <color indexed="8"/>
      <name val="Times New Roman"/>
      <family val="1"/>
    </font>
    <font>
      <sz val="10"/>
      <color theme="1"/>
      <name val="Calibri"/>
      <family val="2"/>
      <scheme val="minor"/>
    </font>
    <font>
      <sz val="9"/>
      <color theme="1"/>
      <name val="Times New Roman"/>
      <family val="1"/>
    </font>
    <font>
      <sz val="14"/>
      <name val="Times New Roman"/>
      <family val="1"/>
    </font>
    <font>
      <sz val="9"/>
      <color indexed="10"/>
      <name val="Times New Roman"/>
      <family val="1"/>
    </font>
    <font>
      <b/>
      <sz val="9"/>
      <name val="Times New Roman"/>
      <family val="1"/>
    </font>
    <font>
      <sz val="9"/>
      <color rgb="FF000000"/>
      <name val="Times New Roman"/>
      <family val="1"/>
    </font>
    <font>
      <sz val="12"/>
      <color theme="1"/>
      <name val="Times New Roman"/>
      <family val="1"/>
    </font>
    <font>
      <sz val="12"/>
      <color indexed="8"/>
      <name val="Times New Roman"/>
      <family val="1"/>
    </font>
    <font>
      <sz val="11"/>
      <name val="Arial"/>
      <family val="2"/>
    </font>
    <font>
      <sz val="11"/>
      <color theme="1"/>
      <name val="Calibri"/>
      <family val="2"/>
      <charset val="1"/>
      <scheme val="minor"/>
    </font>
    <font>
      <sz val="10"/>
      <color theme="1"/>
      <name val="Times New Roman"/>
      <family val="1"/>
    </font>
    <font>
      <b/>
      <sz val="9"/>
      <color theme="1"/>
      <name val="Times New Roman"/>
      <family val="1"/>
    </font>
    <font>
      <b/>
      <sz val="9"/>
      <color indexed="8"/>
      <name val="Times New Roman"/>
      <family val="1"/>
    </font>
    <font>
      <b/>
      <sz val="10"/>
      <name val="Times New Roman"/>
      <family val="1"/>
    </font>
    <font>
      <b/>
      <sz val="11"/>
      <color theme="1"/>
      <name val="Calibri"/>
      <family val="2"/>
      <scheme val="minor"/>
    </font>
    <font>
      <b/>
      <sz val="10"/>
      <color indexed="8"/>
      <name val="Times New Roman"/>
      <family val="1"/>
    </font>
    <font>
      <b/>
      <sz val="11"/>
      <color theme="1"/>
      <name val="Times New Roman"/>
      <family val="1"/>
    </font>
    <font>
      <sz val="11"/>
      <color rgb="FF000000"/>
      <name val="Times New Roman"/>
      <family val="1"/>
    </font>
    <font>
      <b/>
      <sz val="9"/>
      <color rgb="FF000000"/>
      <name val="Times New Roman"/>
      <family val="1"/>
    </font>
    <font>
      <b/>
      <sz val="18"/>
      <color theme="1"/>
      <name val="Bookman Old Style"/>
      <family val="1"/>
    </font>
    <font>
      <sz val="12"/>
      <color theme="1"/>
      <name val="Bookman Old Style"/>
      <family val="1"/>
    </font>
    <font>
      <b/>
      <sz val="12"/>
      <color theme="1"/>
      <name val="Bookman Old Style"/>
      <family val="1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2"/>
      <name val="Bookman Old Style"/>
      <family val="1"/>
    </font>
    <font>
      <b/>
      <sz val="16"/>
      <color theme="1"/>
      <name val="Times New Roman"/>
      <family val="1"/>
    </font>
    <font>
      <b/>
      <sz val="24"/>
      <color theme="1"/>
      <name val="Times New Roman"/>
      <family val="1"/>
    </font>
    <font>
      <sz val="9"/>
      <color theme="1"/>
      <name val="Bookman Old Style"/>
      <family val="1"/>
    </font>
    <font>
      <sz val="9"/>
      <name val="Bookman Old Style"/>
      <family val="1"/>
    </font>
    <font>
      <sz val="10"/>
      <color theme="1"/>
      <name val="Bookman Old Style"/>
      <family val="1"/>
    </font>
    <font>
      <sz val="11"/>
      <color indexed="8"/>
      <name val="Times New Roman"/>
      <family val="1"/>
    </font>
    <font>
      <b/>
      <sz val="11"/>
      <name val="Times New Roman"/>
      <family val="1"/>
    </font>
    <font>
      <sz val="11"/>
      <color theme="1" tint="4.9989318521683403E-2"/>
      <name val="Times New Roman"/>
      <family val="1"/>
    </font>
    <font>
      <sz val="11"/>
      <color indexed="8"/>
      <name val="Calibri"/>
      <family val="2"/>
      <scheme val="minor"/>
    </font>
    <font>
      <b/>
      <sz val="11"/>
      <color indexed="8"/>
      <name val="Times New Roman"/>
      <family val="1"/>
    </font>
    <font>
      <sz val="11"/>
      <name val="Arial Narrow"/>
      <family val="2"/>
    </font>
    <font>
      <sz val="9"/>
      <color theme="1"/>
      <name val="Calibri"/>
      <family val="2"/>
      <scheme val="minor"/>
    </font>
    <font>
      <sz val="10"/>
      <color indexed="8"/>
      <name val="Calibri"/>
      <family val="2"/>
    </font>
    <font>
      <sz val="8"/>
      <color indexed="8"/>
      <name val="Calibri"/>
      <family val="2"/>
    </font>
    <font>
      <i/>
      <sz val="9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5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6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9" fillId="0" borderId="0"/>
    <xf numFmtId="0" fontId="9" fillId="0" borderId="0"/>
    <xf numFmtId="0" fontId="19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20" fillId="0" borderId="0"/>
    <xf numFmtId="166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43" fontId="4" fillId="0" borderId="0" applyFont="0" applyFill="0" applyBorder="0" applyAlignment="0" applyProtection="0"/>
    <xf numFmtId="41" fontId="4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41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2168">
    <xf numFmtId="0" fontId="0" fillId="0" borderId="0" xfId="0"/>
    <xf numFmtId="0" fontId="3" fillId="0" borderId="0" xfId="0" applyFont="1" applyAlignment="1">
      <alignment vertical="center"/>
    </xf>
    <xf numFmtId="0" fontId="3" fillId="0" borderId="2" xfId="0" applyFont="1" applyBorder="1" applyAlignment="1">
      <alignment horizontal="left" vertical="center"/>
    </xf>
    <xf numFmtId="0" fontId="3" fillId="0" borderId="0" xfId="0" applyFont="1" applyAlignment="1">
      <alignment wrapText="1"/>
    </xf>
    <xf numFmtId="0" fontId="3" fillId="0" borderId="2" xfId="0" applyFont="1" applyBorder="1" applyAlignment="1">
      <alignment wrapText="1"/>
    </xf>
    <xf numFmtId="0" fontId="3" fillId="0" borderId="0" xfId="0" applyFont="1"/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43" fontId="3" fillId="0" borderId="0" xfId="2" applyFont="1" applyFill="1"/>
    <xf numFmtId="166" fontId="3" fillId="0" borderId="0" xfId="1" applyFont="1" applyFill="1" applyAlignment="1">
      <alignment vertical="center"/>
    </xf>
    <xf numFmtId="166" fontId="3" fillId="0" borderId="0" xfId="1" applyFont="1" applyFill="1" applyAlignment="1">
      <alignment vertical="top"/>
    </xf>
    <xf numFmtId="43" fontId="3" fillId="0" borderId="2" xfId="2" applyFont="1" applyFill="1" applyBorder="1" applyAlignment="1">
      <alignment horizontal="center" vertical="center" wrapText="1"/>
    </xf>
    <xf numFmtId="4" fontId="3" fillId="0" borderId="2" xfId="0" applyNumberFormat="1" applyFont="1" applyBorder="1"/>
    <xf numFmtId="43" fontId="3" fillId="0" borderId="0" xfId="2" applyFont="1" applyFill="1" applyAlignment="1"/>
    <xf numFmtId="43" fontId="5" fillId="0" borderId="0" xfId="2" applyFont="1" applyFill="1" applyAlignment="1"/>
    <xf numFmtId="43" fontId="3" fillId="0" borderId="0" xfId="2" applyFont="1" applyFill="1" applyAlignment="1">
      <alignment vertical="top"/>
    </xf>
    <xf numFmtId="0" fontId="3" fillId="0" borderId="2" xfId="0" applyFont="1" applyBorder="1"/>
    <xf numFmtId="0" fontId="3" fillId="0" borderId="0" xfId="0" applyFont="1" applyAlignment="1">
      <alignment horizontal="left"/>
    </xf>
    <xf numFmtId="0" fontId="2" fillId="0" borderId="2" xfId="2" applyNumberFormat="1" applyFont="1" applyFill="1" applyBorder="1" applyAlignment="1">
      <alignment horizontal="center" vertical="center"/>
    </xf>
    <xf numFmtId="43" fontId="6" fillId="0" borderId="0" xfId="2" applyFont="1" applyFill="1" applyAlignment="1"/>
    <xf numFmtId="0" fontId="2" fillId="0" borderId="2" xfId="0" applyFont="1" applyBorder="1"/>
    <xf numFmtId="166" fontId="3" fillId="0" borderId="2" xfId="1" applyFont="1" applyFill="1" applyBorder="1"/>
    <xf numFmtId="43" fontId="3" fillId="0" borderId="2" xfId="2" applyFont="1" applyFill="1" applyBorder="1"/>
    <xf numFmtId="166" fontId="3" fillId="0" borderId="0" xfId="1" applyFont="1" applyFill="1"/>
    <xf numFmtId="43" fontId="3" fillId="0" borderId="7" xfId="2" applyFont="1" applyFill="1" applyBorder="1"/>
    <xf numFmtId="0" fontId="3" fillId="0" borderId="7" xfId="0" applyFont="1" applyBorder="1" applyAlignment="1">
      <alignment horizontal="center"/>
    </xf>
    <xf numFmtId="43" fontId="3" fillId="0" borderId="7" xfId="2" applyFont="1" applyFill="1" applyBorder="1" applyAlignment="1">
      <alignment horizontal="center"/>
    </xf>
    <xf numFmtId="43" fontId="3" fillId="0" borderId="2" xfId="2" applyFont="1" applyFill="1" applyBorder="1" applyAlignment="1">
      <alignment horizontal="center"/>
    </xf>
    <xf numFmtId="43" fontId="3" fillId="0" borderId="7" xfId="2" applyFont="1" applyFill="1" applyBorder="1" applyAlignment="1">
      <alignment vertical="center"/>
    </xf>
    <xf numFmtId="43" fontId="3" fillId="0" borderId="7" xfId="2" applyFont="1" applyFill="1" applyBorder="1" applyAlignment="1">
      <alignment horizontal="center" vertical="center"/>
    </xf>
    <xf numFmtId="43" fontId="3" fillId="0" borderId="2" xfId="2" applyFont="1" applyFill="1" applyBorder="1" applyAlignment="1">
      <alignment horizontal="center" vertical="center"/>
    </xf>
    <xf numFmtId="43" fontId="3" fillId="0" borderId="2" xfId="2" applyFont="1" applyFill="1" applyBorder="1" applyAlignment="1"/>
    <xf numFmtId="0" fontId="0" fillId="0" borderId="2" xfId="0" applyBorder="1"/>
    <xf numFmtId="0" fontId="3" fillId="0" borderId="2" xfId="2" applyNumberFormat="1" applyFont="1" applyFill="1" applyBorder="1" applyAlignment="1">
      <alignment horizontal="center" vertical="center" wrapText="1"/>
    </xf>
    <xf numFmtId="43" fontId="8" fillId="0" borderId="2" xfId="2" applyFont="1" applyFill="1" applyBorder="1"/>
    <xf numFmtId="43" fontId="8" fillId="0" borderId="2" xfId="2" applyFont="1" applyFill="1" applyBorder="1" applyAlignment="1"/>
    <xf numFmtId="43" fontId="8" fillId="0" borderId="2" xfId="2" applyFont="1" applyFill="1" applyBorder="1" applyAlignment="1">
      <alignment horizontal="center" vertical="center"/>
    </xf>
    <xf numFmtId="43" fontId="8" fillId="0" borderId="2" xfId="2" applyFont="1" applyFill="1" applyBorder="1" applyAlignment="1">
      <alignment horizontal="center"/>
    </xf>
    <xf numFmtId="166" fontId="8" fillId="0" borderId="9" xfId="1" applyFont="1" applyFill="1" applyBorder="1"/>
    <xf numFmtId="0" fontId="2" fillId="3" borderId="0" xfId="0" applyFont="1" applyFill="1" applyAlignment="1">
      <alignment horizontal="center"/>
    </xf>
    <xf numFmtId="0" fontId="3" fillId="3" borderId="2" xfId="0" applyFont="1" applyFill="1" applyBorder="1"/>
    <xf numFmtId="0" fontId="3" fillId="3" borderId="4" xfId="0" applyFont="1" applyFill="1" applyBorder="1" applyAlignment="1">
      <alignment horizontal="center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43" fontId="2" fillId="0" borderId="2" xfId="2" applyFont="1" applyFill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4" fontId="12" fillId="0" borderId="2" xfId="0" applyNumberFormat="1" applyFont="1" applyBorder="1" applyAlignment="1">
      <alignment vertical="center"/>
    </xf>
    <xf numFmtId="0" fontId="2" fillId="3" borderId="2" xfId="0" applyFont="1" applyFill="1" applyBorder="1" applyAlignment="1">
      <alignment horizontal="left" vertical="center"/>
    </xf>
    <xf numFmtId="4" fontId="3" fillId="3" borderId="9" xfId="0" applyNumberFormat="1" applyFont="1" applyFill="1" applyBorder="1"/>
    <xf numFmtId="43" fontId="2" fillId="3" borderId="2" xfId="0" applyNumberFormat="1" applyFont="1" applyFill="1" applyBorder="1"/>
    <xf numFmtId="43" fontId="3" fillId="0" borderId="3" xfId="2" applyFont="1" applyFill="1" applyBorder="1" applyAlignment="1">
      <alignment horizontal="center"/>
    </xf>
    <xf numFmtId="43" fontId="3" fillId="0" borderId="2" xfId="2" applyFont="1" applyFill="1" applyBorder="1" applyAlignment="1">
      <alignment wrapText="1"/>
    </xf>
    <xf numFmtId="43" fontId="3" fillId="0" borderId="4" xfId="2" applyFont="1" applyFill="1" applyBorder="1" applyAlignment="1">
      <alignment horizontal="center"/>
    </xf>
    <xf numFmtId="0" fontId="3" fillId="0" borderId="2" xfId="2" applyNumberFormat="1" applyFont="1" applyFill="1" applyBorder="1" applyAlignment="1">
      <alignment horizontal="center" vertical="center"/>
    </xf>
    <xf numFmtId="43" fontId="3" fillId="0" borderId="4" xfId="2" applyFont="1" applyFill="1" applyBorder="1" applyAlignment="1"/>
    <xf numFmtId="166" fontId="0" fillId="0" borderId="0" xfId="1" applyFont="1" applyFill="1"/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4" fontId="3" fillId="3" borderId="2" xfId="0" applyNumberFormat="1" applyFont="1" applyFill="1" applyBorder="1"/>
    <xf numFmtId="0" fontId="3" fillId="3" borderId="2" xfId="0" applyFont="1" applyFill="1" applyBorder="1" applyAlignment="1">
      <alignment wrapText="1"/>
    </xf>
    <xf numFmtId="0" fontId="2" fillId="3" borderId="0" xfId="0" applyFont="1" applyFill="1"/>
    <xf numFmtId="0" fontId="2" fillId="3" borderId="0" xfId="0" applyFont="1" applyFill="1" applyAlignment="1">
      <alignment wrapText="1"/>
    </xf>
    <xf numFmtId="0" fontId="2" fillId="3" borderId="0" xfId="0" applyFont="1" applyFill="1" applyAlignment="1">
      <alignment horizontal="left"/>
    </xf>
    <xf numFmtId="0" fontId="2" fillId="3" borderId="2" xfId="0" applyFont="1" applyFill="1" applyBorder="1" applyAlignment="1">
      <alignment horizontal="center" vertical="center"/>
    </xf>
    <xf numFmtId="0" fontId="2" fillId="3" borderId="2" xfId="0" applyFont="1" applyFill="1" applyBorder="1"/>
    <xf numFmtId="0" fontId="0" fillId="0" borderId="2" xfId="0" applyBorder="1" applyAlignment="1">
      <alignment wrapText="1"/>
    </xf>
    <xf numFmtId="43" fontId="3" fillId="0" borderId="0" xfId="2" applyFont="1" applyFill="1" applyAlignment="1">
      <alignment vertical="center"/>
    </xf>
    <xf numFmtId="0" fontId="2" fillId="0" borderId="0" xfId="0" applyFont="1" applyAlignment="1">
      <alignment horizontal="left"/>
    </xf>
    <xf numFmtId="166" fontId="2" fillId="0" borderId="0" xfId="1" applyFont="1" applyFill="1"/>
    <xf numFmtId="0" fontId="3" fillId="0" borderId="2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vertical="top" wrapText="1"/>
    </xf>
    <xf numFmtId="43" fontId="3" fillId="0" borderId="0" xfId="2" applyFont="1" applyFill="1" applyAlignment="1">
      <alignment vertical="center" wrapText="1"/>
    </xf>
    <xf numFmtId="0" fontId="2" fillId="0" borderId="2" xfId="1" applyNumberFormat="1" applyFont="1" applyFill="1" applyBorder="1" applyAlignment="1">
      <alignment horizontal="center" vertical="center"/>
    </xf>
    <xf numFmtId="43" fontId="2" fillId="0" borderId="4" xfId="0" applyNumberFormat="1" applyFont="1" applyBorder="1"/>
    <xf numFmtId="166" fontId="2" fillId="0" borderId="9" xfId="1" applyFont="1" applyFill="1" applyBorder="1"/>
    <xf numFmtId="43" fontId="2" fillId="0" borderId="0" xfId="2" applyFont="1" applyFill="1"/>
    <xf numFmtId="0" fontId="2" fillId="0" borderId="0" xfId="0" applyFont="1" applyAlignment="1">
      <alignment horizontal="left" wrapText="1"/>
    </xf>
    <xf numFmtId="43" fontId="2" fillId="0" borderId="2" xfId="2" applyFont="1" applyFill="1" applyBorder="1" applyAlignment="1">
      <alignment horizontal="center" vertical="center" wrapText="1"/>
    </xf>
    <xf numFmtId="43" fontId="2" fillId="0" borderId="9" xfId="2" applyFont="1" applyFill="1" applyBorder="1"/>
    <xf numFmtId="166" fontId="3" fillId="0" borderId="2" xfId="1" applyFont="1" applyFill="1" applyBorder="1" applyAlignment="1">
      <alignment horizontal="center" vertical="center" wrapText="1"/>
    </xf>
    <xf numFmtId="43" fontId="3" fillId="0" borderId="9" xfId="2" applyFont="1" applyFill="1" applyBorder="1"/>
    <xf numFmtId="166" fontId="3" fillId="0" borderId="9" xfId="1" applyFont="1" applyFill="1" applyBorder="1"/>
    <xf numFmtId="166" fontId="3" fillId="0" borderId="2" xfId="1" applyFont="1" applyFill="1" applyBorder="1" applyAlignment="1">
      <alignment horizontal="right"/>
    </xf>
    <xf numFmtId="4" fontId="3" fillId="0" borderId="2" xfId="2" applyNumberFormat="1" applyFont="1" applyFill="1" applyBorder="1"/>
    <xf numFmtId="166" fontId="3" fillId="0" borderId="2" xfId="1" applyFont="1" applyFill="1" applyBorder="1" applyAlignment="1">
      <alignment wrapText="1"/>
    </xf>
    <xf numFmtId="0" fontId="0" fillId="0" borderId="0" xfId="0" applyAlignment="1">
      <alignment wrapText="1"/>
    </xf>
    <xf numFmtId="0" fontId="2" fillId="3" borderId="2" xfId="0" applyFont="1" applyFill="1" applyBorder="1" applyAlignment="1">
      <alignment wrapText="1"/>
    </xf>
    <xf numFmtId="43" fontId="2" fillId="3" borderId="2" xfId="0" applyNumberFormat="1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left"/>
    </xf>
    <xf numFmtId="0" fontId="3" fillId="3" borderId="6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/>
    </xf>
    <xf numFmtId="166" fontId="3" fillId="0" borderId="2" xfId="10" applyFont="1" applyFill="1" applyBorder="1"/>
    <xf numFmtId="166" fontId="2" fillId="3" borderId="2" xfId="10" applyFont="1" applyFill="1" applyBorder="1" applyAlignment="1">
      <alignment horizontal="center" vertical="center" wrapText="1"/>
    </xf>
    <xf numFmtId="0" fontId="2" fillId="3" borderId="2" xfId="10" applyNumberFormat="1" applyFont="1" applyFill="1" applyBorder="1" applyAlignment="1">
      <alignment horizontal="center" vertical="center"/>
    </xf>
    <xf numFmtId="166" fontId="3" fillId="0" borderId="0" xfId="10" applyFont="1" applyFill="1"/>
    <xf numFmtId="166" fontId="3" fillId="0" borderId="0" xfId="10" applyFont="1" applyFill="1" applyAlignment="1">
      <alignment vertical="center"/>
    </xf>
    <xf numFmtId="166" fontId="2" fillId="0" borderId="2" xfId="10" applyFont="1" applyFill="1" applyBorder="1" applyAlignment="1">
      <alignment horizontal="center" vertical="center"/>
    </xf>
    <xf numFmtId="166" fontId="3" fillId="0" borderId="2" xfId="10" applyFont="1" applyFill="1" applyBorder="1" applyAlignment="1">
      <alignment horizontal="center" vertical="center"/>
    </xf>
    <xf numFmtId="0" fontId="2" fillId="0" borderId="3" xfId="2" applyNumberFormat="1" applyFont="1" applyFill="1" applyBorder="1" applyAlignment="1">
      <alignment horizontal="center" vertical="center"/>
    </xf>
    <xf numFmtId="4" fontId="2" fillId="0" borderId="3" xfId="2" applyNumberFormat="1" applyFont="1" applyFill="1" applyBorder="1" applyAlignment="1">
      <alignment horizontal="center" vertical="center"/>
    </xf>
    <xf numFmtId="43" fontId="3" fillId="0" borderId="0" xfId="2" applyFont="1" applyFill="1" applyAlignment="1">
      <alignment vertical="top" wrapText="1"/>
    </xf>
    <xf numFmtId="4" fontId="3" fillId="0" borderId="9" xfId="0" applyNumberFormat="1" applyFont="1" applyBorder="1"/>
    <xf numFmtId="43" fontId="12" fillId="2" borderId="2" xfId="0" applyNumberFormat="1" applyFont="1" applyFill="1" applyBorder="1"/>
    <xf numFmtId="166" fontId="12" fillId="0" borderId="2" xfId="1" applyFont="1" applyFill="1" applyBorder="1"/>
    <xf numFmtId="166" fontId="6" fillId="0" borderId="0" xfId="1" applyFont="1" applyFill="1" applyAlignment="1">
      <alignment horizontal="right" vertical="center"/>
    </xf>
    <xf numFmtId="43" fontId="15" fillId="0" borderId="2" xfId="2" applyFont="1" applyFill="1" applyBorder="1" applyAlignment="1">
      <alignment horizontal="center" vertical="center" wrapText="1"/>
    </xf>
    <xf numFmtId="43" fontId="15" fillId="0" borderId="0" xfId="2" applyFont="1" applyFill="1" applyAlignment="1">
      <alignment vertical="center"/>
    </xf>
    <xf numFmtId="43" fontId="15" fillId="0" borderId="0" xfId="2" applyFont="1" applyFill="1"/>
    <xf numFmtId="0" fontId="31" fillId="0" borderId="0" xfId="0" applyFont="1" applyAlignment="1">
      <alignment horizontal="center" vertical="center"/>
    </xf>
    <xf numFmtId="0" fontId="31" fillId="0" borderId="0" xfId="0" applyFont="1"/>
    <xf numFmtId="0" fontId="31" fillId="0" borderId="0" xfId="0" applyFont="1" applyAlignment="1">
      <alignment wrapText="1"/>
    </xf>
    <xf numFmtId="0" fontId="31" fillId="0" borderId="0" xfId="0" applyFont="1" applyAlignment="1">
      <alignment vertical="center"/>
    </xf>
    <xf numFmtId="0" fontId="31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1" fillId="0" borderId="2" xfId="0" applyFont="1" applyBorder="1"/>
    <xf numFmtId="0" fontId="31" fillId="0" borderId="2" xfId="0" applyFont="1" applyBorder="1" applyAlignment="1">
      <alignment horizontal="center"/>
    </xf>
    <xf numFmtId="0" fontId="31" fillId="0" borderId="2" xfId="0" applyFont="1" applyBorder="1" applyAlignment="1">
      <alignment horizontal="center" wrapText="1"/>
    </xf>
    <xf numFmtId="0" fontId="31" fillId="0" borderId="2" xfId="0" applyFont="1" applyBorder="1" applyAlignment="1">
      <alignment vertical="center"/>
    </xf>
    <xf numFmtId="0" fontId="31" fillId="0" borderId="2" xfId="0" applyFont="1" applyBorder="1" applyAlignment="1">
      <alignment vertical="center" wrapText="1"/>
    </xf>
    <xf numFmtId="0" fontId="31" fillId="0" borderId="2" xfId="0" applyFont="1" applyBorder="1" applyAlignment="1">
      <alignment wrapText="1"/>
    </xf>
    <xf numFmtId="167" fontId="3" fillId="0" borderId="4" xfId="2" applyNumberFormat="1" applyFont="1" applyFill="1" applyBorder="1" applyAlignment="1">
      <alignment horizontal="center"/>
    </xf>
    <xf numFmtId="0" fontId="17" fillId="0" borderId="2" xfId="0" applyFont="1" applyBorder="1" applyAlignment="1">
      <alignment wrapText="1"/>
    </xf>
    <xf numFmtId="0" fontId="17" fillId="0" borderId="2" xfId="0" applyFont="1" applyBorder="1" applyAlignment="1">
      <alignment vertical="center" wrapText="1"/>
    </xf>
    <xf numFmtId="0" fontId="17" fillId="0" borderId="2" xfId="0" applyFont="1" applyBorder="1" applyAlignment="1">
      <alignment horizontal="center" vertical="center"/>
    </xf>
    <xf numFmtId="0" fontId="17" fillId="0" borderId="2" xfId="0" applyFont="1" applyBorder="1" applyAlignment="1">
      <alignment vertical="center"/>
    </xf>
    <xf numFmtId="4" fontId="17" fillId="0" borderId="2" xfId="0" applyNumberFormat="1" applyFont="1" applyBorder="1" applyAlignment="1">
      <alignment horizontal="left" vertical="center" wrapText="1"/>
    </xf>
    <xf numFmtId="0" fontId="17" fillId="0" borderId="9" xfId="0" applyFont="1" applyBorder="1" applyAlignment="1">
      <alignment horizontal="center" vertical="center"/>
    </xf>
    <xf numFmtId="166" fontId="17" fillId="0" borderId="9" xfId="1" applyFont="1" applyBorder="1" applyAlignment="1">
      <alignment vertical="center"/>
    </xf>
    <xf numFmtId="166" fontId="17" fillId="0" borderId="2" xfId="1" applyFont="1" applyBorder="1" applyAlignment="1">
      <alignment vertical="center"/>
    </xf>
    <xf numFmtId="0" fontId="17" fillId="0" borderId="9" xfId="0" applyFont="1" applyBorder="1" applyAlignment="1">
      <alignment horizontal="left" vertical="center"/>
    </xf>
    <xf numFmtId="0" fontId="17" fillId="0" borderId="9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 wrapText="1"/>
    </xf>
    <xf numFmtId="0" fontId="17" fillId="0" borderId="2" xfId="0" applyFont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12" fillId="0" borderId="2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3" fillId="0" borderId="0" xfId="0" applyFont="1" applyAlignment="1">
      <alignment horizontal="left" vertical="center"/>
    </xf>
    <xf numFmtId="0" fontId="3" fillId="0" borderId="9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3" fillId="0" borderId="3" xfId="0" applyFont="1" applyBorder="1" applyAlignment="1">
      <alignment horizontal="left" vertical="center"/>
    </xf>
    <xf numFmtId="0" fontId="15" fillId="0" borderId="3" xfId="0" applyFont="1" applyBorder="1" applyAlignment="1">
      <alignment horizontal="left" vertical="center" wrapText="1"/>
    </xf>
    <xf numFmtId="0" fontId="15" fillId="0" borderId="2" xfId="0" applyFont="1" applyBorder="1" applyAlignment="1">
      <alignment wrapText="1"/>
    </xf>
    <xf numFmtId="0" fontId="15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center"/>
    </xf>
    <xf numFmtId="0" fontId="3" fillId="0" borderId="2" xfId="0" applyFont="1" applyBorder="1" applyAlignment="1">
      <alignment horizontal="left" vertical="center" wrapText="1"/>
    </xf>
    <xf numFmtId="0" fontId="15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horizontal="right"/>
    </xf>
    <xf numFmtId="43" fontId="3" fillId="0" borderId="2" xfId="0" applyNumberFormat="1" applyFont="1" applyBorder="1" applyAlignment="1">
      <alignment horizontal="center"/>
    </xf>
    <xf numFmtId="0" fontId="3" fillId="0" borderId="2" xfId="3" applyFont="1" applyBorder="1" applyAlignment="1">
      <alignment horizontal="left" vertical="center" wrapText="1"/>
    </xf>
    <xf numFmtId="4" fontId="3" fillId="0" borderId="2" xfId="3" applyNumberFormat="1" applyFont="1" applyBorder="1" applyAlignment="1">
      <alignment horizontal="right" vertical="center" wrapText="1"/>
    </xf>
    <xf numFmtId="0" fontId="3" fillId="0" borderId="2" xfId="0" quotePrefix="1" applyFont="1" applyBorder="1" applyAlignment="1">
      <alignment wrapText="1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horizontal="center" wrapText="1"/>
    </xf>
    <xf numFmtId="0" fontId="2" fillId="0" borderId="0" xfId="0" applyFont="1"/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 wrapText="1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1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11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0" fontId="3" fillId="0" borderId="7" xfId="0" applyFont="1" applyBorder="1"/>
    <xf numFmtId="43" fontId="0" fillId="0" borderId="2" xfId="0" applyNumberFormat="1" applyBorder="1"/>
    <xf numFmtId="43" fontId="0" fillId="0" borderId="0" xfId="0" applyNumberFormat="1"/>
    <xf numFmtId="0" fontId="2" fillId="0" borderId="2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 vertical="center"/>
    </xf>
    <xf numFmtId="0" fontId="2" fillId="0" borderId="2" xfId="0" applyFont="1" applyBorder="1" applyAlignment="1">
      <alignment wrapText="1"/>
    </xf>
    <xf numFmtId="0" fontId="3" fillId="0" borderId="3" xfId="0" applyFont="1" applyBorder="1" applyAlignment="1">
      <alignment horizontal="left"/>
    </xf>
    <xf numFmtId="43" fontId="2" fillId="0" borderId="2" xfId="0" applyNumberFormat="1" applyFont="1" applyBorder="1" applyAlignment="1">
      <alignment horizontal="center" vertical="center"/>
    </xf>
    <xf numFmtId="0" fontId="3" fillId="0" borderId="6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/>
    </xf>
    <xf numFmtId="0" fontId="2" fillId="0" borderId="4" xfId="0" applyFont="1" applyBorder="1"/>
    <xf numFmtId="0" fontId="2" fillId="0" borderId="7" xfId="0" applyFont="1" applyBorder="1"/>
    <xf numFmtId="0" fontId="3" fillId="0" borderId="2" xfId="0" applyFont="1" applyBorder="1" applyAlignment="1">
      <alignment horizontal="left"/>
    </xf>
    <xf numFmtId="43" fontId="2" fillId="0" borderId="2" xfId="0" applyNumberFormat="1" applyFont="1" applyBorder="1"/>
    <xf numFmtId="4" fontId="3" fillId="0" borderId="7" xfId="0" applyNumberFormat="1" applyFont="1" applyBorder="1"/>
    <xf numFmtId="43" fontId="3" fillId="0" borderId="2" xfId="0" applyNumberFormat="1" applyFont="1" applyBorder="1"/>
    <xf numFmtId="43" fontId="2" fillId="0" borderId="2" xfId="0" applyNumberFormat="1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2" xfId="0" applyFont="1" applyBorder="1" applyAlignment="1">
      <alignment wrapText="1"/>
    </xf>
    <xf numFmtId="0" fontId="12" fillId="0" borderId="4" xfId="0" applyFont="1" applyBorder="1"/>
    <xf numFmtId="0" fontId="12" fillId="0" borderId="7" xfId="0" applyFont="1" applyBorder="1" applyAlignment="1">
      <alignment horizontal="left"/>
    </xf>
    <xf numFmtId="43" fontId="12" fillId="0" borderId="2" xfId="0" applyNumberFormat="1" applyFont="1" applyBorder="1"/>
    <xf numFmtId="0" fontId="12" fillId="0" borderId="2" xfId="0" applyFont="1" applyBorder="1"/>
    <xf numFmtId="166" fontId="2" fillId="0" borderId="2" xfId="10" applyFont="1" applyFill="1" applyBorder="1" applyAlignment="1">
      <alignment horizontal="center" vertical="center" wrapText="1"/>
    </xf>
    <xf numFmtId="0" fontId="2" fillId="0" borderId="2" xfId="1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horizontal="left" vertical="top"/>
    </xf>
    <xf numFmtId="0" fontId="3" fillId="0" borderId="7" xfId="0" applyFont="1" applyBorder="1" applyAlignment="1">
      <alignment horizontal="left" vertical="center"/>
    </xf>
    <xf numFmtId="0" fontId="2" fillId="0" borderId="7" xfId="0" applyFont="1" applyBorder="1" applyAlignment="1">
      <alignment horizontal="left"/>
    </xf>
    <xf numFmtId="0" fontId="2" fillId="0" borderId="4" xfId="0" applyFont="1" applyBorder="1" applyAlignment="1">
      <alignment wrapText="1"/>
    </xf>
    <xf numFmtId="0" fontId="2" fillId="0" borderId="7" xfId="0" applyFont="1" applyBorder="1" applyAlignment="1">
      <alignment wrapText="1"/>
    </xf>
    <xf numFmtId="0" fontId="2" fillId="0" borderId="3" xfId="0" applyFont="1" applyBorder="1"/>
    <xf numFmtId="0" fontId="3" fillId="0" borderId="3" xfId="0" applyFont="1" applyBorder="1"/>
    <xf numFmtId="0" fontId="3" fillId="0" borderId="6" xfId="0" applyFont="1" applyBorder="1" applyAlignment="1">
      <alignment horizontal="center"/>
    </xf>
    <xf numFmtId="0" fontId="3" fillId="0" borderId="8" xfId="0" applyFont="1" applyBorder="1" applyAlignment="1">
      <alignment horizontal="left"/>
    </xf>
    <xf numFmtId="4" fontId="3" fillId="0" borderId="3" xfId="0" applyNumberFormat="1" applyFont="1" applyBorder="1"/>
    <xf numFmtId="43" fontId="2" fillId="0" borderId="3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/>
    </xf>
    <xf numFmtId="0" fontId="12" fillId="0" borderId="7" xfId="0" applyFont="1" applyBorder="1" applyAlignment="1">
      <alignment horizontal="center"/>
    </xf>
    <xf numFmtId="0" fontId="21" fillId="0" borderId="4" xfId="0" applyFont="1" applyBorder="1" applyAlignment="1">
      <alignment wrapText="1"/>
    </xf>
    <xf numFmtId="0" fontId="21" fillId="0" borderId="7" xfId="0" applyFont="1" applyBorder="1" applyAlignment="1">
      <alignment wrapText="1"/>
    </xf>
    <xf numFmtId="0" fontId="21" fillId="0" borderId="2" xfId="0" applyFont="1" applyBorder="1" applyAlignment="1">
      <alignment wrapText="1"/>
    </xf>
    <xf numFmtId="43" fontId="12" fillId="0" borderId="4" xfId="0" applyNumberFormat="1" applyFont="1" applyBorder="1"/>
    <xf numFmtId="0" fontId="3" fillId="0" borderId="7" xfId="0" applyFont="1" applyBorder="1" applyAlignment="1">
      <alignment wrapText="1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left"/>
    </xf>
    <xf numFmtId="43" fontId="12" fillId="0" borderId="10" xfId="0" applyNumberFormat="1" applyFont="1" applyBorder="1"/>
    <xf numFmtId="0" fontId="12" fillId="0" borderId="2" xfId="0" applyFont="1" applyBorder="1" applyAlignment="1">
      <alignment horizontal="left" vertical="center" wrapText="1"/>
    </xf>
    <xf numFmtId="43" fontId="12" fillId="0" borderId="0" xfId="0" applyNumberFormat="1" applyFont="1"/>
    <xf numFmtId="0" fontId="12" fillId="0" borderId="0" xfId="0" applyFont="1"/>
    <xf numFmtId="0" fontId="12" fillId="0" borderId="11" xfId="0" applyFont="1" applyBorder="1" applyAlignment="1">
      <alignment wrapText="1"/>
    </xf>
    <xf numFmtId="0" fontId="12" fillId="0" borderId="10" xfId="0" applyFont="1" applyBorder="1"/>
    <xf numFmtId="0" fontId="12" fillId="0" borderId="11" xfId="0" applyFont="1" applyBorder="1" applyAlignment="1">
      <alignment horizontal="left"/>
    </xf>
    <xf numFmtId="0" fontId="2" fillId="0" borderId="0" xfId="0" applyFont="1" applyAlignment="1">
      <alignment vertical="center"/>
    </xf>
    <xf numFmtId="0" fontId="2" fillId="0" borderId="3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2" fillId="0" borderId="3" xfId="0" applyFont="1" applyBorder="1" applyAlignment="1">
      <alignment horizontal="left" vertical="center"/>
    </xf>
    <xf numFmtId="4" fontId="2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/>
    </xf>
    <xf numFmtId="0" fontId="3" fillId="0" borderId="4" xfId="0" applyFont="1" applyBorder="1"/>
    <xf numFmtId="0" fontId="3" fillId="0" borderId="4" xfId="0" applyFont="1" applyBorder="1" applyAlignment="1">
      <alignment wrapText="1"/>
    </xf>
    <xf numFmtId="4" fontId="3" fillId="0" borderId="4" xfId="0" applyNumberFormat="1" applyFont="1" applyBorder="1"/>
    <xf numFmtId="0" fontId="3" fillId="0" borderId="4" xfId="0" applyFont="1" applyBorder="1" applyAlignment="1">
      <alignment horizontal="right"/>
    </xf>
    <xf numFmtId="0" fontId="7" fillId="0" borderId="0" xfId="0" applyFont="1"/>
    <xf numFmtId="0" fontId="7" fillId="0" borderId="2" xfId="0" applyFont="1" applyBorder="1"/>
    <xf numFmtId="0" fontId="3" fillId="0" borderId="9" xfId="0" applyFont="1" applyBorder="1" applyAlignment="1">
      <alignment wrapText="1"/>
    </xf>
    <xf numFmtId="0" fontId="3" fillId="0" borderId="10" xfId="0" applyFont="1" applyBorder="1"/>
    <xf numFmtId="0" fontId="2" fillId="0" borderId="0" xfId="0" applyFont="1" applyAlignment="1">
      <alignment horizontal="left" vertical="center"/>
    </xf>
    <xf numFmtId="0" fontId="12" fillId="0" borderId="2" xfId="0" applyFont="1" applyBorder="1" applyAlignment="1">
      <alignment horizontal="left"/>
    </xf>
    <xf numFmtId="0" fontId="22" fillId="0" borderId="2" xfId="0" applyFont="1" applyBorder="1" applyAlignment="1">
      <alignment wrapText="1"/>
    </xf>
    <xf numFmtId="0" fontId="15" fillId="0" borderId="2" xfId="0" applyFont="1" applyBorder="1"/>
    <xf numFmtId="0" fontId="12" fillId="0" borderId="9" xfId="0" applyFont="1" applyBorder="1"/>
    <xf numFmtId="0" fontId="12" fillId="0" borderId="9" xfId="0" applyFont="1" applyBorder="1" applyAlignment="1">
      <alignment wrapText="1"/>
    </xf>
    <xf numFmtId="0" fontId="12" fillId="0" borderId="9" xfId="0" applyFont="1" applyBorder="1" applyAlignment="1">
      <alignment horizontal="center"/>
    </xf>
    <xf numFmtId="0" fontId="0" fillId="0" borderId="9" xfId="0" applyBorder="1"/>
    <xf numFmtId="0" fontId="7" fillId="0" borderId="2" xfId="0" applyFont="1" applyBorder="1" applyAlignment="1">
      <alignment wrapText="1"/>
    </xf>
    <xf numFmtId="0" fontId="3" fillId="0" borderId="9" xfId="0" applyFont="1" applyBorder="1"/>
    <xf numFmtId="43" fontId="2" fillId="0" borderId="9" xfId="0" applyNumberFormat="1" applyFont="1" applyBorder="1"/>
    <xf numFmtId="0" fontId="2" fillId="0" borderId="0" xfId="0" applyFont="1" applyAlignment="1">
      <alignment horizontal="left" vertical="top" wrapText="1"/>
    </xf>
    <xf numFmtId="0" fontId="3" fillId="0" borderId="3" xfId="0" applyFont="1" applyBorder="1" applyAlignment="1">
      <alignment horizontal="center" vertical="center"/>
    </xf>
    <xf numFmtId="0" fontId="3" fillId="0" borderId="3" xfId="0" applyFont="1" applyBorder="1" applyAlignment="1">
      <alignment horizontal="left" vertical="center" wrapText="1"/>
    </xf>
    <xf numFmtId="43" fontId="3" fillId="0" borderId="4" xfId="0" applyNumberFormat="1" applyFont="1" applyBorder="1"/>
    <xf numFmtId="0" fontId="7" fillId="0" borderId="15" xfId="0" applyFont="1" applyBorder="1"/>
    <xf numFmtId="0" fontId="7" fillId="0" borderId="7" xfId="0" applyFont="1" applyBorder="1"/>
    <xf numFmtId="0" fontId="3" fillId="0" borderId="3" xfId="0" applyFont="1" applyBorder="1" applyAlignment="1">
      <alignment wrapText="1"/>
    </xf>
    <xf numFmtId="0" fontId="10" fillId="0" borderId="0" xfId="0" applyFont="1"/>
    <xf numFmtId="0" fontId="10" fillId="0" borderId="0" xfId="0" applyFont="1" applyAlignment="1">
      <alignment vertical="top" wrapText="1"/>
    </xf>
    <xf numFmtId="0" fontId="10" fillId="0" borderId="0" xfId="0" applyFont="1" applyAlignment="1">
      <alignment wrapText="1"/>
    </xf>
    <xf numFmtId="0" fontId="10" fillId="0" borderId="0" xfId="0" applyFont="1" applyAlignment="1">
      <alignment horizontal="left"/>
    </xf>
    <xf numFmtId="166" fontId="10" fillId="0" borderId="0" xfId="1" applyFont="1" applyFill="1"/>
    <xf numFmtId="0" fontId="0" fillId="0" borderId="2" xfId="0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3" fillId="0" borderId="2" xfId="0" applyFont="1" applyBorder="1" applyAlignment="1">
      <alignment vertical="center"/>
    </xf>
    <xf numFmtId="0" fontId="14" fillId="0" borderId="4" xfId="0" applyFont="1" applyBorder="1"/>
    <xf numFmtId="0" fontId="3" fillId="0" borderId="2" xfId="0" applyFont="1" applyBorder="1" applyAlignment="1">
      <alignment horizontal="left" wrapText="1"/>
    </xf>
    <xf numFmtId="0" fontId="3" fillId="0" borderId="2" xfId="0" applyFont="1" applyBorder="1" applyAlignment="1">
      <alignment horizontal="center" wrapText="1"/>
    </xf>
    <xf numFmtId="0" fontId="12" fillId="0" borderId="2" xfId="0" applyFont="1" applyBorder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wrapText="1"/>
    </xf>
    <xf numFmtId="0" fontId="6" fillId="0" borderId="0" xfId="0" applyFont="1" applyAlignment="1">
      <alignment wrapText="1"/>
    </xf>
    <xf numFmtId="0" fontId="6" fillId="0" borderId="0" xfId="0" applyFont="1"/>
    <xf numFmtId="0" fontId="6" fillId="0" borderId="0" xfId="0" applyFont="1" applyAlignment="1">
      <alignment horizontal="left" vertical="top"/>
    </xf>
    <xf numFmtId="166" fontId="6" fillId="0" borderId="0" xfId="1" applyFont="1" applyFill="1" applyAlignment="1">
      <alignment horizontal="left"/>
    </xf>
    <xf numFmtId="0" fontId="3" fillId="0" borderId="0" xfId="0" applyFont="1" applyAlignment="1">
      <alignment vertical="top"/>
    </xf>
    <xf numFmtId="0" fontId="3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 wrapText="1"/>
    </xf>
    <xf numFmtId="4" fontId="0" fillId="0" borderId="0" xfId="0" applyNumberFormat="1"/>
    <xf numFmtId="0" fontId="3" fillId="0" borderId="0" xfId="0" applyFont="1" applyAlignment="1">
      <alignment horizontal="left" wrapText="1"/>
    </xf>
    <xf numFmtId="43" fontId="3" fillId="0" borderId="0" xfId="2" applyFont="1" applyFill="1" applyAlignment="1">
      <alignment horizontal="left"/>
    </xf>
    <xf numFmtId="43" fontId="3" fillId="0" borderId="4" xfId="2" applyFont="1" applyFill="1" applyBorder="1"/>
    <xf numFmtId="43" fontId="3" fillId="0" borderId="10" xfId="0" applyNumberFormat="1" applyFont="1" applyBorder="1"/>
    <xf numFmtId="0" fontId="3" fillId="0" borderId="7" xfId="0" applyFont="1" applyBorder="1" applyAlignment="1">
      <alignment horizontal="center" wrapText="1"/>
    </xf>
    <xf numFmtId="0" fontId="2" fillId="0" borderId="2" xfId="0" applyFont="1" applyBorder="1" applyAlignment="1">
      <alignment vertical="center" wrapText="1"/>
    </xf>
    <xf numFmtId="0" fontId="3" fillId="0" borderId="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 applyAlignment="1">
      <alignment vertical="center" wrapText="1"/>
    </xf>
    <xf numFmtId="0" fontId="8" fillId="0" borderId="0" xfId="0" applyFont="1"/>
    <xf numFmtId="4" fontId="3" fillId="0" borderId="7" xfId="3" applyNumberFormat="1" applyFont="1" applyBorder="1" applyAlignment="1">
      <alignment horizontal="right" vertical="center" wrapText="1"/>
    </xf>
    <xf numFmtId="4" fontId="3" fillId="0" borderId="7" xfId="0" applyNumberFormat="1" applyFont="1" applyBorder="1" applyAlignment="1">
      <alignment horizontal="right"/>
    </xf>
    <xf numFmtId="0" fontId="3" fillId="0" borderId="2" xfId="0" applyFont="1" applyBorder="1" applyAlignment="1">
      <alignment horizontal="left" vertical="top"/>
    </xf>
    <xf numFmtId="4" fontId="3" fillId="0" borderId="0" xfId="0" applyNumberFormat="1" applyFont="1"/>
    <xf numFmtId="0" fontId="10" fillId="0" borderId="0" xfId="0" applyFont="1" applyAlignment="1">
      <alignment horizontal="center"/>
    </xf>
    <xf numFmtId="0" fontId="10" fillId="0" borderId="0" xfId="0" applyFont="1" applyAlignment="1">
      <alignment vertical="center"/>
    </xf>
    <xf numFmtId="0" fontId="11" fillId="0" borderId="0" xfId="0" applyFont="1"/>
    <xf numFmtId="0" fontId="10" fillId="0" borderId="0" xfId="0" applyFont="1" applyAlignment="1">
      <alignment vertical="center" wrapText="1"/>
    </xf>
    <xf numFmtId="0" fontId="8" fillId="0" borderId="0" xfId="0" applyFont="1" applyAlignment="1">
      <alignment wrapText="1"/>
    </xf>
    <xf numFmtId="0" fontId="8" fillId="0" borderId="3" xfId="0" applyFont="1" applyBorder="1" applyAlignment="1">
      <alignment horizontal="left" vertical="center" wrapText="1"/>
    </xf>
    <xf numFmtId="0" fontId="8" fillId="0" borderId="4" xfId="0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center"/>
    </xf>
    <xf numFmtId="0" fontId="10" fillId="0" borderId="2" xfId="0" applyFont="1" applyBorder="1"/>
    <xf numFmtId="0" fontId="8" fillId="0" borderId="2" xfId="0" applyFont="1" applyBorder="1" applyAlignment="1">
      <alignment wrapText="1"/>
    </xf>
    <xf numFmtId="0" fontId="8" fillId="0" borderId="4" xfId="0" applyFont="1" applyBorder="1"/>
    <xf numFmtId="0" fontId="8" fillId="0" borderId="7" xfId="0" applyFont="1" applyBorder="1" applyAlignment="1">
      <alignment horizontal="center"/>
    </xf>
    <xf numFmtId="0" fontId="8" fillId="0" borderId="2" xfId="0" applyFont="1" applyBorder="1"/>
    <xf numFmtId="0" fontId="8" fillId="0" borderId="4" xfId="0" applyFont="1" applyBorder="1" applyAlignment="1">
      <alignment horizontal="center"/>
    </xf>
    <xf numFmtId="0" fontId="8" fillId="0" borderId="3" xfId="0" applyFont="1" applyBorder="1"/>
    <xf numFmtId="0" fontId="8" fillId="0" borderId="2" xfId="0" quotePrefix="1" applyFont="1" applyBorder="1"/>
    <xf numFmtId="0" fontId="8" fillId="0" borderId="2" xfId="0" applyFont="1" applyBorder="1" applyAlignment="1">
      <alignment horizontal="left" wrapText="1"/>
    </xf>
    <xf numFmtId="43" fontId="8" fillId="0" borderId="2" xfId="0" applyNumberFormat="1" applyFont="1" applyBorder="1"/>
    <xf numFmtId="0" fontId="8" fillId="0" borderId="9" xfId="0" applyFont="1" applyBorder="1" applyAlignment="1">
      <alignment wrapText="1"/>
    </xf>
    <xf numFmtId="0" fontId="8" fillId="0" borderId="10" xfId="0" applyFont="1" applyBorder="1" applyAlignment="1">
      <alignment horizontal="center"/>
    </xf>
    <xf numFmtId="43" fontId="8" fillId="0" borderId="10" xfId="0" applyNumberFormat="1" applyFont="1" applyBorder="1"/>
    <xf numFmtId="0" fontId="10" fillId="0" borderId="2" xfId="0" applyFont="1" applyBorder="1" applyAlignment="1">
      <alignment wrapText="1"/>
    </xf>
    <xf numFmtId="0" fontId="0" fillId="0" borderId="3" xfId="0" applyBorder="1" applyAlignment="1">
      <alignment horizontal="center"/>
    </xf>
    <xf numFmtId="0" fontId="3" fillId="0" borderId="4" xfId="0" applyFont="1" applyBorder="1" applyAlignment="1">
      <alignment vertical="center"/>
    </xf>
    <xf numFmtId="0" fontId="15" fillId="0" borderId="2" xfId="0" applyFont="1" applyBorder="1" applyAlignment="1">
      <alignment horizontal="center" wrapText="1"/>
    </xf>
    <xf numFmtId="0" fontId="13" fillId="0" borderId="8" xfId="0" applyFont="1" applyBorder="1" applyAlignment="1">
      <alignment horizontal="center"/>
    </xf>
    <xf numFmtId="0" fontId="3" fillId="0" borderId="8" xfId="0" applyFont="1" applyBorder="1" applyAlignment="1">
      <alignment horizontal="left" wrapText="1"/>
    </xf>
    <xf numFmtId="2" fontId="3" fillId="0" borderId="4" xfId="0" applyNumberFormat="1" applyFont="1" applyBorder="1" applyAlignment="1">
      <alignment horizontal="right"/>
    </xf>
    <xf numFmtId="0" fontId="13" fillId="0" borderId="2" xfId="0" applyFont="1" applyBorder="1" applyAlignment="1">
      <alignment horizontal="center" vertical="center"/>
    </xf>
    <xf numFmtId="166" fontId="8" fillId="0" borderId="0" xfId="1" applyFont="1" applyFill="1" applyAlignment="1">
      <alignment vertical="center"/>
    </xf>
    <xf numFmtId="0" fontId="16" fillId="0" borderId="12" xfId="0" applyFont="1" applyBorder="1" applyAlignment="1">
      <alignment vertical="center" wrapText="1"/>
    </xf>
    <xf numFmtId="0" fontId="2" fillId="0" borderId="9" xfId="0" applyFont="1" applyBorder="1" applyAlignment="1">
      <alignment wrapText="1"/>
    </xf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wrapText="1"/>
    </xf>
    <xf numFmtId="4" fontId="12" fillId="0" borderId="2" xfId="0" applyNumberFormat="1" applyFont="1" applyBorder="1" applyAlignment="1">
      <alignment horizontal="right" vertical="center"/>
    </xf>
    <xf numFmtId="0" fontId="3" fillId="0" borderId="9" xfId="0" applyFont="1" applyBorder="1" applyAlignment="1">
      <alignment horizontal="left" wrapText="1"/>
    </xf>
    <xf numFmtId="0" fontId="2" fillId="0" borderId="0" xfId="0" applyFont="1" applyAlignment="1">
      <alignment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4" xfId="0" applyFont="1" applyBorder="1" applyAlignment="1">
      <alignment horizontal="center" vertical="center" wrapText="1"/>
    </xf>
    <xf numFmtId="0" fontId="2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horizontal="center"/>
    </xf>
    <xf numFmtId="166" fontId="8" fillId="0" borderId="0" xfId="1" applyFont="1" applyFill="1"/>
    <xf numFmtId="0" fontId="28" fillId="0" borderId="2" xfId="0" applyFont="1" applyBorder="1" applyAlignment="1">
      <alignment vertical="center" wrapText="1"/>
    </xf>
    <xf numFmtId="0" fontId="8" fillId="0" borderId="0" xfId="0" applyFont="1" applyAlignment="1">
      <alignment horizontal="left"/>
    </xf>
    <xf numFmtId="43" fontId="7" fillId="0" borderId="2" xfId="0" applyNumberFormat="1" applyFont="1" applyBorder="1" applyAlignment="1">
      <alignment vertical="center" wrapText="1"/>
    </xf>
    <xf numFmtId="0" fontId="0" fillId="0" borderId="2" xfId="0" applyBorder="1" applyAlignment="1">
      <alignment horizontal="center" vertical="center" wrapText="1"/>
    </xf>
    <xf numFmtId="0" fontId="15" fillId="0" borderId="2" xfId="0" quotePrefix="1" applyFont="1" applyBorder="1" applyAlignment="1">
      <alignment horizontal="left" vertical="center" wrapText="1"/>
    </xf>
    <xf numFmtId="0" fontId="15" fillId="0" borderId="2" xfId="0" quotePrefix="1" applyFont="1" applyBorder="1" applyAlignment="1">
      <alignment wrapText="1"/>
    </xf>
    <xf numFmtId="0" fontId="22" fillId="0" borderId="2" xfId="0" applyFont="1" applyBorder="1" applyAlignment="1">
      <alignment horizontal="center" vertical="center" wrapText="1"/>
    </xf>
    <xf numFmtId="0" fontId="0" fillId="0" borderId="2" xfId="0" applyBorder="1" applyAlignment="1">
      <alignment horizontal="center" wrapText="1"/>
    </xf>
    <xf numFmtId="0" fontId="0" fillId="0" borderId="2" xfId="0" applyBorder="1" applyAlignment="1">
      <alignment vertical="center"/>
    </xf>
    <xf numFmtId="0" fontId="0" fillId="0" borderId="2" xfId="0" applyBorder="1" applyAlignment="1">
      <alignment vertical="center" wrapText="1"/>
    </xf>
    <xf numFmtId="0" fontId="25" fillId="0" borderId="0" xfId="0" applyFont="1"/>
    <xf numFmtId="0" fontId="22" fillId="0" borderId="2" xfId="0" applyFont="1" applyBorder="1" applyAlignment="1">
      <alignment horizontal="center" vertical="center"/>
    </xf>
    <xf numFmtId="0" fontId="2" fillId="0" borderId="0" xfId="0" applyFont="1" applyAlignment="1">
      <alignment vertical="top"/>
    </xf>
    <xf numFmtId="0" fontId="7" fillId="0" borderId="2" xfId="0" applyFont="1" applyBorder="1" applyAlignment="1">
      <alignment horizontal="center" vertical="center" wrapText="1"/>
    </xf>
    <xf numFmtId="43" fontId="2" fillId="0" borderId="10" xfId="0" applyNumberFormat="1" applyFont="1" applyBorder="1"/>
    <xf numFmtId="0" fontId="3" fillId="0" borderId="0" xfId="0" applyFont="1" applyAlignment="1">
      <alignment horizontal="center" wrapText="1"/>
    </xf>
    <xf numFmtId="43" fontId="3" fillId="0" borderId="0" xfId="0" applyNumberFormat="1" applyFont="1"/>
    <xf numFmtId="0" fontId="7" fillId="0" borderId="2" xfId="0" applyFont="1" applyBorder="1" applyAlignment="1">
      <alignment horizontal="center" vertical="center"/>
    </xf>
    <xf numFmtId="0" fontId="7" fillId="0" borderId="4" xfId="0" applyFont="1" applyBorder="1"/>
    <xf numFmtId="0" fontId="5" fillId="0" borderId="0" xfId="0" applyFont="1" applyAlignment="1">
      <alignment horizontal="left"/>
    </xf>
    <xf numFmtId="166" fontId="5" fillId="0" borderId="0" xfId="1" applyFont="1" applyFill="1" applyAlignment="1">
      <alignment horizontal="left"/>
    </xf>
    <xf numFmtId="0" fontId="17" fillId="0" borderId="0" xfId="0" applyFont="1"/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vertical="center"/>
    </xf>
    <xf numFmtId="0" fontId="5" fillId="0" borderId="0" xfId="0" applyFont="1"/>
    <xf numFmtId="0" fontId="5" fillId="0" borderId="0" xfId="0" applyFont="1" applyAlignment="1">
      <alignment horizontal="center"/>
    </xf>
    <xf numFmtId="166" fontId="5" fillId="0" borderId="0" xfId="1" applyFont="1" applyFill="1"/>
    <xf numFmtId="0" fontId="18" fillId="0" borderId="0" xfId="0" applyFont="1"/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166" fontId="3" fillId="3" borderId="2" xfId="10" applyFont="1" applyFill="1" applyBorder="1" applyAlignment="1">
      <alignment horizontal="center" vertical="center"/>
    </xf>
    <xf numFmtId="166" fontId="31" fillId="0" borderId="0" xfId="1" applyFont="1" applyAlignment="1">
      <alignment vertical="center"/>
    </xf>
    <xf numFmtId="166" fontId="31" fillId="0" borderId="2" xfId="1" applyFont="1" applyBorder="1" applyAlignment="1">
      <alignment horizontal="center" vertical="center"/>
    </xf>
    <xf numFmtId="166" fontId="17" fillId="0" borderId="2" xfId="1" applyFont="1" applyBorder="1" applyAlignment="1">
      <alignment vertical="center" wrapText="1"/>
    </xf>
    <xf numFmtId="0" fontId="34" fillId="0" borderId="0" xfId="0" applyFont="1"/>
    <xf numFmtId="0" fontId="33" fillId="0" borderId="0" xfId="0" applyFont="1"/>
    <xf numFmtId="0" fontId="10" fillId="3" borderId="0" xfId="0" applyFont="1" applyFill="1" applyAlignment="1">
      <alignment vertical="center"/>
    </xf>
    <xf numFmtId="0" fontId="10" fillId="3" borderId="0" xfId="0" applyFont="1" applyFill="1" applyAlignment="1">
      <alignment vertical="center" wrapText="1"/>
    </xf>
    <xf numFmtId="0" fontId="8" fillId="3" borderId="0" xfId="0" applyFont="1" applyFill="1"/>
    <xf numFmtId="0" fontId="3" fillId="3" borderId="0" xfId="0" applyFont="1" applyFill="1"/>
    <xf numFmtId="0" fontId="8" fillId="2" borderId="0" xfId="0" applyFont="1" applyFill="1"/>
    <xf numFmtId="0" fontId="3" fillId="2" borderId="2" xfId="0" applyFont="1" applyFill="1" applyBorder="1" applyAlignment="1">
      <alignment horizontal="left" vertical="center"/>
    </xf>
    <xf numFmtId="0" fontId="3" fillId="2" borderId="2" xfId="0" applyFont="1" applyFill="1" applyBorder="1" applyAlignment="1">
      <alignment horizontal="left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2" fillId="2" borderId="2" xfId="0" applyFont="1" applyFill="1" applyBorder="1"/>
    <xf numFmtId="0" fontId="3" fillId="2" borderId="2" xfId="0" applyFont="1" applyFill="1" applyBorder="1"/>
    <xf numFmtId="0" fontId="3" fillId="2" borderId="2" xfId="0" applyFont="1" applyFill="1" applyBorder="1" applyAlignment="1">
      <alignment wrapText="1"/>
    </xf>
    <xf numFmtId="0" fontId="3" fillId="2" borderId="4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4" fontId="3" fillId="2" borderId="2" xfId="0" applyNumberFormat="1" applyFont="1" applyFill="1" applyBorder="1"/>
    <xf numFmtId="43" fontId="3" fillId="2" borderId="4" xfId="0" applyNumberFormat="1" applyFont="1" applyFill="1" applyBorder="1"/>
    <xf numFmtId="0" fontId="2" fillId="2" borderId="2" xfId="0" applyFont="1" applyFill="1" applyBorder="1" applyAlignment="1">
      <alignment wrapText="1"/>
    </xf>
    <xf numFmtId="0" fontId="11" fillId="2" borderId="4" xfId="0" applyFont="1" applyFill="1" applyBorder="1" applyAlignment="1">
      <alignment horizontal="center" vertical="center"/>
    </xf>
    <xf numFmtId="43" fontId="3" fillId="2" borderId="10" xfId="0" applyNumberFormat="1" applyFont="1" applyFill="1" applyBorder="1"/>
    <xf numFmtId="43" fontId="3" fillId="2" borderId="2" xfId="0" applyNumberFormat="1" applyFont="1" applyFill="1" applyBorder="1"/>
    <xf numFmtId="0" fontId="35" fillId="0" borderId="0" xfId="14" applyFont="1"/>
    <xf numFmtId="0" fontId="35" fillId="0" borderId="0" xfId="14" applyFont="1" applyAlignment="1">
      <alignment horizontal="center" vertical="center"/>
    </xf>
    <xf numFmtId="0" fontId="35" fillId="0" borderId="0" xfId="14" applyFont="1" applyAlignment="1">
      <alignment horizontal="left"/>
    </xf>
    <xf numFmtId="0" fontId="35" fillId="0" borderId="20" xfId="14" applyFont="1" applyBorder="1" applyAlignment="1">
      <alignment vertical="center" wrapText="1"/>
    </xf>
    <xf numFmtId="0" fontId="35" fillId="0" borderId="21" xfId="14" applyFont="1" applyBorder="1" applyAlignment="1">
      <alignment horizontal="center" vertical="center" wrapText="1"/>
    </xf>
    <xf numFmtId="0" fontId="35" fillId="0" borderId="21" xfId="14" applyFont="1" applyBorder="1" applyAlignment="1">
      <alignment vertical="center" wrapText="1"/>
    </xf>
    <xf numFmtId="0" fontId="35" fillId="0" borderId="22" xfId="14" applyFont="1" applyBorder="1" applyAlignment="1">
      <alignment horizontal="center" vertical="center" wrapText="1"/>
    </xf>
    <xf numFmtId="0" fontId="35" fillId="0" borderId="21" xfId="14" applyFont="1" applyBorder="1" applyAlignment="1">
      <alignment horizontal="right" vertical="center" wrapText="1"/>
    </xf>
    <xf numFmtId="0" fontId="35" fillId="0" borderId="23" xfId="14" applyFont="1" applyBorder="1" applyAlignment="1">
      <alignment vertical="center" wrapText="1"/>
    </xf>
    <xf numFmtId="0" fontId="35" fillId="0" borderId="23" xfId="14" applyFont="1" applyBorder="1" applyAlignment="1">
      <alignment horizontal="center" vertical="center"/>
    </xf>
    <xf numFmtId="0" fontId="35" fillId="0" borderId="23" xfId="14" applyFont="1" applyBorder="1" applyAlignment="1">
      <alignment horizontal="center" vertical="center" wrapText="1"/>
    </xf>
    <xf numFmtId="41" fontId="35" fillId="0" borderId="24" xfId="15" applyFont="1" applyBorder="1" applyAlignment="1">
      <alignment vertical="center"/>
    </xf>
    <xf numFmtId="0" fontId="0" fillId="0" borderId="25" xfId="0" applyBorder="1"/>
    <xf numFmtId="0" fontId="35" fillId="0" borderId="17" xfId="14" applyFont="1" applyBorder="1" applyAlignment="1">
      <alignment horizontal="right" vertical="center" wrapText="1"/>
    </xf>
    <xf numFmtId="0" fontId="35" fillId="0" borderId="2" xfId="14" applyFont="1" applyBorder="1" applyAlignment="1">
      <alignment vertical="center" wrapText="1"/>
    </xf>
    <xf numFmtId="0" fontId="35" fillId="0" borderId="2" xfId="14" applyFont="1" applyBorder="1" applyAlignment="1">
      <alignment horizontal="center" vertical="center"/>
    </xf>
    <xf numFmtId="0" fontId="35" fillId="0" borderId="2" xfId="14" applyFont="1" applyBorder="1" applyAlignment="1">
      <alignment horizontal="center" vertical="center" wrapText="1"/>
    </xf>
    <xf numFmtId="41" fontId="35" fillId="0" borderId="4" xfId="15" applyFont="1" applyBorder="1" applyAlignment="1">
      <alignment vertical="center"/>
    </xf>
    <xf numFmtId="0" fontId="0" fillId="0" borderId="27" xfId="0" applyBorder="1"/>
    <xf numFmtId="0" fontId="35" fillId="0" borderId="17" xfId="14" applyFont="1" applyBorder="1" applyAlignment="1">
      <alignment horizontal="right" wrapText="1"/>
    </xf>
    <xf numFmtId="0" fontId="35" fillId="0" borderId="5" xfId="14" applyFont="1" applyBorder="1" applyAlignment="1">
      <alignment horizontal="left" vertical="center" wrapText="1"/>
    </xf>
    <xf numFmtId="0" fontId="35" fillId="0" borderId="2" xfId="14" applyFont="1" applyBorder="1" applyAlignment="1">
      <alignment horizontal="left" vertical="center" wrapText="1"/>
    </xf>
    <xf numFmtId="0" fontId="35" fillId="0" borderId="2" xfId="14" applyFont="1" applyBorder="1" applyAlignment="1">
      <alignment horizontal="right" vertical="center"/>
    </xf>
    <xf numFmtId="0" fontId="35" fillId="0" borderId="7" xfId="14" applyFont="1" applyBorder="1" applyAlignment="1">
      <alignment horizontal="left" vertical="center"/>
    </xf>
    <xf numFmtId="0" fontId="0" fillId="0" borderId="27" xfId="0" applyBorder="1" applyAlignment="1">
      <alignment vertical="center"/>
    </xf>
    <xf numFmtId="166" fontId="35" fillId="0" borderId="2" xfId="1" applyFont="1" applyBorder="1" applyAlignment="1">
      <alignment vertical="center" wrapText="1"/>
    </xf>
    <xf numFmtId="41" fontId="35" fillId="0" borderId="27" xfId="15" applyFont="1" applyBorder="1" applyAlignment="1">
      <alignment vertical="center"/>
    </xf>
    <xf numFmtId="0" fontId="35" fillId="0" borderId="30" xfId="14" applyFont="1" applyBorder="1" applyAlignment="1">
      <alignment horizontal="right" vertical="center"/>
    </xf>
    <xf numFmtId="0" fontId="35" fillId="0" borderId="7" xfId="14" applyFont="1" applyBorder="1" applyAlignment="1">
      <alignment horizontal="right" vertical="center"/>
    </xf>
    <xf numFmtId="41" fontId="35" fillId="0" borderId="4" xfId="15" applyFont="1" applyBorder="1" applyAlignment="1">
      <alignment horizontal="center" vertical="center"/>
    </xf>
    <xf numFmtId="41" fontId="35" fillId="0" borderId="18" xfId="14" applyNumberFormat="1" applyFont="1" applyBorder="1" applyAlignment="1">
      <alignment vertical="center"/>
    </xf>
    <xf numFmtId="0" fontId="0" fillId="0" borderId="34" xfId="0" applyBorder="1"/>
    <xf numFmtId="0" fontId="35" fillId="0" borderId="0" xfId="14" applyFont="1" applyAlignment="1">
      <alignment horizontal="right" vertical="center"/>
    </xf>
    <xf numFmtId="41" fontId="35" fillId="0" borderId="0" xfId="14" applyNumberFormat="1" applyFont="1" applyAlignment="1">
      <alignment vertical="center"/>
    </xf>
    <xf numFmtId="0" fontId="31" fillId="0" borderId="0" xfId="0" applyFont="1" applyAlignment="1">
      <alignment horizontal="left"/>
    </xf>
    <xf numFmtId="0" fontId="7" fillId="2" borderId="0" xfId="0" applyFont="1" applyFill="1"/>
    <xf numFmtId="0" fontId="3" fillId="2" borderId="0" xfId="0" applyFont="1" applyFill="1"/>
    <xf numFmtId="0" fontId="2" fillId="2" borderId="0" xfId="0" applyFont="1" applyFill="1"/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/>
    </xf>
    <xf numFmtId="0" fontId="3" fillId="2" borderId="10" xfId="0" applyFont="1" applyFill="1" applyBorder="1" applyAlignment="1">
      <alignment horizontal="center"/>
    </xf>
    <xf numFmtId="0" fontId="3" fillId="2" borderId="4" xfId="0" applyFont="1" applyFill="1" applyBorder="1"/>
    <xf numFmtId="43" fontId="17" fillId="0" borderId="2" xfId="0" applyNumberFormat="1" applyFont="1" applyBorder="1" applyAlignment="1">
      <alignment horizontal="left" vertical="center" wrapText="1"/>
    </xf>
    <xf numFmtId="166" fontId="0" fillId="0" borderId="0" xfId="1" applyFont="1"/>
    <xf numFmtId="0" fontId="33" fillId="0" borderId="2" xfId="0" applyFont="1" applyBorder="1" applyAlignment="1">
      <alignment horizontal="center" vertical="center"/>
    </xf>
    <xf numFmtId="0" fontId="33" fillId="0" borderId="2" xfId="0" applyFont="1" applyBorder="1" applyAlignment="1">
      <alignment horizontal="center" vertical="center" wrapText="1"/>
    </xf>
    <xf numFmtId="14" fontId="3" fillId="0" borderId="0" xfId="10" applyNumberFormat="1" applyFont="1" applyFill="1"/>
    <xf numFmtId="0" fontId="2" fillId="3" borderId="0" xfId="0" applyFont="1" applyFill="1" applyAlignment="1">
      <alignment horizontal="left" wrapText="1"/>
    </xf>
    <xf numFmtId="166" fontId="2" fillId="0" borderId="0" xfId="10" applyFont="1" applyFill="1" applyAlignment="1">
      <alignment horizontal="left"/>
    </xf>
    <xf numFmtId="166" fontId="2" fillId="0" borderId="0" xfId="10" applyFont="1" applyFill="1"/>
    <xf numFmtId="0" fontId="3" fillId="3" borderId="3" xfId="0" applyFont="1" applyFill="1" applyBorder="1" applyAlignment="1">
      <alignment horizontal="left"/>
    </xf>
    <xf numFmtId="0" fontId="3" fillId="3" borderId="9" xfId="0" applyFont="1" applyFill="1" applyBorder="1"/>
    <xf numFmtId="0" fontId="3" fillId="3" borderId="10" xfId="0" applyFont="1" applyFill="1" applyBorder="1" applyAlignment="1">
      <alignment horizontal="center"/>
    </xf>
    <xf numFmtId="0" fontId="3" fillId="3" borderId="11" xfId="0" applyFont="1" applyFill="1" applyBorder="1" applyAlignment="1">
      <alignment horizontal="left"/>
    </xf>
    <xf numFmtId="43" fontId="2" fillId="3" borderId="9" xfId="0" applyNumberFormat="1" applyFont="1" applyFill="1" applyBorder="1"/>
    <xf numFmtId="43" fontId="3" fillId="3" borderId="2" xfId="0" applyNumberFormat="1" applyFont="1" applyFill="1" applyBorder="1"/>
    <xf numFmtId="0" fontId="2" fillId="3" borderId="4" xfId="0" applyFont="1" applyFill="1" applyBorder="1"/>
    <xf numFmtId="0" fontId="31" fillId="0" borderId="9" xfId="0" applyFont="1" applyBorder="1" applyAlignment="1">
      <alignment vertical="center"/>
    </xf>
    <xf numFmtId="0" fontId="17" fillId="0" borderId="9" xfId="0" applyFont="1" applyBorder="1" applyAlignment="1">
      <alignment vertical="center" wrapText="1"/>
    </xf>
    <xf numFmtId="166" fontId="31" fillId="0" borderId="0" xfId="1" applyFont="1"/>
    <xf numFmtId="166" fontId="33" fillId="0" borderId="2" xfId="1" applyFont="1" applyBorder="1" applyAlignment="1">
      <alignment horizontal="center" vertical="center"/>
    </xf>
    <xf numFmtId="166" fontId="31" fillId="0" borderId="2" xfId="1" applyFont="1" applyBorder="1" applyAlignment="1">
      <alignment horizontal="center"/>
    </xf>
    <xf numFmtId="166" fontId="0" fillId="0" borderId="2" xfId="1" applyFont="1" applyBorder="1"/>
    <xf numFmtId="0" fontId="18" fillId="3" borderId="2" xfId="0" applyFont="1" applyFill="1" applyBorder="1" applyAlignment="1">
      <alignment horizontal="left" vertical="center" wrapText="1"/>
    </xf>
    <xf numFmtId="0" fontId="0" fillId="0" borderId="9" xfId="0" applyBorder="1" applyAlignment="1">
      <alignment vertical="center"/>
    </xf>
    <xf numFmtId="0" fontId="0" fillId="0" borderId="0" xfId="0" applyAlignment="1">
      <alignment vertical="center"/>
    </xf>
    <xf numFmtId="0" fontId="0" fillId="0" borderId="2" xfId="0" applyBorder="1" applyAlignment="1">
      <alignment horizontal="left" vertical="center"/>
    </xf>
    <xf numFmtId="0" fontId="0" fillId="0" borderId="9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5" fillId="0" borderId="9" xfId="0" applyFont="1" applyBorder="1" applyAlignment="1">
      <alignment vertical="top" wrapText="1"/>
    </xf>
    <xf numFmtId="43" fontId="0" fillId="0" borderId="2" xfId="0" applyNumberFormat="1" applyBorder="1" applyAlignment="1">
      <alignment horizontal="left" vertical="center" wrapText="1"/>
    </xf>
    <xf numFmtId="167" fontId="0" fillId="0" borderId="2" xfId="1" applyNumberFormat="1" applyFont="1" applyFill="1" applyBorder="1" applyAlignment="1">
      <alignment horizontal="center" vertical="center"/>
    </xf>
    <xf numFmtId="0" fontId="25" fillId="0" borderId="2" xfId="0" applyFont="1" applyBorder="1" applyAlignment="1">
      <alignment vertical="top" wrapText="1"/>
    </xf>
    <xf numFmtId="0" fontId="0" fillId="0" borderId="17" xfId="0" applyBorder="1"/>
    <xf numFmtId="0" fontId="0" fillId="0" borderId="2" xfId="0" applyBorder="1" applyAlignment="1">
      <alignment horizontal="left" vertical="center" wrapText="1"/>
    </xf>
    <xf numFmtId="167" fontId="0" fillId="0" borderId="2" xfId="1" applyNumberFormat="1" applyFont="1" applyBorder="1" applyAlignment="1">
      <alignment horizontal="center" vertical="center"/>
    </xf>
    <xf numFmtId="0" fontId="25" fillId="0" borderId="17" xfId="0" applyFont="1" applyBorder="1" applyAlignment="1">
      <alignment horizontal="left" vertical="top" wrapText="1"/>
    </xf>
    <xf numFmtId="4" fontId="0" fillId="0" borderId="2" xfId="0" applyNumberFormat="1" applyBorder="1" applyAlignment="1">
      <alignment horizontal="left" vertical="center" wrapText="1"/>
    </xf>
    <xf numFmtId="0" fontId="25" fillId="0" borderId="17" xfId="0" applyFont="1" applyBorder="1" applyAlignment="1">
      <alignment vertical="top" wrapText="1"/>
    </xf>
    <xf numFmtId="0" fontId="25" fillId="0" borderId="3" xfId="0" applyFont="1" applyBorder="1" applyAlignment="1">
      <alignment vertical="top" wrapText="1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2" fillId="0" borderId="2" xfId="0" applyFont="1" applyBorder="1" applyAlignment="1">
      <alignment horizontal="center" wrapText="1"/>
    </xf>
    <xf numFmtId="0" fontId="32" fillId="0" borderId="2" xfId="0" applyFont="1" applyBorder="1" applyAlignment="1">
      <alignment horizontal="center"/>
    </xf>
    <xf numFmtId="166" fontId="32" fillId="0" borderId="17" xfId="1" applyFont="1" applyFill="1" applyBorder="1" applyAlignment="1">
      <alignment horizontal="center"/>
    </xf>
    <xf numFmtId="0" fontId="0" fillId="5" borderId="0" xfId="0" applyFill="1"/>
    <xf numFmtId="4" fontId="0" fillId="0" borderId="2" xfId="0" applyNumberFormat="1" applyBorder="1" applyAlignment="1">
      <alignment wrapText="1"/>
    </xf>
    <xf numFmtId="166" fontId="0" fillId="0" borderId="2" xfId="1" applyFont="1" applyFill="1" applyBorder="1"/>
    <xf numFmtId="4" fontId="0" fillId="0" borderId="2" xfId="0" applyNumberFormat="1" applyBorder="1" applyAlignment="1">
      <alignment vertical="center" wrapText="1"/>
    </xf>
    <xf numFmtId="166" fontId="31" fillId="0" borderId="0" xfId="1" applyFont="1" applyFill="1"/>
    <xf numFmtId="166" fontId="25" fillId="0" borderId="0" xfId="1" applyFont="1" applyFill="1"/>
    <xf numFmtId="4" fontId="31" fillId="0" borderId="0" xfId="0" applyNumberFormat="1" applyFont="1"/>
    <xf numFmtId="166" fontId="38" fillId="0" borderId="0" xfId="1" applyFont="1" applyFill="1"/>
    <xf numFmtId="166" fontId="39" fillId="0" borderId="0" xfId="1" applyFont="1" applyFill="1"/>
    <xf numFmtId="166" fontId="31" fillId="0" borderId="0" xfId="1" applyFont="1" applyAlignment="1">
      <alignment horizontal="center"/>
    </xf>
    <xf numFmtId="166" fontId="0" fillId="0" borderId="2" xfId="1" applyFont="1" applyBorder="1" applyAlignment="1">
      <alignment horizontal="center"/>
    </xf>
    <xf numFmtId="0" fontId="0" fillId="0" borderId="0" xfId="0" applyAlignment="1">
      <alignment horizontal="center"/>
    </xf>
    <xf numFmtId="166" fontId="33" fillId="0" borderId="2" xfId="1" applyFont="1" applyBorder="1" applyAlignment="1">
      <alignment horizontal="center"/>
    </xf>
    <xf numFmtId="166" fontId="32" fillId="0" borderId="2" xfId="1" applyFont="1" applyBorder="1" applyAlignment="1">
      <alignment horizontal="center"/>
    </xf>
    <xf numFmtId="166" fontId="32" fillId="0" borderId="2" xfId="1" applyFont="1" applyBorder="1" applyAlignment="1">
      <alignment horizontal="center" vertical="center" wrapText="1"/>
    </xf>
    <xf numFmtId="166" fontId="40" fillId="0" borderId="0" xfId="1" applyFont="1"/>
    <xf numFmtId="166" fontId="31" fillId="0" borderId="2" xfId="1" applyFont="1" applyFill="1" applyBorder="1" applyAlignment="1">
      <alignment horizontal="center" vertical="center"/>
    </xf>
    <xf numFmtId="166" fontId="0" fillId="0" borderId="0" xfId="1" applyFont="1" applyFill="1" applyAlignment="1">
      <alignment horizontal="center" vertical="center"/>
    </xf>
    <xf numFmtId="4" fontId="0" fillId="0" borderId="2" xfId="0" applyNumberFormat="1" applyBorder="1"/>
    <xf numFmtId="166" fontId="0" fillId="0" borderId="2" xfId="1" applyFont="1" applyBorder="1" applyAlignment="1">
      <alignment horizontal="center" wrapText="1"/>
    </xf>
    <xf numFmtId="0" fontId="2" fillId="3" borderId="2" xfId="0" applyFont="1" applyFill="1" applyBorder="1" applyAlignment="1">
      <alignment horizontal="center" wrapText="1"/>
    </xf>
    <xf numFmtId="0" fontId="3" fillId="2" borderId="0" xfId="0" applyFont="1" applyFill="1" applyAlignment="1">
      <alignment horizontal="left"/>
    </xf>
    <xf numFmtId="0" fontId="3" fillId="2" borderId="7" xfId="0" applyFont="1" applyFill="1" applyBorder="1" applyAlignment="1">
      <alignment horizontal="center" vertical="center" wrapText="1"/>
    </xf>
    <xf numFmtId="0" fontId="2" fillId="5" borderId="0" xfId="0" applyFont="1" applyFill="1" applyAlignment="1">
      <alignment horizontal="center"/>
    </xf>
    <xf numFmtId="166" fontId="12" fillId="0" borderId="2" xfId="10" applyFont="1" applyBorder="1" applyAlignment="1">
      <alignment horizontal="center" vertical="center" wrapText="1"/>
    </xf>
    <xf numFmtId="0" fontId="12" fillId="0" borderId="2" xfId="10" applyNumberFormat="1" applyFont="1" applyBorder="1" applyAlignment="1">
      <alignment horizontal="center" vertical="center"/>
    </xf>
    <xf numFmtId="166" fontId="12" fillId="0" borderId="2" xfId="10" applyFont="1" applyBorder="1"/>
    <xf numFmtId="0" fontId="3" fillId="2" borderId="7" xfId="0" applyFont="1" applyFill="1" applyBorder="1" applyAlignment="1">
      <alignment horizontal="left"/>
    </xf>
    <xf numFmtId="43" fontId="2" fillId="0" borderId="0" xfId="0" applyNumberFormat="1" applyFont="1"/>
    <xf numFmtId="166" fontId="2" fillId="0" borderId="3" xfId="10" applyFont="1" applyFill="1" applyBorder="1" applyAlignment="1">
      <alignment horizontal="center" vertical="center"/>
    </xf>
    <xf numFmtId="166" fontId="2" fillId="0" borderId="2" xfId="10" applyFont="1" applyFill="1" applyBorder="1"/>
    <xf numFmtId="0" fontId="2" fillId="3" borderId="0" xfId="0" applyFont="1" applyFill="1" applyAlignment="1">
      <alignment horizontal="center" wrapText="1"/>
    </xf>
    <xf numFmtId="43" fontId="2" fillId="3" borderId="0" xfId="0" applyNumberFormat="1" applyFont="1" applyFill="1"/>
    <xf numFmtId="166" fontId="21" fillId="0" borderId="2" xfId="10" applyFont="1" applyFill="1" applyBorder="1" applyAlignment="1">
      <alignment wrapText="1"/>
    </xf>
    <xf numFmtId="0" fontId="3" fillId="2" borderId="7" xfId="0" applyFont="1" applyFill="1" applyBorder="1"/>
    <xf numFmtId="0" fontId="3" fillId="2" borderId="7" xfId="0" applyFont="1" applyFill="1" applyBorder="1" applyAlignment="1">
      <alignment wrapText="1"/>
    </xf>
    <xf numFmtId="43" fontId="12" fillId="2" borderId="4" xfId="0" applyNumberFormat="1" applyFont="1" applyFill="1" applyBorder="1"/>
    <xf numFmtId="0" fontId="12" fillId="2" borderId="2" xfId="0" applyFont="1" applyFill="1" applyBorder="1"/>
    <xf numFmtId="166" fontId="12" fillId="0" borderId="9" xfId="10" applyFont="1" applyBorder="1"/>
    <xf numFmtId="0" fontId="2" fillId="2" borderId="0" xfId="0" applyFont="1" applyFill="1" applyAlignment="1">
      <alignment horizontal="center"/>
    </xf>
    <xf numFmtId="166" fontId="3" fillId="2" borderId="0" xfId="10" applyFont="1" applyFill="1"/>
    <xf numFmtId="0" fontId="2" fillId="2" borderId="0" xfId="0" applyFont="1" applyFill="1" applyAlignment="1">
      <alignment horizontal="left"/>
    </xf>
    <xf numFmtId="166" fontId="3" fillId="2" borderId="0" xfId="10" applyFont="1" applyFill="1" applyAlignment="1">
      <alignment vertical="center"/>
    </xf>
    <xf numFmtId="0" fontId="2" fillId="2" borderId="0" xfId="0" applyFont="1" applyFill="1" applyAlignment="1">
      <alignment horizontal="left" wrapText="1"/>
    </xf>
    <xf numFmtId="0" fontId="23" fillId="2" borderId="2" xfId="0" applyFont="1" applyFill="1" applyBorder="1" applyAlignment="1">
      <alignment horizontal="left" vertical="center"/>
    </xf>
    <xf numFmtId="0" fontId="2" fillId="2" borderId="4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/>
    </xf>
    <xf numFmtId="0" fontId="2" fillId="2" borderId="4" xfId="0" applyFont="1" applyFill="1" applyBorder="1"/>
    <xf numFmtId="0" fontId="2" fillId="2" borderId="4" xfId="0" applyFont="1" applyFill="1" applyBorder="1" applyAlignment="1">
      <alignment wrapText="1"/>
    </xf>
    <xf numFmtId="0" fontId="3" fillId="2" borderId="3" xfId="0" applyFont="1" applyFill="1" applyBorder="1" applyAlignment="1">
      <alignment horizontal="left"/>
    </xf>
    <xf numFmtId="166" fontId="2" fillId="2" borderId="2" xfId="10" applyFont="1" applyFill="1" applyBorder="1" applyAlignment="1">
      <alignment horizontal="center" vertical="center"/>
    </xf>
    <xf numFmtId="43" fontId="2" fillId="2" borderId="2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left" vertical="center" wrapText="1"/>
    </xf>
    <xf numFmtId="166" fontId="3" fillId="2" borderId="2" xfId="1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left"/>
    </xf>
    <xf numFmtId="0" fontId="24" fillId="2" borderId="6" xfId="0" applyFont="1" applyFill="1" applyBorder="1" applyAlignment="1">
      <alignment horizontal="left" vertical="center" wrapText="1"/>
    </xf>
    <xf numFmtId="166" fontId="3" fillId="2" borderId="2" xfId="10" applyFont="1" applyFill="1" applyBorder="1"/>
    <xf numFmtId="0" fontId="3" fillId="2" borderId="4" xfId="0" applyFont="1" applyFill="1" applyBorder="1" applyAlignment="1">
      <alignment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166" fontId="12" fillId="2" borderId="2" xfId="1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/>
    </xf>
    <xf numFmtId="0" fontId="12" fillId="2" borderId="2" xfId="0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2" fillId="2" borderId="2" xfId="10" applyNumberFormat="1" applyFont="1" applyFill="1" applyBorder="1" applyAlignment="1">
      <alignment horizontal="center" vertical="center"/>
    </xf>
    <xf numFmtId="166" fontId="3" fillId="0" borderId="4" xfId="10" applyFont="1" applyFill="1" applyBorder="1"/>
    <xf numFmtId="4" fontId="3" fillId="0" borderId="10" xfId="0" applyNumberFormat="1" applyFont="1" applyBorder="1"/>
    <xf numFmtId="166" fontId="12" fillId="0" borderId="2" xfId="10" applyFont="1" applyFill="1" applyBorder="1"/>
    <xf numFmtId="166" fontId="12" fillId="0" borderId="9" xfId="10" applyFont="1" applyFill="1" applyBorder="1"/>
    <xf numFmtId="0" fontId="22" fillId="0" borderId="13" xfId="0" applyFont="1" applyBorder="1" applyAlignment="1">
      <alignment horizontal="center" wrapText="1"/>
    </xf>
    <xf numFmtId="0" fontId="7" fillId="0" borderId="35" xfId="0" applyFont="1" applyBorder="1" applyAlignment="1">
      <alignment wrapText="1"/>
    </xf>
    <xf numFmtId="43" fontId="7" fillId="0" borderId="14" xfId="0" applyNumberFormat="1" applyFont="1" applyBorder="1" applyAlignment="1">
      <alignment wrapText="1"/>
    </xf>
    <xf numFmtId="166" fontId="3" fillId="0" borderId="0" xfId="10" applyFont="1" applyFill="1" applyAlignment="1">
      <alignment vertical="top"/>
    </xf>
    <xf numFmtId="166" fontId="3" fillId="0" borderId="0" xfId="10" applyFont="1" applyFill="1" applyAlignment="1">
      <alignment vertical="center" wrapText="1"/>
    </xf>
    <xf numFmtId="166" fontId="3" fillId="3" borderId="2" xfId="10" applyFont="1" applyFill="1" applyBorder="1"/>
    <xf numFmtId="0" fontId="2" fillId="3" borderId="9" xfId="0" applyFont="1" applyFill="1" applyBorder="1"/>
    <xf numFmtId="0" fontId="3" fillId="3" borderId="9" xfId="0" applyFont="1" applyFill="1" applyBorder="1" applyAlignment="1">
      <alignment wrapText="1"/>
    </xf>
    <xf numFmtId="43" fontId="3" fillId="3" borderId="9" xfId="0" applyNumberFormat="1" applyFont="1" applyFill="1" applyBorder="1"/>
    <xf numFmtId="0" fontId="2" fillId="2" borderId="0" xfId="0" applyFont="1" applyFill="1" applyAlignment="1">
      <alignment horizontal="left" vertical="top"/>
    </xf>
    <xf numFmtId="0" fontId="3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0" fontId="15" fillId="2" borderId="2" xfId="0" applyFont="1" applyFill="1" applyBorder="1"/>
    <xf numFmtId="0" fontId="3" fillId="2" borderId="3" xfId="0" applyFont="1" applyFill="1" applyBorder="1"/>
    <xf numFmtId="0" fontId="10" fillId="3" borderId="0" xfId="0" applyFont="1" applyFill="1"/>
    <xf numFmtId="0" fontId="10" fillId="3" borderId="0" xfId="0" applyFont="1" applyFill="1" applyAlignment="1">
      <alignment vertical="top" wrapText="1"/>
    </xf>
    <xf numFmtId="0" fontId="10" fillId="3" borderId="0" xfId="0" applyFont="1" applyFill="1" applyAlignment="1">
      <alignment wrapText="1"/>
    </xf>
    <xf numFmtId="0" fontId="10" fillId="3" borderId="0" xfId="0" applyFont="1" applyFill="1" applyAlignment="1">
      <alignment horizontal="left"/>
    </xf>
    <xf numFmtId="166" fontId="10" fillId="3" borderId="0" xfId="10" applyFont="1" applyFill="1"/>
    <xf numFmtId="0" fontId="23" fillId="3" borderId="2" xfId="0" applyFont="1" applyFill="1" applyBorder="1" applyAlignment="1">
      <alignment horizontal="left" vertical="center"/>
    </xf>
    <xf numFmtId="0" fontId="2" fillId="3" borderId="4" xfId="0" applyFont="1" applyFill="1" applyBorder="1" applyAlignment="1">
      <alignment horizontal="right" vertical="center"/>
    </xf>
    <xf numFmtId="0" fontId="2" fillId="3" borderId="7" xfId="0" applyFont="1" applyFill="1" applyBorder="1" applyAlignment="1">
      <alignment horizontal="left" vertical="center"/>
    </xf>
    <xf numFmtId="166" fontId="2" fillId="3" borderId="2" xfId="1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right"/>
    </xf>
    <xf numFmtId="0" fontId="3" fillId="3" borderId="4" xfId="0" applyFont="1" applyFill="1" applyBorder="1" applyAlignment="1">
      <alignment horizontal="right" vertical="center"/>
    </xf>
    <xf numFmtId="0" fontId="3" fillId="3" borderId="7" xfId="0" applyFont="1" applyFill="1" applyBorder="1" applyAlignment="1">
      <alignment horizontal="left" vertical="center"/>
    </xf>
    <xf numFmtId="0" fontId="3" fillId="2" borderId="4" xfId="0" applyFont="1" applyFill="1" applyBorder="1" applyAlignment="1">
      <alignment horizontal="right"/>
    </xf>
    <xf numFmtId="43" fontId="2" fillId="2" borderId="2" xfId="0" applyNumberFormat="1" applyFont="1" applyFill="1" applyBorder="1"/>
    <xf numFmtId="0" fontId="3" fillId="3" borderId="3" xfId="0" applyFont="1" applyFill="1" applyBorder="1"/>
    <xf numFmtId="0" fontId="3" fillId="3" borderId="3" xfId="0" applyFont="1" applyFill="1" applyBorder="1" applyAlignment="1">
      <alignment wrapText="1"/>
    </xf>
    <xf numFmtId="0" fontId="14" fillId="3" borderId="4" xfId="0" applyFont="1" applyFill="1" applyBorder="1"/>
    <xf numFmtId="166" fontId="3" fillId="0" borderId="2" xfId="10" applyFont="1" applyFill="1" applyBorder="1" applyAlignment="1">
      <alignment wrapText="1"/>
    </xf>
    <xf numFmtId="0" fontId="41" fillId="0" borderId="0" xfId="0" applyFont="1" applyAlignment="1">
      <alignment horizontal="center"/>
    </xf>
    <xf numFmtId="43" fontId="6" fillId="0" borderId="0" xfId="2" applyFont="1" applyFill="1" applyAlignment="1">
      <alignment horizontal="right" vertical="center"/>
    </xf>
    <xf numFmtId="0" fontId="6" fillId="0" borderId="9" xfId="0" applyFont="1" applyBorder="1" applyAlignment="1">
      <alignment horizontal="center" vertical="center"/>
    </xf>
    <xf numFmtId="0" fontId="6" fillId="0" borderId="9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43" fontId="6" fillId="0" borderId="2" xfId="2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2" xfId="2" applyNumberFormat="1" applyFont="1" applyFill="1" applyBorder="1" applyAlignment="1">
      <alignment horizontal="center" vertical="center"/>
    </xf>
    <xf numFmtId="0" fontId="41" fillId="0" borderId="2" xfId="0" applyFont="1" applyBorder="1" applyAlignment="1">
      <alignment horizontal="center" wrapText="1"/>
    </xf>
    <xf numFmtId="0" fontId="41" fillId="0" borderId="2" xfId="0" applyFont="1" applyBorder="1" applyAlignment="1">
      <alignment horizontal="left" vertical="center"/>
    </xf>
    <xf numFmtId="0" fontId="41" fillId="0" borderId="4" xfId="0" applyFont="1" applyBorder="1" applyAlignment="1">
      <alignment horizontal="center" vertical="center"/>
    </xf>
    <xf numFmtId="0" fontId="41" fillId="0" borderId="7" xfId="0" applyFont="1" applyBorder="1" applyAlignment="1">
      <alignment horizontal="center" vertical="center"/>
    </xf>
    <xf numFmtId="0" fontId="41" fillId="0" borderId="2" xfId="1" applyNumberFormat="1" applyFont="1" applyFill="1" applyBorder="1" applyAlignment="1">
      <alignment horizontal="right" vertical="center"/>
    </xf>
    <xf numFmtId="0" fontId="6" fillId="0" borderId="2" xfId="0" applyFont="1" applyBorder="1" applyAlignment="1">
      <alignment vertical="center" wrapText="1"/>
    </xf>
    <xf numFmtId="0" fontId="41" fillId="0" borderId="2" xfId="1" applyNumberFormat="1" applyFont="1" applyFill="1" applyBorder="1" applyAlignment="1">
      <alignment vertical="center"/>
    </xf>
    <xf numFmtId="0" fontId="6" fillId="0" borderId="4" xfId="0" quotePrefix="1" applyFont="1" applyBorder="1" applyAlignment="1">
      <alignment wrapText="1"/>
    </xf>
    <xf numFmtId="166" fontId="6" fillId="0" borderId="7" xfId="1" applyFont="1" applyFill="1" applyBorder="1" applyAlignment="1">
      <alignment horizontal="right" vertical="center"/>
    </xf>
    <xf numFmtId="166" fontId="6" fillId="0" borderId="2" xfId="1" applyFont="1" applyFill="1" applyBorder="1" applyAlignment="1">
      <alignment horizontal="right" vertical="center"/>
    </xf>
    <xf numFmtId="0" fontId="6" fillId="0" borderId="2" xfId="0" applyFont="1" applyBorder="1" applyAlignment="1">
      <alignment wrapText="1"/>
    </xf>
    <xf numFmtId="0" fontId="41" fillId="0" borderId="0" xfId="0" applyFont="1" applyAlignment="1">
      <alignment wrapText="1"/>
    </xf>
    <xf numFmtId="0" fontId="6" fillId="0" borderId="2" xfId="0" applyFont="1" applyBorder="1" applyAlignment="1">
      <alignment horizontal="left" vertical="center"/>
    </xf>
    <xf numFmtId="0" fontId="6" fillId="0" borderId="2" xfId="0" applyFont="1" applyBorder="1" applyAlignment="1">
      <alignment horizontal="left" vertical="center" wrapText="1"/>
    </xf>
    <xf numFmtId="166" fontId="28" fillId="0" borderId="7" xfId="1" applyFont="1" applyFill="1" applyBorder="1" applyAlignment="1">
      <alignment horizontal="right" vertical="center"/>
    </xf>
    <xf numFmtId="166" fontId="6" fillId="0" borderId="8" xfId="1" applyFont="1" applyFill="1" applyBorder="1" applyAlignment="1">
      <alignment horizontal="right" vertical="center"/>
    </xf>
    <xf numFmtId="0" fontId="6" fillId="0" borderId="2" xfId="0" applyFont="1" applyBorder="1"/>
    <xf numFmtId="0" fontId="6" fillId="0" borderId="4" xfId="0" applyFont="1" applyBorder="1" applyAlignment="1">
      <alignment wrapText="1"/>
    </xf>
    <xf numFmtId="166" fontId="7" fillId="0" borderId="7" xfId="1" applyFont="1" applyFill="1" applyBorder="1" applyAlignment="1">
      <alignment horizontal="right" vertical="center"/>
    </xf>
    <xf numFmtId="43" fontId="6" fillId="0" borderId="7" xfId="2" applyFont="1" applyFill="1" applyBorder="1" applyAlignment="1">
      <alignment horizontal="right" vertical="center"/>
    </xf>
    <xf numFmtId="0" fontId="6" fillId="0" borderId="2" xfId="0" quotePrefix="1" applyFont="1" applyBorder="1" applyAlignment="1">
      <alignment wrapText="1"/>
    </xf>
    <xf numFmtId="0" fontId="6" fillId="0" borderId="5" xfId="0" applyFont="1" applyBorder="1" applyAlignment="1">
      <alignment horizontal="center" vertical="center"/>
    </xf>
    <xf numFmtId="166" fontId="42" fillId="0" borderId="2" xfId="1" applyFont="1" applyFill="1" applyBorder="1" applyAlignment="1">
      <alignment horizontal="center" vertical="center"/>
    </xf>
    <xf numFmtId="0" fontId="42" fillId="0" borderId="2" xfId="0" applyFont="1" applyBorder="1" applyAlignment="1">
      <alignment wrapText="1"/>
    </xf>
    <xf numFmtId="166" fontId="6" fillId="0" borderId="0" xfId="1" applyFont="1" applyFill="1"/>
    <xf numFmtId="43" fontId="6" fillId="0" borderId="0" xfId="2" applyFont="1" applyFill="1"/>
    <xf numFmtId="43" fontId="6" fillId="0" borderId="0" xfId="2" applyFont="1" applyFill="1" applyAlignment="1">
      <alignment vertical="center"/>
    </xf>
    <xf numFmtId="0" fontId="42" fillId="0" borderId="3" xfId="0" applyFont="1" applyBorder="1" applyAlignment="1">
      <alignment horizontal="left" vertical="center" wrapText="1"/>
    </xf>
    <xf numFmtId="166" fontId="6" fillId="0" borderId="3" xfId="1" applyFont="1" applyFill="1" applyBorder="1" applyAlignment="1">
      <alignment horizontal="center" vertical="center"/>
    </xf>
    <xf numFmtId="166" fontId="6" fillId="0" borderId="3" xfId="1" applyFont="1" applyFill="1" applyBorder="1"/>
    <xf numFmtId="4" fontId="6" fillId="0" borderId="2" xfId="0" applyNumberFormat="1" applyFont="1" applyBorder="1"/>
    <xf numFmtId="0" fontId="6" fillId="0" borderId="3" xfId="0" applyFont="1" applyBorder="1" applyAlignment="1">
      <alignment horizontal="left" vertical="center" wrapText="1"/>
    </xf>
    <xf numFmtId="0" fontId="6" fillId="0" borderId="4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166" fontId="6" fillId="0" borderId="2" xfId="1" applyFont="1" applyFill="1" applyBorder="1"/>
    <xf numFmtId="166" fontId="6" fillId="0" borderId="6" xfId="1" applyFont="1" applyFill="1" applyBorder="1"/>
    <xf numFmtId="43" fontId="6" fillId="0" borderId="4" xfId="0" applyNumberFormat="1" applyFont="1" applyBorder="1"/>
    <xf numFmtId="0" fontId="41" fillId="0" borderId="2" xfId="0" applyFont="1" applyBorder="1" applyAlignment="1">
      <alignment wrapText="1"/>
    </xf>
    <xf numFmtId="0" fontId="42" fillId="0" borderId="2" xfId="0" applyFont="1" applyBorder="1"/>
    <xf numFmtId="166" fontId="7" fillId="0" borderId="2" xfId="1" applyFont="1" applyFill="1" applyBorder="1" applyAlignment="1"/>
    <xf numFmtId="0" fontId="43" fillId="0" borderId="3" xfId="0" applyFont="1" applyBorder="1" applyAlignment="1">
      <alignment horizontal="left" vertical="center" wrapText="1"/>
    </xf>
    <xf numFmtId="0" fontId="43" fillId="0" borderId="4" xfId="0" applyFont="1" applyBorder="1" applyAlignment="1">
      <alignment horizontal="center" vertical="center"/>
    </xf>
    <xf numFmtId="0" fontId="43" fillId="0" borderId="7" xfId="0" applyFont="1" applyBorder="1" applyAlignment="1">
      <alignment horizontal="center" vertical="center"/>
    </xf>
    <xf numFmtId="166" fontId="43" fillId="0" borderId="2" xfId="1" applyFont="1" applyFill="1" applyBorder="1"/>
    <xf numFmtId="166" fontId="6" fillId="0" borderId="2" xfId="1" applyFont="1" applyFill="1" applyBorder="1" applyAlignment="1">
      <alignment horizontal="center" vertical="center"/>
    </xf>
    <xf numFmtId="0" fontId="6" fillId="0" borderId="2" xfId="0" quotePrefix="1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/>
    </xf>
    <xf numFmtId="0" fontId="7" fillId="0" borderId="2" xfId="0" quotePrefix="1" applyFont="1" applyBorder="1" applyAlignment="1">
      <alignment horizontal="left" vertical="center" wrapText="1"/>
    </xf>
    <xf numFmtId="0" fontId="6" fillId="0" borderId="5" xfId="0" applyFont="1" applyBorder="1" applyAlignment="1">
      <alignment horizontal="center"/>
    </xf>
    <xf numFmtId="166" fontId="6" fillId="0" borderId="7" xfId="1" applyFont="1" applyFill="1" applyBorder="1"/>
    <xf numFmtId="166" fontId="8" fillId="3" borderId="0" xfId="1" applyFont="1" applyFill="1" applyAlignment="1">
      <alignment vertical="center"/>
    </xf>
    <xf numFmtId="0" fontId="10" fillId="3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wrapText="1"/>
    </xf>
    <xf numFmtId="0" fontId="8" fillId="2" borderId="0" xfId="0" applyFont="1" applyFill="1" applyAlignment="1">
      <alignment wrapText="1"/>
    </xf>
    <xf numFmtId="0" fontId="16" fillId="2" borderId="2" xfId="0" applyFont="1" applyFill="1" applyBorder="1" applyAlignment="1">
      <alignment vertical="center" wrapText="1"/>
    </xf>
    <xf numFmtId="0" fontId="15" fillId="2" borderId="2" xfId="0" applyFont="1" applyFill="1" applyBorder="1" applyAlignment="1">
      <alignment horizontal="left" vertical="center" wrapText="1"/>
    </xf>
    <xf numFmtId="0" fontId="3" fillId="2" borderId="2" xfId="1" applyNumberFormat="1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wrapText="1"/>
    </xf>
    <xf numFmtId="0" fontId="22" fillId="2" borderId="2" xfId="0" applyFont="1" applyFill="1" applyBorder="1" applyAlignment="1">
      <alignment horizontal="left" vertical="center" wrapText="1"/>
    </xf>
    <xf numFmtId="0" fontId="12" fillId="2" borderId="2" xfId="0" applyFont="1" applyFill="1" applyBorder="1" applyAlignment="1">
      <alignment vertical="center" wrapText="1"/>
    </xf>
    <xf numFmtId="4" fontId="12" fillId="2" borderId="2" xfId="0" applyNumberFormat="1" applyFont="1" applyFill="1" applyBorder="1" applyAlignment="1">
      <alignment vertical="center" wrapText="1"/>
    </xf>
    <xf numFmtId="0" fontId="12" fillId="2" borderId="2" xfId="0" applyFont="1" applyFill="1" applyBorder="1" applyAlignment="1">
      <alignment horizontal="left" vertical="center" wrapText="1"/>
    </xf>
    <xf numFmtId="4" fontId="12" fillId="2" borderId="2" xfId="0" applyNumberFormat="1" applyFont="1" applyFill="1" applyBorder="1" applyAlignment="1">
      <alignment horizontal="right" vertical="center" wrapText="1"/>
    </xf>
    <xf numFmtId="4" fontId="7" fillId="2" borderId="2" xfId="0" applyNumberFormat="1" applyFont="1" applyFill="1" applyBorder="1" applyAlignment="1">
      <alignment wrapText="1"/>
    </xf>
    <xf numFmtId="0" fontId="16" fillId="2" borderId="2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vertical="center" wrapText="1"/>
    </xf>
    <xf numFmtId="0" fontId="11" fillId="2" borderId="7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vertical="center"/>
    </xf>
    <xf numFmtId="4" fontId="16" fillId="2" borderId="2" xfId="0" applyNumberFormat="1" applyFont="1" applyFill="1" applyBorder="1" applyAlignment="1">
      <alignment horizontal="right" vertical="center"/>
    </xf>
    <xf numFmtId="0" fontId="16" fillId="2" borderId="4" xfId="0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/>
    </xf>
    <xf numFmtId="43" fontId="23" fillId="3" borderId="2" xfId="0" applyNumberFormat="1" applyFont="1" applyFill="1" applyBorder="1"/>
    <xf numFmtId="166" fontId="8" fillId="3" borderId="0" xfId="1" applyFont="1" applyFill="1"/>
    <xf numFmtId="0" fontId="8" fillId="3" borderId="0" xfId="0" applyFont="1" applyFill="1" applyAlignment="1">
      <alignment vertical="center"/>
    </xf>
    <xf numFmtId="0" fontId="8" fillId="2" borderId="0" xfId="0" applyFont="1" applyFill="1" applyAlignment="1">
      <alignment vertical="center"/>
    </xf>
    <xf numFmtId="0" fontId="41" fillId="0" borderId="0" xfId="0" applyFont="1" applyAlignment="1">
      <alignment horizontal="center" wrapText="1"/>
    </xf>
    <xf numFmtId="0" fontId="6" fillId="0" borderId="0" xfId="0" applyFont="1" applyAlignment="1">
      <alignment horizontal="left" vertical="top" wrapText="1"/>
    </xf>
    <xf numFmtId="0" fontId="6" fillId="0" borderId="0" xfId="0" applyFont="1" applyAlignment="1">
      <alignment vertical="top" wrapText="1"/>
    </xf>
    <xf numFmtId="0" fontId="42" fillId="0" borderId="2" xfId="0" applyFont="1" applyBorder="1" applyAlignment="1">
      <alignment vertical="center" wrapText="1"/>
    </xf>
    <xf numFmtId="0" fontId="6" fillId="0" borderId="7" xfId="0" applyFont="1" applyBorder="1" applyAlignment="1">
      <alignment horizontal="left" wrapText="1"/>
    </xf>
    <xf numFmtId="166" fontId="6" fillId="0" borderId="2" xfId="1" applyFont="1" applyFill="1" applyBorder="1" applyAlignment="1">
      <alignment wrapText="1"/>
    </xf>
    <xf numFmtId="43" fontId="6" fillId="0" borderId="4" xfId="0" applyNumberFormat="1" applyFont="1" applyBorder="1" applyAlignment="1">
      <alignment wrapText="1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4" fontId="6" fillId="0" borderId="2" xfId="0" applyNumberFormat="1" applyFont="1" applyBorder="1" applyAlignment="1">
      <alignment horizontal="right" vertical="center" wrapText="1"/>
    </xf>
    <xf numFmtId="166" fontId="6" fillId="0" borderId="2" xfId="1" applyFont="1" applyFill="1" applyBorder="1" applyAlignment="1">
      <alignment horizontal="right" vertical="center" wrapText="1"/>
    </xf>
    <xf numFmtId="0" fontId="28" fillId="0" borderId="2" xfId="0" applyFont="1" applyBorder="1" applyAlignment="1">
      <alignment vertical="center"/>
    </xf>
    <xf numFmtId="4" fontId="6" fillId="0" borderId="2" xfId="0" applyNumberFormat="1" applyFont="1" applyBorder="1" applyAlignment="1">
      <alignment horizontal="right" vertical="center"/>
    </xf>
    <xf numFmtId="166" fontId="6" fillId="0" borderId="7" xfId="1" applyFont="1" applyFill="1" applyBorder="1" applyAlignment="1">
      <alignment horizontal="right" vertical="center" wrapText="1"/>
    </xf>
    <xf numFmtId="43" fontId="6" fillId="0" borderId="7" xfId="2" applyFont="1" applyFill="1" applyBorder="1" applyAlignment="1">
      <alignment horizontal="right" vertical="center" wrapText="1"/>
    </xf>
    <xf numFmtId="43" fontId="6" fillId="0" borderId="2" xfId="0" applyNumberFormat="1" applyFont="1" applyBorder="1"/>
    <xf numFmtId="0" fontId="6" fillId="0" borderId="2" xfId="0" applyFont="1" applyBorder="1" applyAlignment="1">
      <alignment vertical="center"/>
    </xf>
    <xf numFmtId="43" fontId="42" fillId="0" borderId="2" xfId="0" applyNumberFormat="1" applyFont="1" applyBorder="1" applyAlignment="1">
      <alignment vertical="center"/>
    </xf>
    <xf numFmtId="0" fontId="2" fillId="2" borderId="0" xfId="0" applyFont="1" applyFill="1" applyAlignment="1">
      <alignment horizontal="center" wrapText="1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vertical="center" wrapText="1"/>
    </xf>
    <xf numFmtId="43" fontId="3" fillId="2" borderId="0" xfId="2" applyFont="1" applyFill="1"/>
    <xf numFmtId="0" fontId="7" fillId="2" borderId="0" xfId="0" applyFont="1" applyFill="1" applyAlignment="1">
      <alignment wrapText="1"/>
    </xf>
    <xf numFmtId="0" fontId="10" fillId="2" borderId="0" xfId="0" applyFont="1" applyFill="1" applyAlignment="1">
      <alignment horizontal="left" vertical="center" wrapText="1"/>
    </xf>
    <xf numFmtId="43" fontId="3" fillId="2" borderId="0" xfId="2" applyFont="1" applyFill="1" applyAlignment="1">
      <alignment vertical="center"/>
    </xf>
    <xf numFmtId="43" fontId="3" fillId="2" borderId="2" xfId="2" applyFont="1" applyFill="1" applyBorder="1" applyAlignment="1">
      <alignment horizontal="center" vertical="center" wrapText="1"/>
    </xf>
    <xf numFmtId="0" fontId="3" fillId="2" borderId="2" xfId="2" applyNumberFormat="1" applyFont="1" applyFill="1" applyBorder="1" applyAlignment="1">
      <alignment horizontal="center" vertical="center"/>
    </xf>
    <xf numFmtId="0" fontId="15" fillId="2" borderId="2" xfId="0" quotePrefix="1" applyFont="1" applyFill="1" applyBorder="1" applyAlignment="1">
      <alignment horizontal="left" vertical="center" wrapText="1"/>
    </xf>
    <xf numFmtId="0" fontId="15" fillId="2" borderId="17" xfId="0" applyFont="1" applyFill="1" applyBorder="1" applyAlignment="1">
      <alignment horizontal="left" vertical="center" wrapText="1"/>
    </xf>
    <xf numFmtId="0" fontId="3" fillId="2" borderId="2" xfId="0" applyFont="1" applyFill="1" applyBorder="1" applyAlignment="1">
      <alignment horizontal="right" vertical="center"/>
    </xf>
    <xf numFmtId="43" fontId="3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 wrapText="1"/>
    </xf>
    <xf numFmtId="0" fontId="3" fillId="2" borderId="2" xfId="0" quotePrefix="1" applyFont="1" applyFill="1" applyBorder="1" applyAlignment="1">
      <alignment horizontal="left" vertical="center" wrapText="1"/>
    </xf>
    <xf numFmtId="4" fontId="3" fillId="2" borderId="2" xfId="0" applyNumberFormat="1" applyFont="1" applyFill="1" applyBorder="1" applyAlignment="1">
      <alignment horizontal="right" vertical="center"/>
    </xf>
    <xf numFmtId="0" fontId="7" fillId="2" borderId="2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left" vertical="center" wrapText="1"/>
    </xf>
    <xf numFmtId="0" fontId="2" fillId="2" borderId="3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 wrapText="1"/>
    </xf>
    <xf numFmtId="166" fontId="3" fillId="2" borderId="2" xfId="1" applyFont="1" applyFill="1" applyBorder="1" applyAlignment="1">
      <alignment horizontal="right"/>
    </xf>
    <xf numFmtId="4" fontId="3" fillId="2" borderId="2" xfId="0" applyNumberFormat="1" applyFont="1" applyFill="1" applyBorder="1" applyAlignment="1">
      <alignment horizontal="right" vertical="center" wrapText="1"/>
    </xf>
    <xf numFmtId="0" fontId="23" fillId="2" borderId="2" xfId="0" applyFont="1" applyFill="1" applyBorder="1" applyAlignment="1">
      <alignment horizontal="left" vertical="center" wrapText="1"/>
    </xf>
    <xf numFmtId="0" fontId="24" fillId="2" borderId="2" xfId="0" quotePrefix="1" applyFont="1" applyFill="1" applyBorder="1" applyAlignment="1">
      <alignment horizontal="left" vertical="center" wrapText="1"/>
    </xf>
    <xf numFmtId="0" fontId="16" fillId="2" borderId="2" xfId="0" applyFont="1" applyFill="1" applyBorder="1" applyAlignment="1">
      <alignment vertical="center"/>
    </xf>
    <xf numFmtId="0" fontId="15" fillId="2" borderId="2" xfId="0" applyFont="1" applyFill="1" applyBorder="1" applyAlignment="1">
      <alignment wrapText="1"/>
    </xf>
    <xf numFmtId="0" fontId="15" fillId="2" borderId="2" xfId="0" applyFont="1" applyFill="1" applyBorder="1" applyAlignment="1">
      <alignment vertical="center" wrapText="1"/>
    </xf>
    <xf numFmtId="0" fontId="3" fillId="2" borderId="2" xfId="0" quotePrefix="1" applyFont="1" applyFill="1" applyBorder="1" applyAlignment="1">
      <alignment wrapText="1"/>
    </xf>
    <xf numFmtId="4" fontId="3" fillId="2" borderId="2" xfId="0" applyNumberFormat="1" applyFont="1" applyFill="1" applyBorder="1" applyAlignment="1">
      <alignment horizontal="center" vertical="center"/>
    </xf>
    <xf numFmtId="43" fontId="3" fillId="2" borderId="2" xfId="0" applyNumberFormat="1" applyFont="1" applyFill="1" applyBorder="1" applyAlignment="1">
      <alignment horizontal="center" vertical="center"/>
    </xf>
    <xf numFmtId="43" fontId="23" fillId="2" borderId="2" xfId="0" applyNumberFormat="1" applyFont="1" applyFill="1" applyBorder="1"/>
    <xf numFmtId="0" fontId="2" fillId="3" borderId="2" xfId="1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wrapText="1"/>
    </xf>
    <xf numFmtId="0" fontId="2" fillId="3" borderId="2" xfId="0" applyFont="1" applyFill="1" applyBorder="1" applyAlignment="1">
      <alignment horizontal="left"/>
    </xf>
    <xf numFmtId="0" fontId="15" fillId="3" borderId="2" xfId="0" applyFont="1" applyFill="1" applyBorder="1"/>
    <xf numFmtId="0" fontId="3" fillId="3" borderId="2" xfId="0" quotePrefix="1" applyFont="1" applyFill="1" applyBorder="1"/>
    <xf numFmtId="166" fontId="3" fillId="3" borderId="7" xfId="1" applyFont="1" applyFill="1" applyBorder="1"/>
    <xf numFmtId="166" fontId="3" fillId="3" borderId="2" xfId="1" applyFont="1" applyFill="1" applyBorder="1"/>
    <xf numFmtId="0" fontId="3" fillId="3" borderId="4" xfId="0" quotePrefix="1" applyFont="1" applyFill="1" applyBorder="1" applyAlignment="1">
      <alignment vertical="center" wrapText="1"/>
    </xf>
    <xf numFmtId="4" fontId="3" fillId="3" borderId="2" xfId="0" applyNumberFormat="1" applyFont="1" applyFill="1" applyBorder="1" applyAlignment="1">
      <alignment vertical="center"/>
    </xf>
    <xf numFmtId="43" fontId="2" fillId="3" borderId="2" xfId="0" applyNumberFormat="1" applyFont="1" applyFill="1" applyBorder="1" applyAlignment="1">
      <alignment vertical="center"/>
    </xf>
    <xf numFmtId="0" fontId="3" fillId="3" borderId="4" xfId="0" quotePrefix="1" applyFont="1" applyFill="1" applyBorder="1"/>
    <xf numFmtId="0" fontId="3" fillId="3" borderId="5" xfId="0" applyFont="1" applyFill="1" applyBorder="1" applyAlignment="1">
      <alignment horizontal="center"/>
    </xf>
    <xf numFmtId="4" fontId="3" fillId="3" borderId="7" xfId="0" applyNumberFormat="1" applyFont="1" applyFill="1" applyBorder="1"/>
    <xf numFmtId="43" fontId="15" fillId="3" borderId="2" xfId="0" applyNumberFormat="1" applyFont="1" applyFill="1" applyBorder="1" applyAlignment="1">
      <alignment vertical="center"/>
    </xf>
    <xf numFmtId="0" fontId="23" fillId="3" borderId="0" xfId="0" applyFont="1" applyFill="1" applyAlignment="1">
      <alignment horizontal="center"/>
    </xf>
    <xf numFmtId="0" fontId="26" fillId="3" borderId="0" xfId="0" applyFont="1" applyFill="1" applyAlignment="1">
      <alignment vertical="center"/>
    </xf>
    <xf numFmtId="166" fontId="24" fillId="3" borderId="0" xfId="1" applyFont="1" applyFill="1" applyAlignment="1">
      <alignment vertical="center"/>
    </xf>
    <xf numFmtId="0" fontId="26" fillId="3" borderId="0" xfId="0" applyFont="1" applyFill="1" applyAlignment="1">
      <alignment vertical="center" wrapText="1"/>
    </xf>
    <xf numFmtId="0" fontId="24" fillId="3" borderId="0" xfId="0" applyFont="1" applyFill="1"/>
    <xf numFmtId="0" fontId="15" fillId="3" borderId="0" xfId="0" applyFont="1" applyFill="1"/>
    <xf numFmtId="0" fontId="24" fillId="2" borderId="0" xfId="0" applyFont="1" applyFill="1"/>
    <xf numFmtId="0" fontId="2" fillId="3" borderId="2" xfId="2" applyNumberFormat="1" applyFont="1" applyFill="1" applyBorder="1" applyAlignment="1">
      <alignment horizontal="center" vertical="center"/>
    </xf>
    <xf numFmtId="43" fontId="3" fillId="3" borderId="2" xfId="2" applyFont="1" applyFill="1" applyBorder="1" applyAlignment="1">
      <alignment vertical="center"/>
    </xf>
    <xf numFmtId="43" fontId="3" fillId="3" borderId="2" xfId="2" applyFont="1" applyFill="1" applyBorder="1"/>
    <xf numFmtId="0" fontId="3" fillId="3" borderId="6" xfId="0" applyFont="1" applyFill="1" applyBorder="1" applyAlignment="1">
      <alignment horizontal="center"/>
    </xf>
    <xf numFmtId="0" fontId="3" fillId="3" borderId="8" xfId="0" applyFont="1" applyFill="1" applyBorder="1"/>
    <xf numFmtId="43" fontId="3" fillId="3" borderId="3" xfId="2" applyFont="1" applyFill="1" applyBorder="1"/>
    <xf numFmtId="43" fontId="3" fillId="3" borderId="0" xfId="2" applyFont="1" applyFill="1"/>
    <xf numFmtId="43" fontId="3" fillId="3" borderId="0" xfId="2" applyFont="1" applyFill="1" applyAlignment="1">
      <alignment wrapText="1"/>
    </xf>
    <xf numFmtId="0" fontId="2" fillId="3" borderId="0" xfId="0" applyFont="1" applyFill="1" applyAlignment="1">
      <alignment vertical="top"/>
    </xf>
    <xf numFmtId="0" fontId="2" fillId="3" borderId="0" xfId="0" applyFont="1" applyFill="1" applyAlignment="1">
      <alignment vertical="top" wrapText="1"/>
    </xf>
    <xf numFmtId="43" fontId="3" fillId="3" borderId="0" xfId="2" applyFont="1" applyFill="1" applyAlignment="1">
      <alignment vertical="center"/>
    </xf>
    <xf numFmtId="43" fontId="2" fillId="3" borderId="0" xfId="2" applyFont="1" applyFill="1"/>
    <xf numFmtId="0" fontId="3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43" fontId="3" fillId="3" borderId="2" xfId="2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/>
    </xf>
    <xf numFmtId="0" fontId="3" fillId="3" borderId="2" xfId="2" applyNumberFormat="1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left" vertical="center"/>
    </xf>
    <xf numFmtId="0" fontId="2" fillId="3" borderId="2" xfId="0" applyFont="1" applyFill="1" applyBorder="1" applyAlignment="1">
      <alignment horizontal="left" vertical="center" wrapText="1"/>
    </xf>
    <xf numFmtId="0" fontId="3" fillId="3" borderId="2" xfId="0" applyFont="1" applyFill="1" applyBorder="1" applyAlignment="1">
      <alignment horizontal="left"/>
    </xf>
    <xf numFmtId="43" fontId="3" fillId="3" borderId="2" xfId="2" applyFont="1" applyFill="1" applyBorder="1" applyAlignment="1"/>
    <xf numFmtId="43" fontId="23" fillId="3" borderId="2" xfId="0" applyNumberFormat="1" applyFont="1" applyFill="1" applyBorder="1" applyAlignment="1">
      <alignment vertical="center"/>
    </xf>
    <xf numFmtId="0" fontId="3" fillId="3" borderId="2" xfId="0" applyFont="1" applyFill="1" applyBorder="1" applyAlignment="1">
      <alignment horizontal="left" vertical="center" wrapText="1"/>
    </xf>
    <xf numFmtId="1" fontId="3" fillId="3" borderId="4" xfId="0" applyNumberFormat="1" applyFont="1" applyFill="1" applyBorder="1" applyAlignment="1">
      <alignment horizontal="center" vertical="center"/>
    </xf>
    <xf numFmtId="43" fontId="3" fillId="3" borderId="2" xfId="0" applyNumberFormat="1" applyFont="1" applyFill="1" applyBorder="1" applyAlignment="1">
      <alignment vertical="center"/>
    </xf>
    <xf numFmtId="43" fontId="23" fillId="3" borderId="2" xfId="0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wrapText="1"/>
    </xf>
    <xf numFmtId="0" fontId="3" fillId="2" borderId="2" xfId="2" applyNumberFormat="1" applyFont="1" applyFill="1" applyBorder="1" applyAlignment="1">
      <alignment horizontal="center" vertical="center" wrapText="1"/>
    </xf>
    <xf numFmtId="0" fontId="0" fillId="2" borderId="2" xfId="0" applyFill="1" applyBorder="1"/>
    <xf numFmtId="0" fontId="15" fillId="2" borderId="2" xfId="0" applyFont="1" applyFill="1" applyBorder="1" applyAlignment="1">
      <alignment horizontal="left" vertical="center"/>
    </xf>
    <xf numFmtId="0" fontId="0" fillId="2" borderId="2" xfId="0" applyFill="1" applyBorder="1" applyAlignment="1">
      <alignment wrapText="1"/>
    </xf>
    <xf numFmtId="0" fontId="15" fillId="2" borderId="4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2" fillId="2" borderId="7" xfId="0" applyFont="1" applyFill="1" applyBorder="1" applyAlignment="1">
      <alignment horizontal="center" vertical="center"/>
    </xf>
    <xf numFmtId="43" fontId="3" fillId="2" borderId="2" xfId="2" applyFont="1" applyFill="1" applyBorder="1"/>
    <xf numFmtId="0" fontId="0" fillId="0" borderId="0" xfId="0" applyAlignment="1">
      <alignment horizontal="left"/>
    </xf>
    <xf numFmtId="43" fontId="3" fillId="2" borderId="2" xfId="2" applyFont="1" applyFill="1" applyBorder="1" applyAlignment="1"/>
    <xf numFmtId="0" fontId="3" fillId="2" borderId="2" xfId="0" quotePrefix="1" applyFont="1" applyFill="1" applyBorder="1" applyAlignment="1">
      <alignment horizontal="left" vertical="center"/>
    </xf>
    <xf numFmtId="0" fontId="23" fillId="2" borderId="0" xfId="0" applyFont="1" applyFill="1" applyAlignment="1">
      <alignment horizontal="center"/>
    </xf>
    <xf numFmtId="0" fontId="23" fillId="2" borderId="0" xfId="0" applyFont="1" applyFill="1" applyAlignment="1">
      <alignment horizontal="center" wrapText="1"/>
    </xf>
    <xf numFmtId="43" fontId="15" fillId="2" borderId="0" xfId="2" applyFont="1" applyFill="1"/>
    <xf numFmtId="0" fontId="25" fillId="2" borderId="0" xfId="0" applyFont="1" applyFill="1" applyAlignment="1">
      <alignment wrapText="1"/>
    </xf>
    <xf numFmtId="0" fontId="10" fillId="2" borderId="0" xfId="0" applyFont="1" applyFill="1" applyAlignment="1">
      <alignment horizontal="left" vertical="center"/>
    </xf>
    <xf numFmtId="43" fontId="15" fillId="2" borderId="0" xfId="2" applyFont="1" applyFill="1" applyAlignment="1">
      <alignment vertical="center"/>
    </xf>
    <xf numFmtId="0" fontId="10" fillId="2" borderId="0" xfId="0" applyFont="1" applyFill="1" applyAlignment="1">
      <alignment vertical="top" wrapText="1"/>
    </xf>
    <xf numFmtId="0" fontId="26" fillId="2" borderId="0" xfId="0" applyFont="1" applyFill="1" applyAlignment="1">
      <alignment vertical="center" wrapText="1"/>
    </xf>
    <xf numFmtId="0" fontId="15" fillId="2" borderId="0" xfId="0" applyFont="1" applyFill="1"/>
    <xf numFmtId="0" fontId="15" fillId="2" borderId="2" xfId="0" applyFont="1" applyFill="1" applyBorder="1" applyAlignment="1">
      <alignment horizontal="center" vertical="center" wrapText="1"/>
    </xf>
    <xf numFmtId="43" fontId="15" fillId="2" borderId="2" xfId="2" applyFont="1" applyFill="1" applyBorder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0" fillId="2" borderId="2" xfId="0" applyFill="1" applyBorder="1" applyAlignment="1">
      <alignment horizontal="center" wrapText="1"/>
    </xf>
    <xf numFmtId="0" fontId="15" fillId="2" borderId="2" xfId="0" quotePrefix="1" applyFont="1" applyFill="1" applyBorder="1" applyAlignment="1">
      <alignment horizontal="left" vertical="center"/>
    </xf>
    <xf numFmtId="0" fontId="3" fillId="2" borderId="2" xfId="0" quotePrefix="1" applyFont="1" applyFill="1" applyBorder="1" applyAlignment="1">
      <alignment horizontal="left" vertical="top" wrapText="1"/>
    </xf>
    <xf numFmtId="0" fontId="3" fillId="2" borderId="2" xfId="0" applyFont="1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/>
    </xf>
    <xf numFmtId="166" fontId="3" fillId="0" borderId="2" xfId="1" applyFont="1" applyBorder="1" applyAlignment="1">
      <alignment horizontal="right"/>
    </xf>
    <xf numFmtId="0" fontId="24" fillId="2" borderId="2" xfId="0" quotePrefix="1" applyFont="1" applyFill="1" applyBorder="1" applyAlignment="1">
      <alignment horizontal="left" vertical="top" wrapText="1"/>
    </xf>
    <xf numFmtId="0" fontId="3" fillId="2" borderId="6" xfId="0" applyFont="1" applyFill="1" applyBorder="1" applyAlignment="1">
      <alignment horizontal="left" vertical="center"/>
    </xf>
    <xf numFmtId="0" fontId="15" fillId="2" borderId="2" xfId="0" quotePrefix="1" applyFont="1" applyFill="1" applyBorder="1" applyAlignment="1">
      <alignment horizontal="left" vertical="top" wrapText="1"/>
    </xf>
    <xf numFmtId="0" fontId="0" fillId="2" borderId="0" xfId="0" applyFill="1" applyAlignment="1">
      <alignment wrapText="1"/>
    </xf>
    <xf numFmtId="0" fontId="3" fillId="2" borderId="2" xfId="0" applyFont="1" applyFill="1" applyBorder="1" applyAlignment="1">
      <alignment vertical="center"/>
    </xf>
    <xf numFmtId="0" fontId="3" fillId="2" borderId="9" xfId="0" applyFont="1" applyFill="1" applyBorder="1"/>
    <xf numFmtId="4" fontId="3" fillId="2" borderId="9" xfId="0" applyNumberFormat="1" applyFont="1" applyFill="1" applyBorder="1"/>
    <xf numFmtId="0" fontId="8" fillId="2" borderId="0" xfId="0" applyFont="1" applyFill="1" applyAlignment="1">
      <alignment horizontal="left"/>
    </xf>
    <xf numFmtId="0" fontId="8" fillId="2" borderId="0" xfId="0" applyFont="1" applyFill="1" applyAlignment="1">
      <alignment horizontal="left" vertical="top"/>
    </xf>
    <xf numFmtId="0" fontId="8" fillId="2" borderId="0" xfId="0" applyFont="1" applyFill="1" applyAlignment="1">
      <alignment vertical="center" wrapText="1"/>
    </xf>
    <xf numFmtId="0" fontId="3" fillId="2" borderId="0" xfId="0" applyFont="1" applyFill="1" applyAlignment="1">
      <alignment horizontal="left" vertical="top"/>
    </xf>
    <xf numFmtId="0" fontId="8" fillId="2" borderId="0" xfId="0" applyFont="1" applyFill="1" applyAlignment="1">
      <alignment vertical="top" wrapText="1"/>
    </xf>
    <xf numFmtId="0" fontId="0" fillId="2" borderId="2" xfId="0" applyFill="1" applyBorder="1" applyAlignment="1">
      <alignment horizontal="center" vertical="center" wrapText="1"/>
    </xf>
    <xf numFmtId="0" fontId="3" fillId="2" borderId="11" xfId="0" applyFont="1" applyFill="1" applyBorder="1" applyAlignment="1">
      <alignment horizontal="left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wrapText="1"/>
    </xf>
    <xf numFmtId="0" fontId="7" fillId="0" borderId="2" xfId="0" applyFont="1" applyBorder="1" applyAlignment="1">
      <alignment vertical="center"/>
    </xf>
    <xf numFmtId="0" fontId="27" fillId="0" borderId="2" xfId="0" applyFont="1" applyBorder="1"/>
    <xf numFmtId="0" fontId="7" fillId="0" borderId="2" xfId="0" applyFont="1" applyBorder="1" applyAlignment="1">
      <alignment vertical="center" wrapText="1"/>
    </xf>
    <xf numFmtId="0" fontId="27" fillId="0" borderId="2" xfId="0" applyFont="1" applyBorder="1" applyAlignment="1">
      <alignment wrapText="1"/>
    </xf>
    <xf numFmtId="0" fontId="7" fillId="0" borderId="4" xfId="0" applyFont="1" applyBorder="1" applyAlignment="1">
      <alignment wrapText="1"/>
    </xf>
    <xf numFmtId="0" fontId="7" fillId="0" borderId="7" xfId="0" applyFont="1" applyBorder="1" applyAlignment="1">
      <alignment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166" fontId="7" fillId="0" borderId="2" xfId="1" applyFont="1" applyBorder="1"/>
    <xf numFmtId="39" fontId="7" fillId="0" borderId="2" xfId="0" applyNumberFormat="1" applyFont="1" applyBorder="1"/>
    <xf numFmtId="39" fontId="7" fillId="0" borderId="2" xfId="0" applyNumberFormat="1" applyFont="1" applyBorder="1" applyAlignment="1">
      <alignment wrapText="1"/>
    </xf>
    <xf numFmtId="0" fontId="27" fillId="0" borderId="2" xfId="0" applyFont="1" applyBorder="1" applyAlignment="1">
      <alignment vertical="top" wrapText="1"/>
    </xf>
    <xf numFmtId="0" fontId="6" fillId="0" borderId="0" xfId="0" applyFont="1" applyAlignment="1">
      <alignment horizontal="center"/>
    </xf>
    <xf numFmtId="0" fontId="42" fillId="0" borderId="2" xfId="0" applyFont="1" applyBorder="1" applyAlignment="1">
      <alignment horizontal="center" vertical="center" wrapText="1"/>
    </xf>
    <xf numFmtId="0" fontId="31" fillId="0" borderId="0" xfId="0" applyFont="1" applyAlignment="1">
      <alignment horizontal="center"/>
    </xf>
    <xf numFmtId="0" fontId="0" fillId="0" borderId="7" xfId="0" applyBorder="1"/>
    <xf numFmtId="0" fontId="0" fillId="0" borderId="9" xfId="0" applyBorder="1" applyAlignment="1">
      <alignment wrapText="1"/>
    </xf>
    <xf numFmtId="0" fontId="0" fillId="0" borderId="3" xfId="0" applyBorder="1"/>
    <xf numFmtId="0" fontId="0" fillId="0" borderId="3" xfId="0" applyBorder="1" applyAlignment="1">
      <alignment wrapText="1"/>
    </xf>
    <xf numFmtId="166" fontId="0" fillId="0" borderId="2" xfId="1" applyFont="1" applyBorder="1" applyAlignment="1">
      <alignment wrapText="1"/>
    </xf>
    <xf numFmtId="166" fontId="0" fillId="0" borderId="9" xfId="1" applyFont="1" applyBorder="1"/>
    <xf numFmtId="166" fontId="25" fillId="0" borderId="38" xfId="1" applyFont="1" applyBorder="1"/>
    <xf numFmtId="166" fontId="0" fillId="0" borderId="3" xfId="1" applyFont="1" applyBorder="1"/>
    <xf numFmtId="166" fontId="0" fillId="0" borderId="9" xfId="1" applyFont="1" applyBorder="1" applyAlignment="1">
      <alignment wrapText="1"/>
    </xf>
    <xf numFmtId="0" fontId="21" fillId="2" borderId="0" xfId="0" applyFont="1" applyFill="1" applyAlignment="1">
      <alignment vertical="top" wrapText="1"/>
    </xf>
    <xf numFmtId="166" fontId="25" fillId="0" borderId="22" xfId="1" applyFont="1" applyBorder="1"/>
    <xf numFmtId="0" fontId="0" fillId="0" borderId="3" xfId="0" applyBorder="1" applyAlignment="1">
      <alignment horizontal="center" vertical="center"/>
    </xf>
    <xf numFmtId="166" fontId="25" fillId="0" borderId="36" xfId="1" applyFont="1" applyBorder="1"/>
    <xf numFmtId="0" fontId="0" fillId="0" borderId="41" xfId="0" applyBorder="1"/>
    <xf numFmtId="0" fontId="0" fillId="0" borderId="38" xfId="0" applyBorder="1"/>
    <xf numFmtId="0" fontId="7" fillId="0" borderId="0" xfId="0" applyFont="1" applyAlignment="1">
      <alignment horizontal="center"/>
    </xf>
    <xf numFmtId="0" fontId="41" fillId="0" borderId="0" xfId="0" applyFont="1"/>
    <xf numFmtId="0" fontId="41" fillId="0" borderId="0" xfId="0" applyFont="1" applyAlignment="1">
      <alignment horizontal="left"/>
    </xf>
    <xf numFmtId="0" fontId="41" fillId="0" borderId="0" xfId="0" applyFont="1" applyAlignment="1">
      <alignment horizontal="center" vertical="center"/>
    </xf>
    <xf numFmtId="0" fontId="45" fillId="0" borderId="0" xfId="0" applyFont="1"/>
    <xf numFmtId="0" fontId="41" fillId="0" borderId="0" xfId="0" applyFont="1" applyAlignment="1">
      <alignment horizontal="left" wrapText="1"/>
    </xf>
    <xf numFmtId="0" fontId="45" fillId="0" borderId="0" xfId="0" applyFont="1" applyAlignment="1">
      <alignment wrapText="1"/>
    </xf>
    <xf numFmtId="0" fontId="41" fillId="0" borderId="0" xfId="0" applyFont="1" applyAlignment="1">
      <alignment horizontal="left" vertical="top"/>
    </xf>
    <xf numFmtId="0" fontId="45" fillId="0" borderId="0" xfId="0" applyFont="1" applyAlignment="1">
      <alignment horizontal="left"/>
    </xf>
    <xf numFmtId="0" fontId="45" fillId="0" borderId="0" xfId="0" applyFont="1" applyAlignment="1">
      <alignment horizontal="left" wrapText="1"/>
    </xf>
    <xf numFmtId="0" fontId="42" fillId="0" borderId="4" xfId="0" applyFont="1" applyBorder="1" applyAlignment="1">
      <alignment horizontal="center" vertical="center" wrapText="1"/>
    </xf>
    <xf numFmtId="166" fontId="42" fillId="0" borderId="2" xfId="1" applyFont="1" applyFill="1" applyBorder="1" applyAlignment="1">
      <alignment horizontal="center" vertical="center" wrapText="1"/>
    </xf>
    <xf numFmtId="0" fontId="45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166" fontId="6" fillId="0" borderId="2" xfId="1" applyFont="1" applyFill="1" applyBorder="1" applyAlignment="1">
      <alignment horizontal="left" vertical="center" wrapText="1"/>
    </xf>
    <xf numFmtId="166" fontId="6" fillId="0" borderId="7" xfId="1" applyFont="1" applyFill="1" applyBorder="1" applyAlignment="1">
      <alignment horizontal="center" vertical="center"/>
    </xf>
    <xf numFmtId="166" fontId="6" fillId="0" borderId="2" xfId="1" applyFont="1" applyFill="1" applyBorder="1" applyAlignment="1">
      <alignment horizontal="left" vertical="center"/>
    </xf>
    <xf numFmtId="166" fontId="6" fillId="0" borderId="4" xfId="1" applyFont="1" applyFill="1" applyBorder="1" applyAlignment="1">
      <alignment horizontal="left" vertical="center"/>
    </xf>
    <xf numFmtId="0" fontId="42" fillId="0" borderId="2" xfId="0" quotePrefix="1" applyFont="1" applyBorder="1" applyAlignment="1">
      <alignment horizontal="left" vertical="center" wrapText="1"/>
    </xf>
    <xf numFmtId="0" fontId="45" fillId="0" borderId="2" xfId="0" applyFont="1" applyBorder="1" applyAlignment="1">
      <alignment horizontal="left" vertical="center" wrapText="1"/>
    </xf>
    <xf numFmtId="0" fontId="42" fillId="0" borderId="2" xfId="0" applyFont="1" applyBorder="1" applyAlignment="1">
      <alignment horizontal="left" vertical="center" wrapText="1"/>
    </xf>
    <xf numFmtId="0" fontId="6" fillId="0" borderId="3" xfId="0" applyFont="1" applyBorder="1" applyAlignment="1">
      <alignment horizontal="left"/>
    </xf>
    <xf numFmtId="0" fontId="41" fillId="0" borderId="2" xfId="0" applyFont="1" applyBorder="1" applyAlignment="1">
      <alignment horizontal="center"/>
    </xf>
    <xf numFmtId="0" fontId="6" fillId="0" borderId="2" xfId="0" applyFont="1" applyBorder="1" applyAlignment="1">
      <alignment horizontal="left" wrapText="1"/>
    </xf>
    <xf numFmtId="4" fontId="6" fillId="0" borderId="2" xfId="0" applyNumberFormat="1" applyFont="1" applyBorder="1" applyAlignment="1">
      <alignment wrapText="1"/>
    </xf>
    <xf numFmtId="0" fontId="6" fillId="0" borderId="2" xfId="0" applyFont="1" applyBorder="1" applyAlignment="1">
      <alignment horizontal="center" wrapText="1"/>
    </xf>
    <xf numFmtId="0" fontId="6" fillId="0" borderId="2" xfId="0" applyFont="1" applyBorder="1" applyAlignment="1">
      <alignment horizontal="left"/>
    </xf>
    <xf numFmtId="0" fontId="6" fillId="0" borderId="2" xfId="0" quotePrefix="1" applyFont="1" applyBorder="1"/>
    <xf numFmtId="0" fontId="6" fillId="0" borderId="2" xfId="0" applyFont="1" applyBorder="1" applyAlignment="1">
      <alignment horizontal="center"/>
    </xf>
    <xf numFmtId="0" fontId="42" fillId="0" borderId="2" xfId="0" quotePrefix="1" applyFont="1" applyBorder="1" applyAlignment="1">
      <alignment wrapText="1"/>
    </xf>
    <xf numFmtId="166" fontId="6" fillId="0" borderId="4" xfId="1" applyFont="1" applyFill="1" applyBorder="1" applyAlignment="1">
      <alignment horizontal="left" vertical="center" wrapText="1"/>
    </xf>
    <xf numFmtId="0" fontId="42" fillId="0" borderId="2" xfId="0" quotePrefix="1" applyFont="1" applyBorder="1"/>
    <xf numFmtId="4" fontId="6" fillId="0" borderId="7" xfId="0" applyNumberFormat="1" applyFont="1" applyBorder="1"/>
    <xf numFmtId="4" fontId="42" fillId="0" borderId="2" xfId="0" applyNumberFormat="1" applyFont="1" applyBorder="1" applyAlignment="1">
      <alignment vertical="center"/>
    </xf>
    <xf numFmtId="0" fontId="16" fillId="6" borderId="2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vertical="center"/>
    </xf>
    <xf numFmtId="0" fontId="16" fillId="6" borderId="10" xfId="0" applyFont="1" applyFill="1" applyBorder="1" applyAlignment="1">
      <alignment horizontal="center" vertical="center"/>
    </xf>
    <xf numFmtId="0" fontId="16" fillId="6" borderId="1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6" fillId="6" borderId="2" xfId="0" applyFont="1" applyFill="1" applyBorder="1" applyAlignment="1">
      <alignment vertical="center"/>
    </xf>
    <xf numFmtId="0" fontId="29" fillId="6" borderId="4" xfId="0" applyFont="1" applyFill="1" applyBorder="1" applyAlignment="1">
      <alignment vertical="center" wrapText="1"/>
    </xf>
    <xf numFmtId="0" fontId="16" fillId="6" borderId="19" xfId="0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vertical="center" wrapText="1"/>
    </xf>
    <xf numFmtId="166" fontId="16" fillId="6" borderId="7" xfId="1" applyFont="1" applyFill="1" applyBorder="1" applyAlignment="1">
      <alignment horizontal="right" vertical="center"/>
    </xf>
    <xf numFmtId="43" fontId="16" fillId="6" borderId="2" xfId="0" applyNumberFormat="1" applyFont="1" applyFill="1" applyBorder="1" applyAlignment="1">
      <alignment horizontal="center" vertical="center"/>
    </xf>
    <xf numFmtId="0" fontId="16" fillId="6" borderId="4" xfId="0" applyFont="1" applyFill="1" applyBorder="1" applyAlignment="1">
      <alignment horizontal="center" vertical="center"/>
    </xf>
    <xf numFmtId="0" fontId="11" fillId="6" borderId="7" xfId="0" applyFont="1" applyFill="1" applyBorder="1" applyAlignment="1">
      <alignment horizontal="right"/>
    </xf>
    <xf numFmtId="0" fontId="11" fillId="6" borderId="2" xfId="0" applyFont="1" applyFill="1" applyBorder="1" applyAlignment="1">
      <alignment horizontal="right"/>
    </xf>
    <xf numFmtId="0" fontId="16" fillId="6" borderId="4" xfId="0" applyFont="1" applyFill="1" applyBorder="1" applyAlignment="1">
      <alignment vertical="center"/>
    </xf>
    <xf numFmtId="0" fontId="16" fillId="6" borderId="6" xfId="0" applyFont="1" applyFill="1" applyBorder="1" applyAlignment="1">
      <alignment horizontal="center" vertical="center"/>
    </xf>
    <xf numFmtId="4" fontId="16" fillId="6" borderId="7" xfId="0" applyNumberFormat="1" applyFont="1" applyFill="1" applyBorder="1" applyAlignment="1">
      <alignment horizontal="right" vertical="center"/>
    </xf>
    <xf numFmtId="4" fontId="16" fillId="6" borderId="2" xfId="0" applyNumberFormat="1" applyFont="1" applyFill="1" applyBorder="1" applyAlignment="1">
      <alignment horizontal="right" vertical="center"/>
    </xf>
    <xf numFmtId="0" fontId="16" fillId="6" borderId="8" xfId="0" applyFont="1" applyFill="1" applyBorder="1" applyAlignment="1">
      <alignment horizontal="center" vertical="center"/>
    </xf>
    <xf numFmtId="0" fontId="16" fillId="6" borderId="15" xfId="0" applyFont="1" applyFill="1" applyBorder="1" applyAlignment="1">
      <alignment horizontal="center" vertical="center"/>
    </xf>
    <xf numFmtId="0" fontId="0" fillId="0" borderId="4" xfId="0" applyBorder="1"/>
    <xf numFmtId="4" fontId="7" fillId="0" borderId="2" xfId="0" applyNumberFormat="1" applyFont="1" applyBorder="1"/>
    <xf numFmtId="0" fontId="7" fillId="0" borderId="0" xfId="0" applyFont="1" applyAlignment="1">
      <alignment horizontal="left" vertical="top" wrapText="1"/>
    </xf>
    <xf numFmtId="0" fontId="3" fillId="2" borderId="2" xfId="0" applyFont="1" applyFill="1" applyBorder="1" applyAlignment="1">
      <alignment vertical="center" wrapText="1"/>
    </xf>
    <xf numFmtId="0" fontId="7" fillId="2" borderId="2" xfId="0" applyFont="1" applyFill="1" applyBorder="1" applyAlignment="1">
      <alignment horizontal="center" wrapText="1"/>
    </xf>
    <xf numFmtId="166" fontId="3" fillId="2" borderId="2" xfId="1" applyFont="1" applyFill="1" applyBorder="1" applyAlignment="1">
      <alignment horizontal="right" vertical="center"/>
    </xf>
    <xf numFmtId="0" fontId="3" fillId="2" borderId="2" xfId="0" applyFont="1" applyFill="1" applyBorder="1" applyAlignment="1">
      <alignment horizontal="center"/>
    </xf>
    <xf numFmtId="166" fontId="3" fillId="2" borderId="2" xfId="1" applyFont="1" applyFill="1" applyBorder="1" applyAlignment="1">
      <alignment horizontal="center"/>
    </xf>
    <xf numFmtId="166" fontId="3" fillId="2" borderId="2" xfId="1" applyFont="1" applyFill="1" applyBorder="1" applyAlignment="1">
      <alignment horizontal="center" vertical="center"/>
    </xf>
    <xf numFmtId="0" fontId="3" fillId="3" borderId="0" xfId="0" applyFont="1" applyFill="1" applyAlignment="1">
      <alignment horizontal="left"/>
    </xf>
    <xf numFmtId="0" fontId="3" fillId="3" borderId="0" xfId="0" applyFont="1" applyFill="1" applyAlignment="1">
      <alignment horizontal="left" vertical="top"/>
    </xf>
    <xf numFmtId="0" fontId="3" fillId="3" borderId="0" xfId="0" applyFont="1" applyFill="1" applyAlignment="1">
      <alignment wrapText="1"/>
    </xf>
    <xf numFmtId="0" fontId="3" fillId="3" borderId="0" xfId="0" applyFont="1" applyFill="1" applyAlignment="1">
      <alignment vertical="top" wrapText="1"/>
    </xf>
    <xf numFmtId="0" fontId="25" fillId="0" borderId="2" xfId="0" applyFont="1" applyBorder="1" applyAlignment="1">
      <alignment horizontal="center" vertical="center"/>
    </xf>
    <xf numFmtId="0" fontId="3" fillId="3" borderId="2" xfId="0" applyFont="1" applyFill="1" applyBorder="1" applyAlignment="1">
      <alignment horizontal="left" vertical="center"/>
    </xf>
    <xf numFmtId="0" fontId="3" fillId="3" borderId="4" xfId="0" applyFont="1" applyFill="1" applyBorder="1"/>
    <xf numFmtId="43" fontId="3" fillId="3" borderId="4" xfId="0" applyNumberFormat="1" applyFont="1" applyFill="1" applyBorder="1"/>
    <xf numFmtId="0" fontId="3" fillId="3" borderId="2" xfId="0" applyFont="1" applyFill="1" applyBorder="1" applyAlignment="1">
      <alignment vertical="center"/>
    </xf>
    <xf numFmtId="166" fontId="0" fillId="0" borderId="0" xfId="1" applyFont="1" applyAlignment="1"/>
    <xf numFmtId="0" fontId="3" fillId="2" borderId="7" xfId="0" applyFont="1" applyFill="1" applyBorder="1" applyAlignment="1">
      <alignment horizontal="left" wrapText="1"/>
    </xf>
    <xf numFmtId="0" fontId="15" fillId="3" borderId="2" xfId="0" applyFont="1" applyFill="1" applyBorder="1" applyAlignment="1">
      <alignment vertical="top" wrapText="1"/>
    </xf>
    <xf numFmtId="0" fontId="3" fillId="3" borderId="4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left" wrapText="1"/>
    </xf>
    <xf numFmtId="166" fontId="3" fillId="3" borderId="2" xfId="1" applyFont="1" applyFill="1" applyBorder="1" applyAlignment="1">
      <alignment wrapText="1"/>
    </xf>
    <xf numFmtId="43" fontId="3" fillId="3" borderId="4" xfId="0" applyNumberFormat="1" applyFont="1" applyFill="1" applyBorder="1" applyAlignment="1">
      <alignment wrapText="1"/>
    </xf>
    <xf numFmtId="166" fontId="0" fillId="0" borderId="0" xfId="1" applyFont="1" applyAlignment="1">
      <alignment wrapText="1"/>
    </xf>
    <xf numFmtId="43" fontId="24" fillId="3" borderId="2" xfId="0" applyNumberFormat="1" applyFont="1" applyFill="1" applyBorder="1"/>
    <xf numFmtId="166" fontId="7" fillId="0" borderId="0" xfId="1" applyFont="1"/>
    <xf numFmtId="166" fontId="6" fillId="0" borderId="2" xfId="1" applyFont="1" applyFill="1" applyBorder="1" applyAlignment="1">
      <alignment horizontal="center" vertical="center" wrapText="1"/>
    </xf>
    <xf numFmtId="0" fontId="41" fillId="0" borderId="2" xfId="0" applyFont="1" applyBorder="1" applyAlignment="1">
      <alignment horizontal="center" vertical="center"/>
    </xf>
    <xf numFmtId="0" fontId="6" fillId="0" borderId="2" xfId="1" applyNumberFormat="1" applyFont="1" applyFill="1" applyBorder="1" applyAlignment="1">
      <alignment horizontal="center" vertical="center"/>
    </xf>
    <xf numFmtId="43" fontId="6" fillId="0" borderId="3" xfId="2" applyFont="1" applyFill="1" applyBorder="1" applyAlignment="1">
      <alignment horizontal="center"/>
    </xf>
    <xf numFmtId="43" fontId="6" fillId="0" borderId="2" xfId="2" applyFont="1" applyFill="1" applyBorder="1" applyAlignment="1">
      <alignment horizontal="center"/>
    </xf>
    <xf numFmtId="0" fontId="6" fillId="0" borderId="11" xfId="0" applyFont="1" applyBorder="1" applyAlignment="1">
      <alignment horizontal="center"/>
    </xf>
    <xf numFmtId="43" fontId="6" fillId="0" borderId="9" xfId="2" applyFont="1" applyFill="1" applyBorder="1" applyAlignment="1">
      <alignment horizontal="center"/>
    </xf>
    <xf numFmtId="43" fontId="6" fillId="0" borderId="38" xfId="2" applyFont="1" applyFill="1" applyBorder="1" applyAlignment="1">
      <alignment horizontal="center"/>
    </xf>
    <xf numFmtId="2" fontId="6" fillId="0" borderId="10" xfId="0" applyNumberFormat="1" applyFont="1" applyBorder="1" applyAlignment="1">
      <alignment horizontal="center"/>
    </xf>
    <xf numFmtId="0" fontId="6" fillId="0" borderId="11" xfId="0" applyFont="1" applyBorder="1" applyAlignment="1">
      <alignment horizontal="center" vertical="center"/>
    </xf>
    <xf numFmtId="43" fontId="6" fillId="0" borderId="9" xfId="2" applyFont="1" applyFill="1" applyBorder="1"/>
    <xf numFmtId="0" fontId="6" fillId="0" borderId="4" xfId="0" applyFont="1" applyBorder="1" applyAlignment="1">
      <alignment horizontal="left" vertical="center"/>
    </xf>
    <xf numFmtId="169" fontId="6" fillId="0" borderId="2" xfId="6" applyNumberFormat="1" applyFont="1" applyFill="1" applyBorder="1" applyAlignment="1">
      <alignment horizontal="left" vertical="top" wrapText="1"/>
    </xf>
    <xf numFmtId="0" fontId="6" fillId="0" borderId="7" xfId="0" applyFont="1" applyBorder="1"/>
    <xf numFmtId="9" fontId="7" fillId="0" borderId="0" xfId="1" applyNumberFormat="1" applyFont="1"/>
    <xf numFmtId="43" fontId="6" fillId="0" borderId="11" xfId="2" applyFont="1" applyFill="1" applyBorder="1" applyAlignment="1">
      <alignment horizontal="center"/>
    </xf>
    <xf numFmtId="169" fontId="6" fillId="0" borderId="2" xfId="6" applyNumberFormat="1" applyFont="1" applyFill="1" applyBorder="1" applyAlignment="1">
      <alignment horizontal="left" vertical="top"/>
    </xf>
    <xf numFmtId="2" fontId="6" fillId="0" borderId="4" xfId="0" applyNumberFormat="1" applyFont="1" applyBorder="1" applyAlignment="1">
      <alignment horizontal="center"/>
    </xf>
    <xf numFmtId="43" fontId="6" fillId="0" borderId="2" xfId="2" applyFont="1" applyFill="1" applyBorder="1"/>
    <xf numFmtId="43" fontId="6" fillId="0" borderId="7" xfId="2" applyFont="1" applyFill="1" applyBorder="1" applyAlignment="1">
      <alignment horizontal="center"/>
    </xf>
    <xf numFmtId="2" fontId="6" fillId="0" borderId="0" xfId="0" applyNumberFormat="1" applyFont="1" applyAlignment="1">
      <alignment horizontal="center"/>
    </xf>
    <xf numFmtId="43" fontId="6" fillId="0" borderId="0" xfId="2" applyFont="1" applyFill="1" applyBorder="1" applyAlignment="1">
      <alignment horizontal="center"/>
    </xf>
    <xf numFmtId="43" fontId="6" fillId="0" borderId="19" xfId="2" applyFont="1" applyFill="1" applyBorder="1"/>
    <xf numFmtId="43" fontId="6" fillId="0" borderId="3" xfId="2" applyFont="1" applyFill="1" applyBorder="1"/>
    <xf numFmtId="43" fontId="7" fillId="0" borderId="38" xfId="0" applyNumberFormat="1" applyFont="1" applyBorder="1"/>
    <xf numFmtId="43" fontId="6" fillId="0" borderId="2" xfId="2" applyFont="1" applyFill="1" applyBorder="1" applyAlignment="1"/>
    <xf numFmtId="166" fontId="6" fillId="0" borderId="9" xfId="1" applyFont="1" applyFill="1" applyBorder="1"/>
    <xf numFmtId="43" fontId="7" fillId="0" borderId="2" xfId="0" applyNumberFormat="1" applyFont="1" applyBorder="1"/>
    <xf numFmtId="0" fontId="6" fillId="0" borderId="0" xfId="0" applyFont="1" applyAlignment="1">
      <alignment horizontal="center" wrapText="1"/>
    </xf>
    <xf numFmtId="166" fontId="6" fillId="0" borderId="0" xfId="1" applyFont="1" applyFill="1" applyAlignment="1">
      <alignment wrapText="1"/>
    </xf>
    <xf numFmtId="0" fontId="6" fillId="0" borderId="7" xfId="0" applyFont="1" applyBorder="1" applyAlignment="1">
      <alignment wrapText="1"/>
    </xf>
    <xf numFmtId="9" fontId="0" fillId="0" borderId="0" xfId="0" applyNumberFormat="1"/>
    <xf numFmtId="2" fontId="7" fillId="0" borderId="6" xfId="0" applyNumberFormat="1" applyFont="1" applyBorder="1"/>
    <xf numFmtId="0" fontId="7" fillId="0" borderId="8" xfId="0" applyFont="1" applyBorder="1"/>
    <xf numFmtId="0" fontId="7" fillId="0" borderId="3" xfId="0" applyFont="1" applyBorder="1"/>
    <xf numFmtId="2" fontId="6" fillId="0" borderId="6" xfId="0" applyNumberFormat="1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166" fontId="7" fillId="0" borderId="3" xfId="1" applyFont="1" applyFill="1" applyBorder="1"/>
    <xf numFmtId="43" fontId="7" fillId="0" borderId="3" xfId="0" applyNumberFormat="1" applyFont="1" applyBorder="1"/>
    <xf numFmtId="43" fontId="7" fillId="0" borderId="0" xfId="0" applyNumberFormat="1" applyFont="1"/>
    <xf numFmtId="9" fontId="0" fillId="0" borderId="2" xfId="0" applyNumberFormat="1" applyBorder="1" applyAlignment="1">
      <alignment horizontal="center" vertical="center"/>
    </xf>
    <xf numFmtId="0" fontId="0" fillId="0" borderId="11" xfId="0" applyBorder="1" applyAlignment="1">
      <alignment horizontal="center"/>
    </xf>
    <xf numFmtId="0" fontId="0" fillId="0" borderId="42" xfId="0" applyBorder="1" applyAlignment="1">
      <alignment horizontal="center"/>
    </xf>
    <xf numFmtId="0" fontId="0" fillId="0" borderId="14" xfId="0" applyBorder="1" applyAlignment="1">
      <alignment horizontal="center"/>
    </xf>
    <xf numFmtId="166" fontId="3" fillId="0" borderId="2" xfId="1" applyFont="1" applyBorder="1"/>
    <xf numFmtId="166" fontId="6" fillId="0" borderId="0" xfId="1" applyFont="1" applyFill="1" applyAlignment="1">
      <alignment vertical="top"/>
    </xf>
    <xf numFmtId="43" fontId="6" fillId="0" borderId="0" xfId="2" applyFont="1" applyFill="1" applyAlignment="1">
      <alignment vertical="top"/>
    </xf>
    <xf numFmtId="0" fontId="6" fillId="0" borderId="2" xfId="2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left" vertical="center"/>
    </xf>
    <xf numFmtId="0" fontId="7" fillId="0" borderId="3" xfId="0" applyFont="1" applyBorder="1" applyAlignment="1">
      <alignment horizontal="center"/>
    </xf>
    <xf numFmtId="0" fontId="6" fillId="0" borderId="7" xfId="0" applyFont="1" applyBorder="1" applyAlignment="1">
      <alignment horizontal="left" vertical="center"/>
    </xf>
    <xf numFmtId="43" fontId="6" fillId="0" borderId="2" xfId="2" applyFont="1" applyFill="1" applyBorder="1" applyAlignment="1">
      <alignment horizontal="center" vertical="center"/>
    </xf>
    <xf numFmtId="0" fontId="6" fillId="0" borderId="3" xfId="0" applyFont="1" applyBorder="1"/>
    <xf numFmtId="0" fontId="6" fillId="0" borderId="4" xfId="0" applyFont="1" applyBorder="1"/>
    <xf numFmtId="0" fontId="6" fillId="0" borderId="4" xfId="0" applyFont="1" applyBorder="1" applyAlignment="1">
      <alignment vertical="center"/>
    </xf>
    <xf numFmtId="0" fontId="6" fillId="0" borderId="0" xfId="0" applyFont="1" applyAlignment="1">
      <alignment horizontal="left" vertical="center" wrapText="1"/>
    </xf>
    <xf numFmtId="0" fontId="41" fillId="0" borderId="2" xfId="2" applyNumberFormat="1" applyFont="1" applyFill="1" applyBorder="1" applyAlignment="1">
      <alignment horizontal="center" vertical="center"/>
    </xf>
    <xf numFmtId="0" fontId="41" fillId="0" borderId="2" xfId="0" applyFont="1" applyBorder="1"/>
    <xf numFmtId="43" fontId="6" fillId="0" borderId="2" xfId="0" applyNumberFormat="1" applyFont="1" applyBorder="1" applyAlignment="1">
      <alignment horizontal="right" vertical="center"/>
    </xf>
    <xf numFmtId="0" fontId="27" fillId="0" borderId="2" xfId="0" applyFont="1" applyBorder="1" applyAlignment="1">
      <alignment horizontal="left" vertical="center" wrapText="1"/>
    </xf>
    <xf numFmtId="0" fontId="6" fillId="0" borderId="6" xfId="0" applyFont="1" applyBorder="1" applyAlignment="1">
      <alignment horizontal="left" vertical="center"/>
    </xf>
    <xf numFmtId="0" fontId="7" fillId="0" borderId="2" xfId="0" applyFont="1" applyBorder="1" applyAlignment="1">
      <alignment horizontal="left" vertical="center" wrapText="1"/>
    </xf>
    <xf numFmtId="0" fontId="41" fillId="0" borderId="0" xfId="0" applyFont="1" applyAlignment="1">
      <alignment vertical="top"/>
    </xf>
    <xf numFmtId="166" fontId="6" fillId="0" borderId="0" xfId="1" applyFont="1" applyFill="1" applyAlignment="1">
      <alignment vertical="center"/>
    </xf>
    <xf numFmtId="0" fontId="41" fillId="0" borderId="0" xfId="0" applyFont="1" applyAlignment="1">
      <alignment vertical="top" wrapText="1"/>
    </xf>
    <xf numFmtId="166" fontId="41" fillId="0" borderId="0" xfId="1" applyFont="1" applyFill="1"/>
    <xf numFmtId="0" fontId="41" fillId="0" borderId="2" xfId="0" applyFont="1" applyBorder="1" applyAlignment="1">
      <alignment horizontal="left"/>
    </xf>
    <xf numFmtId="0" fontId="6" fillId="0" borderId="7" xfId="0" applyFont="1" applyBorder="1" applyAlignment="1">
      <alignment horizontal="left"/>
    </xf>
    <xf numFmtId="43" fontId="41" fillId="0" borderId="2" xfId="0" applyNumberFormat="1" applyFont="1" applyBorder="1" applyAlignment="1">
      <alignment horizontal="right" vertical="center"/>
    </xf>
    <xf numFmtId="43" fontId="45" fillId="0" borderId="2" xfId="0" applyNumberFormat="1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22" fillId="0" borderId="2" xfId="0" applyFont="1" applyBorder="1" applyAlignment="1">
      <alignment vertical="center" wrapText="1"/>
    </xf>
    <xf numFmtId="0" fontId="2" fillId="2" borderId="2" xfId="10" applyNumberFormat="1" applyFont="1" applyFill="1" applyBorder="1" applyAlignment="1">
      <alignment horizontal="center" vertical="center"/>
    </xf>
    <xf numFmtId="166" fontId="2" fillId="2" borderId="2" xfId="10" applyFont="1" applyFill="1" applyBorder="1"/>
    <xf numFmtId="0" fontId="2" fillId="2" borderId="7" xfId="0" applyFont="1" applyFill="1" applyBorder="1"/>
    <xf numFmtId="0" fontId="22" fillId="0" borderId="2" xfId="0" applyFont="1" applyBorder="1" applyAlignment="1">
      <alignment vertical="center"/>
    </xf>
    <xf numFmtId="0" fontId="22" fillId="0" borderId="4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4" fontId="22" fillId="0" borderId="4" xfId="0" applyNumberFormat="1" applyFont="1" applyBorder="1" applyAlignment="1">
      <alignment horizontal="right" vertical="center"/>
    </xf>
    <xf numFmtId="166" fontId="3" fillId="3" borderId="0" xfId="10" applyFont="1" applyFill="1"/>
    <xf numFmtId="14" fontId="3" fillId="3" borderId="0" xfId="10" applyNumberFormat="1" applyFont="1" applyFill="1"/>
    <xf numFmtId="166" fontId="3" fillId="3" borderId="0" xfId="10" applyFont="1" applyFill="1" applyAlignment="1">
      <alignment vertical="center"/>
    </xf>
    <xf numFmtId="166" fontId="2" fillId="3" borderId="0" xfId="10" applyFont="1" applyFill="1" applyAlignment="1">
      <alignment horizontal="left"/>
    </xf>
    <xf numFmtId="166" fontId="2" fillId="3" borderId="0" xfId="10" applyFont="1" applyFill="1"/>
    <xf numFmtId="0" fontId="3" fillId="3" borderId="2" xfId="0" quotePrefix="1" applyFont="1" applyFill="1" applyBorder="1" applyAlignment="1">
      <alignment wrapText="1"/>
    </xf>
    <xf numFmtId="0" fontId="2" fillId="3" borderId="7" xfId="0" applyFont="1" applyFill="1" applyBorder="1"/>
    <xf numFmtId="166" fontId="2" fillId="2" borderId="0" xfId="10" applyFont="1" applyFill="1" applyAlignment="1">
      <alignment horizontal="left"/>
    </xf>
    <xf numFmtId="0" fontId="12" fillId="2" borderId="2" xfId="0" applyFont="1" applyFill="1" applyBorder="1" applyAlignment="1">
      <alignment wrapText="1"/>
    </xf>
    <xf numFmtId="0" fontId="12" fillId="2" borderId="4" xfId="0" applyFont="1" applyFill="1" applyBorder="1"/>
    <xf numFmtId="0" fontId="12" fillId="2" borderId="7" xfId="0" applyFont="1" applyFill="1" applyBorder="1" applyAlignment="1">
      <alignment horizontal="left"/>
    </xf>
    <xf numFmtId="166" fontId="12" fillId="2" borderId="2" xfId="10" applyFont="1" applyFill="1" applyBorder="1"/>
    <xf numFmtId="0" fontId="3" fillId="2" borderId="11" xfId="0" applyFont="1" applyFill="1" applyBorder="1"/>
    <xf numFmtId="43" fontId="12" fillId="2" borderId="10" xfId="0" applyNumberFormat="1" applyFont="1" applyFill="1" applyBorder="1"/>
    <xf numFmtId="0" fontId="17" fillId="0" borderId="9" xfId="0" applyFont="1" applyBorder="1" applyAlignment="1">
      <alignment vertical="center"/>
    </xf>
    <xf numFmtId="9" fontId="17" fillId="0" borderId="2" xfId="0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2" xfId="0" applyBorder="1" applyAlignment="1">
      <alignment horizontal="left" wrapText="1"/>
    </xf>
    <xf numFmtId="0" fontId="0" fillId="0" borderId="9" xfId="0" applyBorder="1" applyAlignment="1">
      <alignment horizontal="left" wrapText="1"/>
    </xf>
    <xf numFmtId="0" fontId="0" fillId="0" borderId="9" xfId="0" applyBorder="1" applyAlignment="1">
      <alignment horizontal="left"/>
    </xf>
    <xf numFmtId="0" fontId="3" fillId="0" borderId="15" xfId="0" applyFont="1" applyBorder="1" applyAlignment="1">
      <alignment horizontal="center" vertic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vertical="top" wrapText="1"/>
    </xf>
    <xf numFmtId="166" fontId="3" fillId="2" borderId="0" xfId="1" applyFont="1" applyFill="1"/>
    <xf numFmtId="166" fontId="3" fillId="2" borderId="2" xfId="1" applyFont="1" applyFill="1" applyBorder="1" applyAlignment="1">
      <alignment horizontal="center" vertical="center" wrapText="1"/>
    </xf>
    <xf numFmtId="0" fontId="3" fillId="2" borderId="2" xfId="1" applyNumberFormat="1" applyFont="1" applyFill="1" applyBorder="1" applyAlignment="1">
      <alignment horizontal="center" vertical="center"/>
    </xf>
    <xf numFmtId="43" fontId="3" fillId="2" borderId="3" xfId="2" applyFont="1" applyFill="1" applyBorder="1" applyAlignment="1">
      <alignment horizontal="center"/>
    </xf>
    <xf numFmtId="43" fontId="3" fillId="2" borderId="2" xfId="2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43" fontId="3" fillId="2" borderId="9" xfId="2" applyFont="1" applyFill="1" applyBorder="1" applyAlignment="1">
      <alignment horizontal="center"/>
    </xf>
    <xf numFmtId="43" fontId="3" fillId="2" borderId="38" xfId="2" applyFont="1" applyFill="1" applyBorder="1" applyAlignment="1">
      <alignment horizontal="center"/>
    </xf>
    <xf numFmtId="0" fontId="0" fillId="2" borderId="6" xfId="0" applyFill="1" applyBorder="1"/>
    <xf numFmtId="0" fontId="0" fillId="2" borderId="8" xfId="0" applyFill="1" applyBorder="1"/>
    <xf numFmtId="0" fontId="0" fillId="2" borderId="3" xfId="0" applyFill="1" applyBorder="1"/>
    <xf numFmtId="2" fontId="3" fillId="2" borderId="6" xfId="0" applyNumberFormat="1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2" fontId="3" fillId="2" borderId="4" xfId="0" applyNumberFormat="1" applyFont="1" applyFill="1" applyBorder="1" applyAlignment="1">
      <alignment horizontal="center"/>
    </xf>
    <xf numFmtId="43" fontId="3" fillId="2" borderId="9" xfId="2" applyFont="1" applyFill="1" applyBorder="1"/>
    <xf numFmtId="2" fontId="3" fillId="2" borderId="10" xfId="0" applyNumberFormat="1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 vertical="center"/>
    </xf>
    <xf numFmtId="166" fontId="3" fillId="2" borderId="9" xfId="1" applyFont="1" applyFill="1" applyBorder="1"/>
    <xf numFmtId="41" fontId="3" fillId="2" borderId="2" xfId="13" applyFont="1" applyFill="1" applyBorder="1" applyAlignment="1">
      <alignment horizontal="left" vertical="center"/>
    </xf>
    <xf numFmtId="166" fontId="3" fillId="2" borderId="2" xfId="1" applyFont="1" applyFill="1" applyBorder="1" applyAlignment="1"/>
    <xf numFmtId="166" fontId="3" fillId="2" borderId="9" xfId="1" applyFont="1" applyFill="1" applyBorder="1" applyAlignment="1"/>
    <xf numFmtId="0" fontId="0" fillId="2" borderId="7" xfId="0" applyFill="1" applyBorder="1"/>
    <xf numFmtId="0" fontId="0" fillId="2" borderId="4" xfId="0" applyFill="1" applyBorder="1"/>
    <xf numFmtId="43" fontId="0" fillId="2" borderId="38" xfId="0" applyNumberFormat="1" applyFill="1" applyBorder="1"/>
    <xf numFmtId="43" fontId="3" fillId="2" borderId="6" xfId="2" applyFont="1" applyFill="1" applyBorder="1" applyAlignment="1"/>
    <xf numFmtId="43" fontId="3" fillId="2" borderId="8" xfId="2" applyFont="1" applyFill="1" applyBorder="1" applyAlignment="1"/>
    <xf numFmtId="43" fontId="3" fillId="2" borderId="3" xfId="2" applyFont="1" applyFill="1" applyBorder="1" applyAlignment="1"/>
    <xf numFmtId="43" fontId="0" fillId="2" borderId="3" xfId="0" applyNumberFormat="1" applyFill="1" applyBorder="1"/>
    <xf numFmtId="166" fontId="3" fillId="3" borderId="0" xfId="1" applyFont="1" applyFill="1"/>
    <xf numFmtId="166" fontId="3" fillId="3" borderId="0" xfId="1" applyFont="1" applyFill="1" applyAlignment="1">
      <alignment horizontal="left"/>
    </xf>
    <xf numFmtId="0" fontId="3" fillId="3" borderId="0" xfId="0" applyFont="1" applyFill="1" applyAlignment="1">
      <alignment horizontal="left" vertical="top" wrapText="1"/>
    </xf>
    <xf numFmtId="166" fontId="3" fillId="3" borderId="0" xfId="1" applyFont="1" applyFill="1" applyAlignment="1">
      <alignment vertical="center"/>
    </xf>
    <xf numFmtId="166" fontId="3" fillId="3" borderId="2" xfId="1" applyFont="1" applyFill="1" applyBorder="1" applyAlignment="1">
      <alignment horizontal="center" vertical="center" wrapText="1"/>
    </xf>
    <xf numFmtId="0" fontId="3" fillId="3" borderId="2" xfId="1" applyNumberFormat="1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15" fillId="3" borderId="2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vertical="center"/>
    </xf>
    <xf numFmtId="0" fontId="3" fillId="3" borderId="10" xfId="0" applyFont="1" applyFill="1" applyBorder="1"/>
    <xf numFmtId="166" fontId="3" fillId="3" borderId="9" xfId="1" applyFont="1" applyFill="1" applyBorder="1"/>
    <xf numFmtId="43" fontId="3" fillId="3" borderId="10" xfId="0" applyNumberFormat="1" applyFont="1" applyFill="1" applyBorder="1"/>
    <xf numFmtId="0" fontId="7" fillId="2" borderId="2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2" borderId="0" xfId="0" applyFont="1" applyFill="1" applyAlignment="1">
      <alignment vertical="center"/>
    </xf>
    <xf numFmtId="0" fontId="6" fillId="2" borderId="0" xfId="0" applyFont="1" applyFill="1" applyAlignment="1">
      <alignment horizontal="left" vertical="center"/>
    </xf>
    <xf numFmtId="166" fontId="6" fillId="2" borderId="0" xfId="1" applyFont="1" applyFill="1" applyAlignment="1">
      <alignment vertical="center"/>
    </xf>
    <xf numFmtId="0" fontId="6" fillId="2" borderId="0" xfId="0" applyFont="1" applyFill="1" applyAlignment="1">
      <alignment horizontal="left" vertical="center" wrapText="1"/>
    </xf>
    <xf numFmtId="0" fontId="41" fillId="2" borderId="0" xfId="0" applyFont="1" applyFill="1" applyAlignment="1">
      <alignment vertical="center" wrapText="1"/>
    </xf>
    <xf numFmtId="0" fontId="6" fillId="2" borderId="0" xfId="0" applyFont="1" applyFill="1"/>
    <xf numFmtId="0" fontId="6" fillId="2" borderId="0" xfId="0" applyFont="1" applyFill="1" applyAlignment="1">
      <alignment wrapText="1"/>
    </xf>
    <xf numFmtId="0" fontId="6" fillId="2" borderId="2" xfId="0" applyFont="1" applyFill="1" applyBorder="1" applyAlignment="1">
      <alignment horizontal="center" vertical="center" wrapText="1"/>
    </xf>
    <xf numFmtId="43" fontId="6" fillId="2" borderId="2" xfId="2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 wrapText="1"/>
    </xf>
    <xf numFmtId="0" fontId="6" fillId="2" borderId="2" xfId="2" applyNumberFormat="1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0" fontId="6" fillId="2" borderId="2" xfId="0" applyFont="1" applyFill="1" applyBorder="1" applyAlignment="1">
      <alignment wrapText="1"/>
    </xf>
    <xf numFmtId="0" fontId="6" fillId="2" borderId="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2" xfId="1" applyNumberFormat="1" applyFont="1" applyFill="1" applyBorder="1" applyAlignment="1">
      <alignment horizontal="center" vertical="center"/>
    </xf>
    <xf numFmtId="0" fontId="41" fillId="2" borderId="2" xfId="0" applyFont="1" applyFill="1" applyBorder="1"/>
    <xf numFmtId="0" fontId="6" fillId="2" borderId="4" xfId="0" applyFont="1" applyFill="1" applyBorder="1" applyAlignment="1">
      <alignment horizontal="center"/>
    </xf>
    <xf numFmtId="0" fontId="6" fillId="2" borderId="7" xfId="0" applyFont="1" applyFill="1" applyBorder="1" applyAlignment="1">
      <alignment horizontal="center"/>
    </xf>
    <xf numFmtId="4" fontId="6" fillId="2" borderId="2" xfId="0" applyNumberFormat="1" applyFont="1" applyFill="1" applyBorder="1"/>
    <xf numFmtId="43" fontId="6" fillId="2" borderId="4" xfId="0" applyNumberFormat="1" applyFont="1" applyFill="1" applyBorder="1"/>
    <xf numFmtId="0" fontId="6" fillId="2" borderId="2" xfId="0" applyFont="1" applyFill="1" applyBorder="1"/>
    <xf numFmtId="0" fontId="6" fillId="2" borderId="9" xfId="0" applyFont="1" applyFill="1" applyBorder="1" applyAlignment="1">
      <alignment wrapText="1"/>
    </xf>
    <xf numFmtId="0" fontId="6" fillId="2" borderId="10" xfId="0" applyFont="1" applyFill="1" applyBorder="1" applyAlignment="1">
      <alignment horizontal="center"/>
    </xf>
    <xf numFmtId="0" fontId="6" fillId="2" borderId="11" xfId="0" applyFont="1" applyFill="1" applyBorder="1" applyAlignment="1">
      <alignment horizontal="center"/>
    </xf>
    <xf numFmtId="166" fontId="6" fillId="2" borderId="9" xfId="1" applyFont="1" applyFill="1" applyBorder="1"/>
    <xf numFmtId="43" fontId="6" fillId="2" borderId="10" xfId="0" applyNumberFormat="1" applyFont="1" applyFill="1" applyBorder="1"/>
    <xf numFmtId="43" fontId="6" fillId="2" borderId="2" xfId="0" applyNumberFormat="1" applyFont="1" applyFill="1" applyBorder="1"/>
    <xf numFmtId="0" fontId="6" fillId="2" borderId="0" xfId="0" applyFont="1" applyFill="1" applyAlignment="1">
      <alignment horizontal="center"/>
    </xf>
    <xf numFmtId="166" fontId="6" fillId="2" borderId="0" xfId="1" applyFont="1" applyFill="1"/>
    <xf numFmtId="0" fontId="41" fillId="2" borderId="0" xfId="0" applyFont="1" applyFill="1"/>
    <xf numFmtId="0" fontId="41" fillId="2" borderId="0" xfId="0" applyFont="1" applyFill="1" applyAlignment="1">
      <alignment vertical="top"/>
    </xf>
    <xf numFmtId="0" fontId="41" fillId="2" borderId="0" xfId="0" applyFont="1" applyFill="1" applyAlignment="1">
      <alignment vertical="top" wrapText="1"/>
    </xf>
    <xf numFmtId="43" fontId="6" fillId="2" borderId="0" xfId="2" applyFont="1" applyFill="1"/>
    <xf numFmtId="43" fontId="6" fillId="2" borderId="0" xfId="2" applyFont="1" applyFill="1" applyAlignment="1">
      <alignment vertical="center" wrapText="1"/>
    </xf>
    <xf numFmtId="43" fontId="6" fillId="2" borderId="0" xfId="2" applyFont="1" applyFill="1" applyAlignment="1">
      <alignment vertical="center"/>
    </xf>
    <xf numFmtId="0" fontId="41" fillId="2" borderId="0" xfId="0" applyFont="1" applyFill="1" applyAlignment="1">
      <alignment wrapText="1"/>
    </xf>
    <xf numFmtId="0" fontId="41" fillId="2" borderId="0" xfId="0" applyFont="1" applyFill="1" applyAlignment="1">
      <alignment horizontal="left"/>
    </xf>
    <xf numFmtId="166" fontId="41" fillId="2" borderId="0" xfId="1" applyFont="1" applyFill="1"/>
    <xf numFmtId="166" fontId="6" fillId="2" borderId="2" xfId="1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41" fillId="2" borderId="2" xfId="0" applyFont="1" applyFill="1" applyBorder="1" applyAlignment="1">
      <alignment horizontal="center"/>
    </xf>
    <xf numFmtId="0" fontId="42" fillId="2" borderId="2" xfId="0" applyFont="1" applyFill="1" applyBorder="1" applyAlignment="1">
      <alignment wrapText="1"/>
    </xf>
    <xf numFmtId="0" fontId="6" fillId="2" borderId="2" xfId="0" applyFont="1" applyFill="1" applyBorder="1" applyAlignment="1">
      <alignment horizontal="center"/>
    </xf>
    <xf numFmtId="166" fontId="6" fillId="2" borderId="2" xfId="1" applyFont="1" applyFill="1" applyBorder="1"/>
    <xf numFmtId="3" fontId="6" fillId="2" borderId="2" xfId="0" applyNumberFormat="1" applyFont="1" applyFill="1" applyBorder="1" applyAlignment="1">
      <alignment horizontal="center"/>
    </xf>
    <xf numFmtId="4" fontId="6" fillId="2" borderId="2" xfId="0" applyNumberFormat="1" applyFont="1" applyFill="1" applyBorder="1" applyAlignment="1">
      <alignment horizontal="center"/>
    </xf>
    <xf numFmtId="167" fontId="6" fillId="2" borderId="2" xfId="1" applyNumberFormat="1" applyFont="1" applyFill="1" applyBorder="1" applyAlignment="1">
      <alignment horizontal="center"/>
    </xf>
    <xf numFmtId="0" fontId="6" fillId="2" borderId="4" xfId="0" applyFont="1" applyFill="1" applyBorder="1"/>
    <xf numFmtId="0" fontId="6" fillId="2" borderId="4" xfId="0" applyFont="1" applyFill="1" applyBorder="1" applyAlignment="1">
      <alignment wrapText="1"/>
    </xf>
    <xf numFmtId="4" fontId="6" fillId="2" borderId="5" xfId="0" applyNumberFormat="1" applyFont="1" applyFill="1" applyBorder="1" applyAlignment="1">
      <alignment horizontal="center"/>
    </xf>
    <xf numFmtId="0" fontId="6" fillId="2" borderId="5" xfId="0" applyFont="1" applyFill="1" applyBorder="1" applyAlignment="1">
      <alignment horizontal="center"/>
    </xf>
    <xf numFmtId="4" fontId="6" fillId="2" borderId="7" xfId="0" applyNumberFormat="1" applyFont="1" applyFill="1" applyBorder="1"/>
    <xf numFmtId="166" fontId="2" fillId="0" borderId="0" xfId="1" applyFont="1" applyFill="1" applyAlignment="1">
      <alignment horizontal="left"/>
    </xf>
    <xf numFmtId="166" fontId="12" fillId="0" borderId="2" xfId="1" applyFont="1" applyFill="1" applyBorder="1" applyAlignment="1">
      <alignment horizontal="center" vertical="center" wrapText="1"/>
    </xf>
    <xf numFmtId="0" fontId="12" fillId="0" borderId="2" xfId="1" applyNumberFormat="1" applyFont="1" applyFill="1" applyBorder="1" applyAlignment="1">
      <alignment horizontal="center" vertical="center"/>
    </xf>
    <xf numFmtId="0" fontId="3" fillId="0" borderId="11" xfId="0" applyFont="1" applyBorder="1"/>
    <xf numFmtId="43" fontId="6" fillId="0" borderId="2" xfId="2" applyFont="1" applyFill="1" applyBorder="1" applyAlignment="1">
      <alignment horizontal="right" vertical="center"/>
    </xf>
    <xf numFmtId="9" fontId="17" fillId="0" borderId="2" xfId="0" applyNumberFormat="1" applyFont="1" applyBorder="1" applyAlignment="1">
      <alignment horizontal="left" vertical="center" wrapText="1"/>
    </xf>
    <xf numFmtId="4" fontId="17" fillId="0" borderId="2" xfId="0" applyNumberFormat="1" applyFont="1" applyBorder="1" applyAlignment="1">
      <alignment vertical="center"/>
    </xf>
    <xf numFmtId="0" fontId="25" fillId="0" borderId="2" xfId="0" applyFont="1" applyBorder="1"/>
    <xf numFmtId="0" fontId="25" fillId="0" borderId="2" xfId="0" applyFont="1" applyBorder="1" applyAlignment="1">
      <alignment vertical="center"/>
    </xf>
    <xf numFmtId="0" fontId="25" fillId="0" borderId="2" xfId="0" applyFont="1" applyBorder="1" applyAlignment="1">
      <alignment horizontal="center" wrapText="1"/>
    </xf>
    <xf numFmtId="41" fontId="0" fillId="0" borderId="0" xfId="16" applyFont="1"/>
    <xf numFmtId="41" fontId="0" fillId="0" borderId="0" xfId="16" applyFont="1" applyAlignment="1">
      <alignment horizontal="center" vertical="center" wrapText="1"/>
    </xf>
    <xf numFmtId="0" fontId="3" fillId="5" borderId="2" xfId="0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16" applyNumberFormat="1" applyFont="1"/>
    <xf numFmtId="0" fontId="3" fillId="4" borderId="0" xfId="0" applyFont="1" applyFill="1" applyAlignment="1">
      <alignment horizontal="center"/>
    </xf>
    <xf numFmtId="0" fontId="2" fillId="4" borderId="0" xfId="0" applyFont="1" applyFill="1"/>
    <xf numFmtId="0" fontId="3" fillId="4" borderId="0" xfId="0" applyFont="1" applyFill="1"/>
    <xf numFmtId="0" fontId="3" fillId="4" borderId="0" xfId="0" applyFont="1" applyFill="1" applyAlignment="1">
      <alignment horizontal="left"/>
    </xf>
    <xf numFmtId="166" fontId="3" fillId="4" borderId="0" xfId="1" applyFont="1" applyFill="1"/>
    <xf numFmtId="0" fontId="3" fillId="4" borderId="0" xfId="0" applyFont="1" applyFill="1" applyAlignment="1">
      <alignment horizontal="left" vertical="top"/>
    </xf>
    <xf numFmtId="0" fontId="3" fillId="4" borderId="2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166" fontId="3" fillId="4" borderId="2" xfId="1" applyFont="1" applyFill="1" applyBorder="1" applyAlignment="1">
      <alignment horizontal="center" vertical="center" wrapText="1"/>
    </xf>
    <xf numFmtId="0" fontId="2" fillId="4" borderId="2" xfId="0" applyFont="1" applyFill="1" applyBorder="1" applyAlignment="1">
      <alignment horizontal="center" vertical="center"/>
    </xf>
    <xf numFmtId="0" fontId="3" fillId="4" borderId="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3" fillId="4" borderId="2" xfId="1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/>
    </xf>
    <xf numFmtId="0" fontId="15" fillId="4" borderId="2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left" vertical="center"/>
    </xf>
    <xf numFmtId="0" fontId="15" fillId="4" borderId="2" xfId="0" applyFont="1" applyFill="1" applyBorder="1" applyAlignment="1">
      <alignment wrapText="1"/>
    </xf>
    <xf numFmtId="0" fontId="3" fillId="4" borderId="4" xfId="0" applyFont="1" applyFill="1" applyBorder="1"/>
    <xf numFmtId="0" fontId="3" fillId="4" borderId="7" xfId="0" applyFont="1" applyFill="1" applyBorder="1" applyAlignment="1">
      <alignment horizontal="left"/>
    </xf>
    <xf numFmtId="166" fontId="3" fillId="4" borderId="2" xfId="1" applyFont="1" applyFill="1" applyBorder="1"/>
    <xf numFmtId="43" fontId="3" fillId="4" borderId="4" xfId="0" applyNumberFormat="1" applyFont="1" applyFill="1" applyBorder="1"/>
    <xf numFmtId="0" fontId="2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vertical="center"/>
    </xf>
    <xf numFmtId="0" fontId="3" fillId="4" borderId="2" xfId="0" applyFont="1" applyFill="1" applyBorder="1" applyAlignment="1">
      <alignment wrapText="1"/>
    </xf>
    <xf numFmtId="0" fontId="3" fillId="4" borderId="4" xfId="0" applyFont="1" applyFill="1" applyBorder="1" applyAlignment="1">
      <alignment horizontal="center"/>
    </xf>
    <xf numFmtId="4" fontId="3" fillId="4" borderId="2" xfId="0" applyNumberFormat="1" applyFont="1" applyFill="1" applyBorder="1"/>
    <xf numFmtId="43" fontId="3" fillId="4" borderId="2" xfId="0" applyNumberFormat="1" applyFont="1" applyFill="1" applyBorder="1"/>
    <xf numFmtId="0" fontId="3" fillId="4" borderId="0" xfId="0" applyFont="1" applyFill="1" applyAlignment="1">
      <alignment horizontal="center" vertical="center"/>
    </xf>
    <xf numFmtId="0" fontId="3" fillId="4" borderId="0" xfId="0" applyFont="1" applyFill="1" applyAlignment="1">
      <alignment vertical="center"/>
    </xf>
    <xf numFmtId="0" fontId="3" fillId="4" borderId="0" xfId="0" applyFont="1" applyFill="1" applyAlignment="1">
      <alignment wrapText="1"/>
    </xf>
    <xf numFmtId="166" fontId="0" fillId="0" borderId="0" xfId="0" applyNumberFormat="1"/>
    <xf numFmtId="0" fontId="3" fillId="4" borderId="0" xfId="0" applyFont="1" applyFill="1" applyAlignment="1">
      <alignment vertical="top"/>
    </xf>
    <xf numFmtId="0" fontId="3" fillId="4" borderId="0" xfId="0" applyFont="1" applyFill="1" applyAlignment="1">
      <alignment vertical="top" wrapText="1"/>
    </xf>
    <xf numFmtId="43" fontId="3" fillId="4" borderId="0" xfId="2" applyFont="1" applyFill="1"/>
    <xf numFmtId="0" fontId="2" fillId="4" borderId="0" xfId="0" applyFont="1" applyFill="1" applyAlignment="1">
      <alignment horizontal="left"/>
    </xf>
    <xf numFmtId="0" fontId="2" fillId="4" borderId="0" xfId="0" applyFont="1" applyFill="1" applyAlignment="1">
      <alignment horizontal="left" vertical="top" wrapText="1"/>
    </xf>
    <xf numFmtId="43" fontId="3" fillId="4" borderId="0" xfId="12" applyFont="1" applyFill="1" applyAlignment="1">
      <alignment vertical="center"/>
    </xf>
    <xf numFmtId="0" fontId="3" fillId="4" borderId="0" xfId="0" applyFont="1" applyFill="1" applyAlignment="1">
      <alignment horizontal="left" vertical="center" wrapText="1"/>
    </xf>
    <xf numFmtId="0" fontId="3" fillId="4" borderId="0" xfId="0" applyFont="1" applyFill="1" applyAlignment="1">
      <alignment vertical="center" wrapText="1"/>
    </xf>
    <xf numFmtId="0" fontId="3" fillId="4" borderId="0" xfId="0" applyFont="1" applyFill="1" applyAlignment="1">
      <alignment horizontal="left" vertical="center"/>
    </xf>
    <xf numFmtId="43" fontId="3" fillId="4" borderId="2" xfId="2" applyFont="1" applyFill="1" applyBorder="1" applyAlignment="1">
      <alignment horizontal="center" vertical="center" wrapText="1"/>
    </xf>
    <xf numFmtId="0" fontId="3" fillId="4" borderId="2" xfId="2" applyNumberFormat="1" applyFont="1" applyFill="1" applyBorder="1" applyAlignment="1">
      <alignment horizontal="center" vertical="center"/>
    </xf>
    <xf numFmtId="0" fontId="2" fillId="4" borderId="3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 vertical="center"/>
    </xf>
    <xf numFmtId="0" fontId="2" fillId="4" borderId="2" xfId="2" applyNumberFormat="1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left" vertical="center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4" borderId="3" xfId="0" applyFont="1" applyFill="1" applyBorder="1" applyAlignment="1">
      <alignment horizontal="left"/>
    </xf>
    <xf numFmtId="0" fontId="3" fillId="4" borderId="3" xfId="0" applyFont="1" applyFill="1" applyBorder="1"/>
    <xf numFmtId="0" fontId="3" fillId="4" borderId="3" xfId="0" applyFont="1" applyFill="1" applyBorder="1" applyAlignment="1">
      <alignment wrapText="1"/>
    </xf>
    <xf numFmtId="0" fontId="3" fillId="4" borderId="3" xfId="0" applyFont="1" applyFill="1" applyBorder="1" applyAlignment="1">
      <alignment horizontal="center"/>
    </xf>
    <xf numFmtId="0" fontId="3" fillId="4" borderId="2" xfId="0" applyFont="1" applyFill="1" applyBorder="1" applyAlignment="1">
      <alignment horizontal="left"/>
    </xf>
    <xf numFmtId="43" fontId="3" fillId="4" borderId="2" xfId="2" applyFont="1" applyFill="1" applyBorder="1" applyAlignment="1">
      <alignment horizontal="center" vertical="center"/>
    </xf>
    <xf numFmtId="43" fontId="3" fillId="4" borderId="0" xfId="0" applyNumberFormat="1" applyFont="1" applyFill="1" applyAlignment="1">
      <alignment horizontal="left"/>
    </xf>
    <xf numFmtId="0" fontId="2" fillId="4" borderId="0" xfId="0" applyFont="1" applyFill="1" applyAlignment="1">
      <alignment horizontal="center"/>
    </xf>
    <xf numFmtId="166" fontId="3" fillId="4" borderId="0" xfId="10" applyFont="1" applyFill="1"/>
    <xf numFmtId="166" fontId="3" fillId="4" borderId="0" xfId="10" applyFont="1" applyFill="1" applyAlignment="1">
      <alignment vertical="center"/>
    </xf>
    <xf numFmtId="0" fontId="2" fillId="4" borderId="0" xfId="0" applyFont="1" applyFill="1" applyAlignment="1">
      <alignment horizontal="left" vertical="top"/>
    </xf>
    <xf numFmtId="0" fontId="7" fillId="4" borderId="0" xfId="0" applyFont="1" applyFill="1"/>
    <xf numFmtId="166" fontId="2" fillId="4" borderId="0" xfId="10" applyFont="1" applyFill="1"/>
    <xf numFmtId="43" fontId="3" fillId="4" borderId="2" xfId="12" applyFont="1" applyFill="1" applyBorder="1" applyAlignment="1">
      <alignment horizontal="center" vertical="center" wrapText="1"/>
    </xf>
    <xf numFmtId="0" fontId="3" fillId="4" borderId="2" xfId="12" applyNumberFormat="1" applyFont="1" applyFill="1" applyBorder="1" applyAlignment="1">
      <alignment horizontal="center" vertical="center"/>
    </xf>
    <xf numFmtId="0" fontId="15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center" vertical="center"/>
    </xf>
    <xf numFmtId="166" fontId="3" fillId="4" borderId="2" xfId="10" applyFont="1" applyFill="1" applyBorder="1" applyAlignment="1">
      <alignment horizontal="center" vertical="center"/>
    </xf>
    <xf numFmtId="0" fontId="3" fillId="4" borderId="3" xfId="0" applyFont="1" applyFill="1" applyBorder="1" applyAlignment="1">
      <alignment horizontal="center" vertical="center" wrapText="1"/>
    </xf>
    <xf numFmtId="0" fontId="15" fillId="4" borderId="2" xfId="0" applyFont="1" applyFill="1" applyBorder="1"/>
    <xf numFmtId="166" fontId="3" fillId="4" borderId="2" xfId="10" applyFont="1" applyFill="1" applyBorder="1"/>
    <xf numFmtId="0" fontId="3" fillId="4" borderId="2" xfId="0" applyFont="1" applyFill="1" applyBorder="1"/>
    <xf numFmtId="0" fontId="15" fillId="4" borderId="3" xfId="0" applyFont="1" applyFill="1" applyBorder="1"/>
    <xf numFmtId="4" fontId="3" fillId="4" borderId="4" xfId="0" applyNumberFormat="1" applyFont="1" applyFill="1" applyBorder="1"/>
    <xf numFmtId="0" fontId="7" fillId="4" borderId="2" xfId="0" applyFont="1" applyFill="1" applyBorder="1"/>
    <xf numFmtId="0" fontId="7" fillId="4" borderId="3" xfId="0" applyFont="1" applyFill="1" applyBorder="1"/>
    <xf numFmtId="0" fontId="15" fillId="4" borderId="4" xfId="0" applyFont="1" applyFill="1" applyBorder="1"/>
    <xf numFmtId="0" fontId="15" fillId="4" borderId="7" xfId="0" applyFont="1" applyFill="1" applyBorder="1"/>
    <xf numFmtId="166" fontId="15" fillId="4" borderId="4" xfId="10" applyFont="1" applyFill="1" applyBorder="1"/>
    <xf numFmtId="0" fontId="12" fillId="4" borderId="2" xfId="0" applyFont="1" applyFill="1" applyBorder="1"/>
    <xf numFmtId="0" fontId="23" fillId="4" borderId="0" xfId="0" applyFont="1" applyFill="1"/>
    <xf numFmtId="0" fontId="23" fillId="4" borderId="0" xfId="0" applyFont="1" applyFill="1" applyAlignment="1">
      <alignment wrapText="1"/>
    </xf>
    <xf numFmtId="0" fontId="23" fillId="4" borderId="0" xfId="0" applyFont="1" applyFill="1" applyAlignment="1">
      <alignment horizontal="center" vertical="center"/>
    </xf>
    <xf numFmtId="0" fontId="22" fillId="4" borderId="0" xfId="0" applyFont="1" applyFill="1"/>
    <xf numFmtId="0" fontId="23" fillId="4" borderId="0" xfId="0" applyFont="1" applyFill="1" applyAlignment="1">
      <alignment horizontal="left"/>
    </xf>
    <xf numFmtId="0" fontId="23" fillId="4" borderId="0" xfId="0" applyFont="1" applyFill="1" applyAlignment="1">
      <alignment horizontal="left" wrapText="1"/>
    </xf>
    <xf numFmtId="0" fontId="23" fillId="4" borderId="0" xfId="0" applyFont="1" applyFill="1" applyAlignment="1">
      <alignment horizontal="left" vertical="top" wrapText="1"/>
    </xf>
    <xf numFmtId="0" fontId="44" fillId="4" borderId="0" xfId="0" applyFont="1" applyFill="1" applyAlignment="1">
      <alignment horizontal="left" vertical="top" wrapText="1"/>
    </xf>
    <xf numFmtId="0" fontId="2" fillId="4" borderId="0" xfId="0" applyFont="1" applyFill="1" applyAlignment="1">
      <alignment horizontal="left" wrapText="1"/>
    </xf>
    <xf numFmtId="0" fontId="2" fillId="4" borderId="0" xfId="0" applyFont="1" applyFill="1" applyAlignment="1">
      <alignment horizontal="center" vertical="center"/>
    </xf>
    <xf numFmtId="0" fontId="15" fillId="4" borderId="4" xfId="0" applyFont="1" applyFill="1" applyBorder="1" applyAlignment="1">
      <alignment horizontal="center" vertical="center" wrapText="1"/>
    </xf>
    <xf numFmtId="166" fontId="15" fillId="4" borderId="2" xfId="1" applyFont="1" applyFill="1" applyBorder="1" applyAlignment="1">
      <alignment horizontal="center" vertical="center" wrapText="1"/>
    </xf>
    <xf numFmtId="0" fontId="23" fillId="4" borderId="2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left" vertical="center"/>
    </xf>
    <xf numFmtId="166" fontId="15" fillId="4" borderId="2" xfId="1" applyFont="1" applyFill="1" applyBorder="1" applyAlignment="1">
      <alignment horizontal="left" vertical="center" wrapText="1"/>
    </xf>
    <xf numFmtId="166" fontId="3" fillId="4" borderId="4" xfId="1" applyFont="1" applyFill="1" applyBorder="1" applyAlignment="1">
      <alignment horizontal="center" vertical="center"/>
    </xf>
    <xf numFmtId="166" fontId="3" fillId="4" borderId="7" xfId="1" applyFont="1" applyFill="1" applyBorder="1" applyAlignment="1">
      <alignment horizontal="center" vertical="center"/>
    </xf>
    <xf numFmtId="166" fontId="3" fillId="4" borderId="2" xfId="1" applyFont="1" applyFill="1" applyBorder="1" applyAlignment="1">
      <alignment horizontal="left" vertical="center"/>
    </xf>
    <xf numFmtId="166" fontId="3" fillId="4" borderId="4" xfId="1" applyFont="1" applyFill="1" applyBorder="1" applyAlignment="1">
      <alignment horizontal="left" vertical="center"/>
    </xf>
    <xf numFmtId="0" fontId="12" fillId="4" borderId="4" xfId="0" applyFont="1" applyFill="1" applyBorder="1" applyAlignment="1">
      <alignment horizontal="center" vertical="center"/>
    </xf>
    <xf numFmtId="166" fontId="3" fillId="4" borderId="2" xfId="1" applyFont="1" applyFill="1" applyBorder="1" applyAlignment="1">
      <alignment horizontal="left" vertical="center" wrapText="1"/>
    </xf>
    <xf numFmtId="166" fontId="3" fillId="4" borderId="9" xfId="1" applyFont="1" applyFill="1" applyBorder="1" applyAlignment="1">
      <alignment horizontal="left" vertical="center" wrapText="1"/>
    </xf>
    <xf numFmtId="0" fontId="12" fillId="4" borderId="10" xfId="0" applyFont="1" applyFill="1" applyBorder="1" applyAlignment="1">
      <alignment horizontal="center" vertical="center"/>
    </xf>
    <xf numFmtId="166" fontId="3" fillId="4" borderId="11" xfId="1" applyFont="1" applyFill="1" applyBorder="1" applyAlignment="1">
      <alignment horizontal="center" vertical="center"/>
    </xf>
    <xf numFmtId="166" fontId="3" fillId="4" borderId="9" xfId="1" applyFont="1" applyFill="1" applyBorder="1" applyAlignment="1">
      <alignment horizontal="left" vertical="center"/>
    </xf>
    <xf numFmtId="166" fontId="3" fillId="4" borderId="10" xfId="1" applyFont="1" applyFill="1" applyBorder="1" applyAlignment="1">
      <alignment horizontal="left" vertical="center"/>
    </xf>
    <xf numFmtId="166" fontId="3" fillId="4" borderId="38" xfId="1" applyFont="1" applyFill="1" applyBorder="1" applyAlignment="1">
      <alignment horizontal="left" vertical="center"/>
    </xf>
    <xf numFmtId="0" fontId="3" fillId="4" borderId="6" xfId="0" applyFont="1" applyFill="1" applyBorder="1" applyAlignment="1">
      <alignment horizontal="center" vertical="center"/>
    </xf>
    <xf numFmtId="0" fontId="2" fillId="4" borderId="7" xfId="0" applyFont="1" applyFill="1" applyBorder="1" applyAlignment="1">
      <alignment horizontal="center"/>
    </xf>
    <xf numFmtId="0" fontId="3" fillId="5" borderId="3" xfId="0" applyFont="1" applyFill="1" applyBorder="1" applyAlignment="1">
      <alignment horizontal="left"/>
    </xf>
    <xf numFmtId="166" fontId="3" fillId="5" borderId="9" xfId="1" applyFont="1" applyFill="1" applyBorder="1" applyAlignment="1">
      <alignment horizontal="left" vertical="center" wrapText="1"/>
    </xf>
    <xf numFmtId="0" fontId="12" fillId="5" borderId="10" xfId="0" applyFont="1" applyFill="1" applyBorder="1" applyAlignment="1">
      <alignment horizontal="center" vertical="center"/>
    </xf>
    <xf numFmtId="166" fontId="3" fillId="5" borderId="11" xfId="1" applyFont="1" applyFill="1" applyBorder="1" applyAlignment="1">
      <alignment horizontal="center" vertical="center"/>
    </xf>
    <xf numFmtId="166" fontId="3" fillId="5" borderId="9" xfId="1" applyFont="1" applyFill="1" applyBorder="1" applyAlignment="1">
      <alignment horizontal="left" vertical="center"/>
    </xf>
    <xf numFmtId="166" fontId="3" fillId="5" borderId="10" xfId="1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center"/>
    </xf>
    <xf numFmtId="0" fontId="15" fillId="5" borderId="0" xfId="0" applyFont="1" applyFill="1" applyAlignment="1">
      <alignment horizontal="center"/>
    </xf>
    <xf numFmtId="0" fontId="15" fillId="5" borderId="0" xfId="0" applyFont="1" applyFill="1" applyAlignment="1">
      <alignment horizontal="center" wrapText="1"/>
    </xf>
    <xf numFmtId="0" fontId="15" fillId="5" borderId="0" xfId="0" applyFont="1" applyFill="1" applyAlignment="1">
      <alignment horizontal="center" vertical="center"/>
    </xf>
    <xf numFmtId="0" fontId="23" fillId="5" borderId="0" xfId="0" applyFont="1" applyFill="1"/>
    <xf numFmtId="0" fontId="23" fillId="5" borderId="0" xfId="0" applyFont="1" applyFill="1" applyAlignment="1">
      <alignment wrapText="1"/>
    </xf>
    <xf numFmtId="0" fontId="23" fillId="5" borderId="0" xfId="0" applyFont="1" applyFill="1" applyAlignment="1">
      <alignment horizontal="center" vertical="center"/>
    </xf>
    <xf numFmtId="0" fontId="22" fillId="5" borderId="0" xfId="0" applyFont="1" applyFill="1"/>
    <xf numFmtId="0" fontId="23" fillId="5" borderId="0" xfId="0" applyFont="1" applyFill="1" applyAlignment="1">
      <alignment horizontal="left"/>
    </xf>
    <xf numFmtId="0" fontId="23" fillId="5" borderId="0" xfId="0" applyFont="1" applyFill="1" applyAlignment="1">
      <alignment horizontal="left" wrapText="1"/>
    </xf>
    <xf numFmtId="0" fontId="23" fillId="5" borderId="0" xfId="0" applyFont="1" applyFill="1" applyAlignment="1">
      <alignment horizontal="left" vertical="top" wrapText="1"/>
    </xf>
    <xf numFmtId="0" fontId="44" fillId="5" borderId="0" xfId="0" applyFont="1" applyFill="1" applyAlignment="1">
      <alignment horizontal="left" vertical="top" wrapText="1"/>
    </xf>
    <xf numFmtId="0" fontId="2" fillId="5" borderId="0" xfId="0" applyFont="1" applyFill="1" applyAlignment="1">
      <alignment horizontal="left"/>
    </xf>
    <xf numFmtId="0" fontId="2" fillId="5" borderId="0" xfId="0" applyFont="1" applyFill="1" applyAlignment="1">
      <alignment horizontal="left" wrapText="1"/>
    </xf>
    <xf numFmtId="0" fontId="2" fillId="5" borderId="0" xfId="0" applyFont="1" applyFill="1" applyAlignment="1">
      <alignment horizontal="center" vertical="center"/>
    </xf>
    <xf numFmtId="0" fontId="15" fillId="5" borderId="2" xfId="0" applyFont="1" applyFill="1" applyBorder="1" applyAlignment="1">
      <alignment horizontal="center" vertical="center" wrapText="1"/>
    </xf>
    <xf numFmtId="0" fontId="15" fillId="5" borderId="4" xfId="0" applyFont="1" applyFill="1" applyBorder="1" applyAlignment="1">
      <alignment horizontal="center" vertical="center" wrapText="1"/>
    </xf>
    <xf numFmtId="166" fontId="15" fillId="5" borderId="2" xfId="1" applyFont="1" applyFill="1" applyBorder="1" applyAlignment="1">
      <alignment horizontal="center" vertical="center" wrapText="1"/>
    </xf>
    <xf numFmtId="0" fontId="23" fillId="5" borderId="2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2" xfId="2" applyNumberFormat="1" applyFont="1" applyFill="1" applyBorder="1" applyAlignment="1">
      <alignment horizontal="center" vertical="center"/>
    </xf>
    <xf numFmtId="0" fontId="2" fillId="5" borderId="2" xfId="0" applyFont="1" applyFill="1" applyBorder="1" applyAlignment="1">
      <alignment horizontal="left" vertical="center"/>
    </xf>
    <xf numFmtId="166" fontId="15" fillId="5" borderId="2" xfId="1" applyFont="1" applyFill="1" applyBorder="1" applyAlignment="1">
      <alignment horizontal="left" vertical="center" wrapText="1"/>
    </xf>
    <xf numFmtId="166" fontId="3" fillId="5" borderId="4" xfId="1" applyFont="1" applyFill="1" applyBorder="1" applyAlignment="1">
      <alignment horizontal="center" vertical="center"/>
    </xf>
    <xf numFmtId="166" fontId="3" fillId="5" borderId="7" xfId="1" applyFont="1" applyFill="1" applyBorder="1" applyAlignment="1">
      <alignment horizontal="center" vertical="center"/>
    </xf>
    <xf numFmtId="166" fontId="3" fillId="5" borderId="2" xfId="1" applyFont="1" applyFill="1" applyBorder="1" applyAlignment="1">
      <alignment horizontal="left" vertical="center"/>
    </xf>
    <xf numFmtId="166" fontId="3" fillId="5" borderId="4" xfId="1" applyFont="1" applyFill="1" applyBorder="1" applyAlignment="1">
      <alignment horizontal="left" vertical="center"/>
    </xf>
    <xf numFmtId="166" fontId="3" fillId="5" borderId="38" xfId="1" applyFont="1" applyFill="1" applyBorder="1" applyAlignment="1">
      <alignment horizontal="left" vertical="center"/>
    </xf>
    <xf numFmtId="0" fontId="3" fillId="5" borderId="6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/>
    </xf>
    <xf numFmtId="0" fontId="3" fillId="5" borderId="0" xfId="0" applyFont="1" applyFill="1"/>
    <xf numFmtId="0" fontId="3" fillId="5" borderId="0" xfId="0" applyFont="1" applyFill="1" applyAlignment="1">
      <alignment horizontal="left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vertical="center"/>
    </xf>
    <xf numFmtId="0" fontId="3" fillId="5" borderId="0" xfId="0" applyFont="1" applyFill="1" applyAlignment="1">
      <alignment wrapText="1"/>
    </xf>
    <xf numFmtId="4" fontId="0" fillId="0" borderId="0" xfId="0" applyNumberFormat="1" applyAlignment="1">
      <alignment wrapText="1"/>
    </xf>
    <xf numFmtId="43" fontId="3" fillId="4" borderId="0" xfId="2" applyFont="1" applyFill="1" applyAlignment="1">
      <alignment vertical="center"/>
    </xf>
    <xf numFmtId="0" fontId="2" fillId="3" borderId="2" xfId="0" applyFont="1" applyFill="1" applyBorder="1" applyAlignment="1">
      <alignment vertical="center" wrapText="1"/>
    </xf>
    <xf numFmtId="43" fontId="0" fillId="0" borderId="0" xfId="0" applyNumberFormat="1" applyAlignment="1">
      <alignment vertical="center"/>
    </xf>
    <xf numFmtId="39" fontId="0" fillId="0" borderId="0" xfId="0" applyNumberFormat="1"/>
    <xf numFmtId="0" fontId="0" fillId="4" borderId="0" xfId="0" applyFill="1"/>
    <xf numFmtId="0" fontId="2" fillId="4" borderId="0" xfId="0" applyFont="1" applyFill="1" applyAlignment="1">
      <alignment vertical="top"/>
    </xf>
    <xf numFmtId="0" fontId="2" fillId="4" borderId="0" xfId="0" applyFont="1" applyFill="1" applyAlignment="1">
      <alignment vertical="top" wrapText="1"/>
    </xf>
    <xf numFmtId="43" fontId="3" fillId="4" borderId="0" xfId="2" applyFont="1" applyFill="1" applyAlignment="1">
      <alignment vertical="center" wrapText="1"/>
    </xf>
    <xf numFmtId="0" fontId="2" fillId="4" borderId="0" xfId="0" applyFont="1" applyFill="1" applyAlignment="1">
      <alignment wrapText="1"/>
    </xf>
    <xf numFmtId="166" fontId="2" fillId="4" borderId="0" xfId="1" applyFont="1" applyFill="1"/>
    <xf numFmtId="0" fontId="2" fillId="4" borderId="2" xfId="0" applyFont="1" applyFill="1" applyBorder="1"/>
    <xf numFmtId="0" fontId="12" fillId="4" borderId="4" xfId="0" applyFont="1" applyFill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166" fontId="12" fillId="4" borderId="2" xfId="1" applyFont="1" applyFill="1" applyBorder="1"/>
    <xf numFmtId="0" fontId="3" fillId="4" borderId="0" xfId="0" applyFont="1" applyFill="1" applyAlignment="1">
      <alignment horizontal="center" wrapText="1"/>
    </xf>
    <xf numFmtId="43" fontId="3" fillId="4" borderId="0" xfId="0" applyNumberFormat="1" applyFont="1" applyFill="1"/>
    <xf numFmtId="43" fontId="3" fillId="0" borderId="0" xfId="0" applyNumberFormat="1" applyFont="1" applyAlignment="1">
      <alignment horizontal="center"/>
    </xf>
    <xf numFmtId="166" fontId="15" fillId="0" borderId="0" xfId="1" applyFont="1" applyFill="1" applyBorder="1" applyAlignment="1">
      <alignment horizontal="center" vertical="center" wrapText="1"/>
    </xf>
    <xf numFmtId="166" fontId="3" fillId="0" borderId="0" xfId="1" applyFont="1" applyFill="1" applyBorder="1" applyAlignment="1">
      <alignment horizontal="left" vertical="center"/>
    </xf>
    <xf numFmtId="4" fontId="7" fillId="0" borderId="0" xfId="0" applyNumberFormat="1" applyFont="1"/>
    <xf numFmtId="166" fontId="0" fillId="0" borderId="0" xfId="0" applyNumberFormat="1" applyAlignment="1">
      <alignment horizontal="center"/>
    </xf>
    <xf numFmtId="43" fontId="0" fillId="5" borderId="0" xfId="0" applyNumberFormat="1" applyFill="1"/>
    <xf numFmtId="166" fontId="0" fillId="5" borderId="0" xfId="0" applyNumberFormat="1" applyFill="1"/>
    <xf numFmtId="171" fontId="0" fillId="0" borderId="0" xfId="17" applyNumberFormat="1" applyFont="1"/>
    <xf numFmtId="0" fontId="48" fillId="0" borderId="0" xfId="0" applyFont="1"/>
    <xf numFmtId="166" fontId="48" fillId="0" borderId="0" xfId="1" applyFont="1"/>
    <xf numFmtId="0" fontId="48" fillId="0" borderId="0" xfId="0" applyFont="1" applyAlignment="1">
      <alignment wrapText="1"/>
    </xf>
    <xf numFmtId="0" fontId="49" fillId="0" borderId="2" xfId="0" applyFont="1" applyBorder="1" applyAlignment="1">
      <alignment horizontal="center" vertical="center"/>
    </xf>
    <xf numFmtId="0" fontId="0" fillId="0" borderId="2" xfId="0" quotePrefix="1" applyBorder="1"/>
    <xf numFmtId="166" fontId="1" fillId="0" borderId="2" xfId="1" applyFont="1" applyBorder="1" applyAlignment="1">
      <alignment wrapText="1"/>
    </xf>
    <xf numFmtId="0" fontId="0" fillId="7" borderId="2" xfId="0" applyFill="1" applyBorder="1"/>
    <xf numFmtId="0" fontId="0" fillId="7" borderId="2" xfId="0" applyFill="1" applyBorder="1" applyAlignment="1">
      <alignment wrapText="1"/>
    </xf>
    <xf numFmtId="0" fontId="0" fillId="5" borderId="2" xfId="0" applyFill="1" applyBorder="1"/>
    <xf numFmtId="0" fontId="0" fillId="5" borderId="2" xfId="0" applyFill="1" applyBorder="1" applyAlignment="1">
      <alignment wrapText="1"/>
    </xf>
    <xf numFmtId="0" fontId="0" fillId="5" borderId="2" xfId="0" quotePrefix="1" applyFill="1" applyBorder="1"/>
    <xf numFmtId="166" fontId="0" fillId="5" borderId="2" xfId="1" applyFont="1" applyFill="1" applyBorder="1"/>
    <xf numFmtId="166" fontId="0" fillId="5" borderId="2" xfId="1" applyFont="1" applyFill="1" applyBorder="1" applyAlignment="1"/>
    <xf numFmtId="43" fontId="0" fillId="5" borderId="2" xfId="0" applyNumberFormat="1" applyFill="1" applyBorder="1"/>
    <xf numFmtId="4" fontId="0" fillId="5" borderId="2" xfId="0" applyNumberFormat="1" applyFill="1" applyBorder="1"/>
    <xf numFmtId="43" fontId="0" fillId="7" borderId="2" xfId="0" applyNumberFormat="1" applyFill="1" applyBorder="1"/>
    <xf numFmtId="43" fontId="0" fillId="0" borderId="2" xfId="0" applyNumberFormat="1" applyBorder="1" applyAlignment="1">
      <alignment wrapText="1"/>
    </xf>
    <xf numFmtId="166" fontId="0" fillId="5" borderId="2" xfId="0" applyNumberFormat="1" applyFill="1" applyBorder="1"/>
    <xf numFmtId="39" fontId="0" fillId="0" borderId="2" xfId="0" applyNumberFormat="1" applyBorder="1"/>
    <xf numFmtId="0" fontId="0" fillId="0" borderId="50" xfId="0" applyBorder="1" applyAlignment="1">
      <alignment wrapText="1"/>
    </xf>
    <xf numFmtId="166" fontId="0" fillId="7" borderId="2" xfId="1" applyFont="1" applyFill="1" applyBorder="1"/>
    <xf numFmtId="0" fontId="25" fillId="0" borderId="42" xfId="0" applyFont="1" applyBorder="1"/>
    <xf numFmtId="0" fontId="25" fillId="0" borderId="35" xfId="0" applyFont="1" applyBorder="1"/>
    <xf numFmtId="166" fontId="25" fillId="0" borderId="38" xfId="0" applyNumberFormat="1" applyFont="1" applyBorder="1"/>
    <xf numFmtId="0" fontId="25" fillId="0" borderId="7" xfId="0" applyFont="1" applyBorder="1" applyAlignment="1">
      <alignment wrapText="1"/>
    </xf>
    <xf numFmtId="166" fontId="0" fillId="0" borderId="17" xfId="1" applyFont="1" applyBorder="1"/>
    <xf numFmtId="166" fontId="25" fillId="0" borderId="35" xfId="1" applyFont="1" applyBorder="1"/>
    <xf numFmtId="0" fontId="25" fillId="0" borderId="38" xfId="0" applyFont="1" applyBorder="1" applyAlignment="1">
      <alignment wrapText="1"/>
    </xf>
    <xf numFmtId="43" fontId="0" fillId="0" borderId="9" xfId="0" applyNumberFormat="1" applyBorder="1"/>
    <xf numFmtId="43" fontId="0" fillId="0" borderId="3" xfId="0" applyNumberFormat="1" applyBorder="1"/>
    <xf numFmtId="0" fontId="25" fillId="0" borderId="42" xfId="0" applyFont="1" applyBorder="1" applyAlignment="1">
      <alignment wrapText="1"/>
    </xf>
    <xf numFmtId="43" fontId="25" fillId="0" borderId="35" xfId="0" applyNumberFormat="1" applyFont="1" applyBorder="1"/>
    <xf numFmtId="0" fontId="25" fillId="0" borderId="38" xfId="0" applyFont="1" applyBorder="1"/>
    <xf numFmtId="9" fontId="0" fillId="5" borderId="0" xfId="0" applyNumberFormat="1" applyFill="1"/>
    <xf numFmtId="0" fontId="25" fillId="0" borderId="0" xfId="0" applyFont="1" applyAlignment="1">
      <alignment wrapText="1"/>
    </xf>
    <xf numFmtId="4" fontId="25" fillId="0" borderId="0" xfId="0" applyNumberFormat="1" applyFont="1"/>
    <xf numFmtId="0" fontId="0" fillId="5" borderId="0" xfId="0" applyFill="1" applyAlignment="1">
      <alignment wrapText="1"/>
    </xf>
    <xf numFmtId="4" fontId="0" fillId="5" borderId="0" xfId="0" applyNumberFormat="1" applyFill="1"/>
    <xf numFmtId="0" fontId="0" fillId="4" borderId="2" xfId="0" applyFill="1" applyBorder="1"/>
    <xf numFmtId="0" fontId="0" fillId="4" borderId="2" xfId="0" applyFill="1" applyBorder="1" applyAlignment="1">
      <alignment wrapText="1"/>
    </xf>
    <xf numFmtId="0" fontId="7" fillId="0" borderId="4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3" fillId="4" borderId="7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wrapText="1"/>
    </xf>
    <xf numFmtId="0" fontId="3" fillId="4" borderId="7" xfId="0" applyFont="1" applyFill="1" applyBorder="1" applyAlignment="1">
      <alignment horizontal="center" wrapText="1"/>
    </xf>
    <xf numFmtId="0" fontId="15" fillId="4" borderId="7" xfId="0" applyFont="1" applyFill="1" applyBorder="1" applyAlignment="1">
      <alignment horizontal="center" vertical="center" wrapText="1"/>
    </xf>
    <xf numFmtId="167" fontId="3" fillId="0" borderId="0" xfId="2" applyNumberFormat="1" applyFont="1" applyFill="1"/>
    <xf numFmtId="166" fontId="3" fillId="0" borderId="0" xfId="1" applyFont="1"/>
    <xf numFmtId="0" fontId="7" fillId="0" borderId="0" xfId="0" applyFont="1" applyAlignment="1">
      <alignment horizontal="left"/>
    </xf>
    <xf numFmtId="43" fontId="7" fillId="0" borderId="0" xfId="2" applyFont="1" applyFill="1"/>
    <xf numFmtId="0" fontId="7" fillId="0" borderId="0" xfId="0" applyFont="1" applyAlignment="1">
      <alignment horizontal="center" wrapText="1"/>
    </xf>
    <xf numFmtId="166" fontId="7" fillId="0" borderId="0" xfId="1" applyFont="1" applyFill="1"/>
    <xf numFmtId="166" fontId="7" fillId="0" borderId="0" xfId="1" applyFont="1" applyFill="1" applyAlignment="1">
      <alignment wrapText="1"/>
    </xf>
    <xf numFmtId="0" fontId="7" fillId="0" borderId="0" xfId="0" applyFont="1" applyAlignment="1">
      <alignment horizontal="left" vertical="top"/>
    </xf>
    <xf numFmtId="0" fontId="7" fillId="0" borderId="0" xfId="0" applyFont="1" applyAlignment="1">
      <alignment vertical="top" wrapText="1"/>
    </xf>
    <xf numFmtId="0" fontId="7" fillId="0" borderId="0" xfId="0" applyFont="1" applyAlignment="1">
      <alignment horizontal="center" vertical="top" wrapText="1"/>
    </xf>
    <xf numFmtId="0" fontId="7" fillId="0" borderId="9" xfId="0" applyFont="1" applyBorder="1" applyAlignment="1">
      <alignment horizontal="center" vertical="center" wrapText="1"/>
    </xf>
    <xf numFmtId="43" fontId="7" fillId="0" borderId="2" xfId="2" applyFont="1" applyFill="1" applyBorder="1" applyAlignment="1">
      <alignment horizontal="center" vertical="center" wrapText="1"/>
    </xf>
    <xf numFmtId="0" fontId="7" fillId="0" borderId="2" xfId="2" applyNumberFormat="1" applyFont="1" applyFill="1" applyBorder="1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0" fontId="7" fillId="0" borderId="8" xfId="0" applyFont="1" applyBorder="1" applyAlignment="1">
      <alignment horizontal="left" wrapText="1"/>
    </xf>
    <xf numFmtId="43" fontId="7" fillId="0" borderId="3" xfId="2" applyFont="1" applyFill="1" applyBorder="1" applyAlignment="1">
      <alignment horizontal="center"/>
    </xf>
    <xf numFmtId="43" fontId="7" fillId="0" borderId="6" xfId="2" applyFont="1" applyFill="1" applyBorder="1" applyAlignment="1">
      <alignment horizontal="center"/>
    </xf>
    <xf numFmtId="2" fontId="7" fillId="0" borderId="6" xfId="0" applyNumberFormat="1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2" fontId="7" fillId="0" borderId="3" xfId="0" applyNumberFormat="1" applyFont="1" applyBorder="1" applyAlignment="1">
      <alignment horizontal="center" wrapText="1"/>
    </xf>
    <xf numFmtId="0" fontId="7" fillId="0" borderId="2" xfId="0" applyFont="1" applyBorder="1" applyAlignment="1">
      <alignment horizontal="left" vertical="center"/>
    </xf>
    <xf numFmtId="2" fontId="7" fillId="0" borderId="4" xfId="0" applyNumberFormat="1" applyFont="1" applyBorder="1" applyAlignment="1">
      <alignment horizontal="center"/>
    </xf>
    <xf numFmtId="43" fontId="7" fillId="0" borderId="2" xfId="2" applyFont="1" applyFill="1" applyBorder="1"/>
    <xf numFmtId="43" fontId="7" fillId="0" borderId="4" xfId="2" applyFont="1" applyFill="1" applyBorder="1" applyAlignment="1">
      <alignment horizontal="center"/>
    </xf>
    <xf numFmtId="2" fontId="7" fillId="0" borderId="2" xfId="0" applyNumberFormat="1" applyFont="1" applyBorder="1" applyAlignment="1">
      <alignment horizontal="center" wrapText="1"/>
    </xf>
    <xf numFmtId="0" fontId="7" fillId="0" borderId="4" xfId="0" applyFont="1" applyBorder="1" applyAlignment="1">
      <alignment horizontal="left" vertical="center"/>
    </xf>
    <xf numFmtId="41" fontId="7" fillId="0" borderId="2" xfId="13" applyFont="1" applyFill="1" applyBorder="1" applyAlignment="1">
      <alignment horizontal="left" vertical="center"/>
    </xf>
    <xf numFmtId="2" fontId="7" fillId="0" borderId="10" xfId="0" applyNumberFormat="1" applyFont="1" applyBorder="1" applyAlignment="1">
      <alignment horizontal="center"/>
    </xf>
    <xf numFmtId="0" fontId="7" fillId="0" borderId="11" xfId="0" applyFont="1" applyBorder="1" applyAlignment="1">
      <alignment horizontal="center" vertical="center"/>
    </xf>
    <xf numFmtId="43" fontId="7" fillId="0" borderId="9" xfId="2" applyFont="1" applyFill="1" applyBorder="1"/>
    <xf numFmtId="43" fontId="7" fillId="0" borderId="10" xfId="2" applyFont="1" applyFill="1" applyBorder="1"/>
    <xf numFmtId="2" fontId="7" fillId="0" borderId="9" xfId="0" applyNumberFormat="1" applyFont="1" applyBorder="1" applyAlignment="1">
      <alignment horizontal="center" wrapText="1"/>
    </xf>
    <xf numFmtId="41" fontId="7" fillId="0" borderId="4" xfId="13" applyFont="1" applyFill="1" applyBorder="1" applyAlignment="1">
      <alignment horizontal="left" vertical="center"/>
    </xf>
    <xf numFmtId="43" fontId="7" fillId="0" borderId="51" xfId="2" applyFont="1" applyFill="1" applyBorder="1"/>
    <xf numFmtId="2" fontId="7" fillId="0" borderId="42" xfId="0" applyNumberFormat="1" applyFont="1" applyBorder="1" applyAlignment="1">
      <alignment horizontal="center" wrapText="1"/>
    </xf>
    <xf numFmtId="43" fontId="7" fillId="0" borderId="3" xfId="2" applyFont="1" applyFill="1" applyBorder="1"/>
    <xf numFmtId="43" fontId="7" fillId="0" borderId="6" xfId="2" applyFont="1" applyFill="1" applyBorder="1"/>
    <xf numFmtId="43" fontId="7" fillId="0" borderId="4" xfId="2" applyFont="1" applyFill="1" applyBorder="1"/>
    <xf numFmtId="0" fontId="0" fillId="8" borderId="0" xfId="0" applyFill="1"/>
    <xf numFmtId="43" fontId="0" fillId="8" borderId="0" xfId="0" applyNumberFormat="1" applyFill="1"/>
    <xf numFmtId="0" fontId="10" fillId="4" borderId="0" xfId="0" applyFont="1" applyFill="1" applyAlignment="1">
      <alignment vertical="center"/>
    </xf>
    <xf numFmtId="0" fontId="8" fillId="4" borderId="0" xfId="0" applyFont="1" applyFill="1" applyAlignment="1">
      <alignment vertical="center" wrapText="1"/>
    </xf>
    <xf numFmtId="43" fontId="3" fillId="4" borderId="0" xfId="2" applyFont="1" applyFill="1" applyAlignment="1"/>
    <xf numFmtId="166" fontId="3" fillId="4" borderId="0" xfId="1" applyFont="1" applyFill="1" applyAlignment="1">
      <alignment vertical="top"/>
    </xf>
    <xf numFmtId="43" fontId="3" fillId="4" borderId="0" xfId="2" applyFont="1" applyFill="1" applyAlignment="1">
      <alignment vertical="top"/>
    </xf>
    <xf numFmtId="0" fontId="10" fillId="4" borderId="0" xfId="0" applyFont="1" applyFill="1" applyAlignment="1">
      <alignment vertical="center" wrapText="1"/>
    </xf>
    <xf numFmtId="0" fontId="8" fillId="4" borderId="0" xfId="0" applyFont="1" applyFill="1"/>
    <xf numFmtId="0" fontId="0" fillId="4" borderId="2" xfId="0" applyFill="1" applyBorder="1" applyAlignment="1">
      <alignment horizontal="center" vertical="center"/>
    </xf>
    <xf numFmtId="0" fontId="3" fillId="4" borderId="2" xfId="2" applyNumberFormat="1" applyFont="1" applyFill="1" applyBorder="1" applyAlignment="1">
      <alignment horizontal="center" vertical="center" wrapText="1"/>
    </xf>
    <xf numFmtId="0" fontId="0" fillId="4" borderId="2" xfId="0" applyFill="1" applyBorder="1" applyAlignment="1">
      <alignment horizontal="center"/>
    </xf>
    <xf numFmtId="43" fontId="3" fillId="4" borderId="2" xfId="2" applyFont="1" applyFill="1" applyBorder="1" applyAlignment="1">
      <alignment horizontal="center"/>
    </xf>
    <xf numFmtId="43" fontId="3" fillId="4" borderId="2" xfId="2" applyFont="1" applyFill="1" applyBorder="1"/>
    <xf numFmtId="43" fontId="3" fillId="4" borderId="2" xfId="2" applyFont="1" applyFill="1" applyBorder="1" applyAlignment="1"/>
    <xf numFmtId="0" fontId="3" fillId="2" borderId="4" xfId="0" applyFont="1" applyFill="1" applyBorder="1" applyAlignment="1">
      <alignment vertical="center"/>
    </xf>
    <xf numFmtId="166" fontId="3" fillId="2" borderId="2" xfId="1" applyFont="1" applyFill="1" applyBorder="1"/>
    <xf numFmtId="166" fontId="3" fillId="2" borderId="0" xfId="1" applyFont="1" applyFill="1" applyAlignment="1">
      <alignment horizontal="left"/>
    </xf>
    <xf numFmtId="0" fontId="3" fillId="2" borderId="0" xfId="0" applyFont="1" applyFill="1" applyAlignment="1">
      <alignment horizontal="left" vertical="top" wrapText="1"/>
    </xf>
    <xf numFmtId="166" fontId="3" fillId="2" borderId="0" xfId="1" applyFont="1" applyFill="1" applyAlignment="1">
      <alignment vertical="center"/>
    </xf>
    <xf numFmtId="0" fontId="2" fillId="2" borderId="2" xfId="0" applyFont="1" applyFill="1" applyBorder="1" applyAlignment="1">
      <alignment horizontal="center" wrapText="1"/>
    </xf>
    <xf numFmtId="0" fontId="1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wrapText="1"/>
    </xf>
    <xf numFmtId="0" fontId="15" fillId="2" borderId="0" xfId="0" applyFont="1" applyFill="1" applyAlignment="1">
      <alignment horizontal="center" vertical="center"/>
    </xf>
    <xf numFmtId="0" fontId="23" fillId="2" borderId="0" xfId="0" applyFont="1" applyFill="1"/>
    <xf numFmtId="0" fontId="23" fillId="2" borderId="0" xfId="0" applyFont="1" applyFill="1" applyAlignment="1">
      <alignment wrapText="1"/>
    </xf>
    <xf numFmtId="0" fontId="23" fillId="2" borderId="0" xfId="0" applyFont="1" applyFill="1" applyAlignment="1">
      <alignment horizontal="center" vertical="center"/>
    </xf>
    <xf numFmtId="0" fontId="22" fillId="2" borderId="0" xfId="0" applyFont="1" applyFill="1"/>
    <xf numFmtId="43" fontId="3" fillId="4" borderId="0" xfId="2" applyFont="1" applyFill="1" applyAlignment="1">
      <alignment wrapText="1"/>
    </xf>
    <xf numFmtId="0" fontId="2" fillId="4" borderId="0" xfId="0" applyFont="1" applyFill="1" applyAlignment="1">
      <alignment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3" fillId="4" borderId="2" xfId="0" applyFont="1" applyFill="1" applyBorder="1" applyAlignment="1">
      <alignment horizontal="left" vertical="center" wrapText="1"/>
    </xf>
    <xf numFmtId="0" fontId="2" fillId="4" borderId="4" xfId="0" applyFont="1" applyFill="1" applyBorder="1" applyAlignment="1">
      <alignment horizontal="center" vertical="center" wrapText="1"/>
    </xf>
    <xf numFmtId="0" fontId="2" fillId="4" borderId="7" xfId="0" applyFont="1" applyFill="1" applyBorder="1" applyAlignment="1">
      <alignment horizontal="center" vertical="center" wrapText="1"/>
    </xf>
    <xf numFmtId="0" fontId="2" fillId="4" borderId="2" xfId="2" applyNumberFormat="1" applyFont="1" applyFill="1" applyBorder="1" applyAlignment="1">
      <alignment horizontal="center" vertical="center" wrapText="1"/>
    </xf>
    <xf numFmtId="0" fontId="2" fillId="4" borderId="3" xfId="0" applyFont="1" applyFill="1" applyBorder="1" applyAlignment="1">
      <alignment horizontal="left" vertical="center"/>
    </xf>
    <xf numFmtId="0" fontId="15" fillId="4" borderId="2" xfId="0" applyFont="1" applyFill="1" applyBorder="1" applyAlignment="1">
      <alignment horizontal="left" vertical="center" wrapText="1"/>
    </xf>
    <xf numFmtId="0" fontId="23" fillId="4" borderId="0" xfId="0" applyFont="1" applyFill="1" applyAlignment="1">
      <alignment horizontal="left" vertical="center" wrapText="1"/>
    </xf>
    <xf numFmtId="0" fontId="3" fillId="4" borderId="4" xfId="0" applyFont="1" applyFill="1" applyBorder="1" applyAlignment="1">
      <alignment wrapText="1"/>
    </xf>
    <xf numFmtId="0" fontId="3" fillId="4" borderId="7" xfId="0" applyFont="1" applyFill="1" applyBorder="1" applyAlignment="1">
      <alignment wrapText="1"/>
    </xf>
    <xf numFmtId="0" fontId="15" fillId="4" borderId="2" xfId="0" applyFont="1" applyFill="1" applyBorder="1" applyAlignment="1">
      <alignment horizontal="left" vertical="center"/>
    </xf>
    <xf numFmtId="0" fontId="3" fillId="4" borderId="2" xfId="0" applyFont="1" applyFill="1" applyBorder="1" applyAlignment="1">
      <alignment horizontal="left" vertical="center" wrapText="1"/>
    </xf>
    <xf numFmtId="43" fontId="3" fillId="4" borderId="2" xfId="2" applyFont="1" applyFill="1" applyBorder="1" applyAlignment="1">
      <alignment horizontal="right" vertical="center" wrapText="1"/>
    </xf>
    <xf numFmtId="4" fontId="3" fillId="4" borderId="4" xfId="0" applyNumberFormat="1" applyFont="1" applyFill="1" applyBorder="1" applyAlignment="1">
      <alignment horizontal="right" vertical="center" wrapText="1"/>
    </xf>
    <xf numFmtId="4" fontId="3" fillId="4" borderId="2" xfId="0" applyNumberFormat="1" applyFont="1" applyFill="1" applyBorder="1" applyAlignment="1">
      <alignment horizontal="right" vertical="center" wrapText="1"/>
    </xf>
    <xf numFmtId="4" fontId="3" fillId="4" borderId="2" xfId="0" applyNumberFormat="1" applyFont="1" applyFill="1" applyBorder="1" applyAlignment="1">
      <alignment horizontal="right" vertical="center"/>
    </xf>
    <xf numFmtId="4" fontId="3" fillId="4" borderId="4" xfId="0" applyNumberFormat="1" applyFont="1" applyFill="1" applyBorder="1" applyAlignment="1">
      <alignment horizontal="right" vertical="center"/>
    </xf>
    <xf numFmtId="0" fontId="3" fillId="4" borderId="2" xfId="0" applyFont="1" applyFill="1" applyBorder="1" applyAlignment="1">
      <alignment horizontal="right" vertical="center" wrapText="1"/>
    </xf>
    <xf numFmtId="43" fontId="3" fillId="4" borderId="2" xfId="2" applyFont="1" applyFill="1" applyBorder="1" applyAlignment="1">
      <alignment horizontal="right" vertical="center"/>
    </xf>
    <xf numFmtId="0" fontId="3" fillId="4" borderId="2" xfId="0" quotePrefix="1" applyFont="1" applyFill="1" applyBorder="1" applyAlignment="1">
      <alignment horizontal="left" vertical="center" wrapText="1"/>
    </xf>
    <xf numFmtId="0" fontId="15" fillId="4" borderId="3" xfId="0" applyFont="1" applyFill="1" applyBorder="1" applyAlignment="1">
      <alignment horizontal="left" vertical="center"/>
    </xf>
    <xf numFmtId="43" fontId="15" fillId="4" borderId="2" xfId="2" applyFont="1" applyFill="1" applyBorder="1" applyAlignment="1">
      <alignment horizontal="right" vertical="center" wrapText="1"/>
    </xf>
    <xf numFmtId="4" fontId="15" fillId="4" borderId="4" xfId="0" applyNumberFormat="1" applyFont="1" applyFill="1" applyBorder="1" applyAlignment="1">
      <alignment horizontal="right" vertical="center" wrapText="1"/>
    </xf>
    <xf numFmtId="0" fontId="25" fillId="4" borderId="2" xfId="0" applyFont="1" applyFill="1" applyBorder="1"/>
    <xf numFmtId="0" fontId="3" fillId="4" borderId="2" xfId="0" applyFont="1" applyFill="1" applyBorder="1" applyAlignment="1">
      <alignment horizontal="left" wrapText="1"/>
    </xf>
    <xf numFmtId="4" fontId="3" fillId="4" borderId="2" xfId="0" applyNumberFormat="1" applyFont="1" applyFill="1" applyBorder="1" applyAlignment="1">
      <alignment wrapText="1"/>
    </xf>
    <xf numFmtId="4" fontId="15" fillId="4" borderId="2" xfId="0" applyNumberFormat="1" applyFont="1" applyFill="1" applyBorder="1" applyAlignment="1">
      <alignment wrapText="1"/>
    </xf>
    <xf numFmtId="0" fontId="2" fillId="4" borderId="0" xfId="0" applyFont="1" applyFill="1" applyAlignment="1">
      <alignment vertical="center"/>
    </xf>
    <xf numFmtId="0" fontId="2" fillId="4" borderId="0" xfId="0" applyFont="1" applyFill="1" applyAlignment="1">
      <alignment horizontal="left" vertical="center"/>
    </xf>
    <xf numFmtId="0" fontId="2" fillId="4" borderId="2" xfId="0" applyFont="1" applyFill="1" applyBorder="1" applyAlignment="1">
      <alignment horizontal="left"/>
    </xf>
    <xf numFmtId="0" fontId="2" fillId="4" borderId="3" xfId="0" applyFont="1" applyFill="1" applyBorder="1" applyAlignment="1">
      <alignment horizontal="left"/>
    </xf>
    <xf numFmtId="43" fontId="2" fillId="4" borderId="2" xfId="2" applyFont="1" applyFill="1" applyBorder="1" applyAlignment="1">
      <alignment horizontal="center" vertical="center"/>
    </xf>
    <xf numFmtId="0" fontId="23" fillId="4" borderId="3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wrapText="1"/>
    </xf>
    <xf numFmtId="43" fontId="3" fillId="4" borderId="2" xfId="2" applyFont="1" applyFill="1" applyBorder="1" applyAlignment="1">
      <alignment wrapText="1"/>
    </xf>
    <xf numFmtId="168" fontId="3" fillId="4" borderId="2" xfId="2" applyNumberFormat="1" applyFont="1" applyFill="1" applyBorder="1" applyAlignment="1">
      <alignment horizontal="left" vertical="center"/>
    </xf>
    <xf numFmtId="43" fontId="3" fillId="4" borderId="2" xfId="2" applyFont="1" applyFill="1" applyBorder="1" applyAlignment="1">
      <alignment vertical="center"/>
    </xf>
    <xf numFmtId="168" fontId="3" fillId="4" borderId="3" xfId="2" applyNumberFormat="1" applyFont="1" applyFill="1" applyBorder="1" applyAlignment="1">
      <alignment horizontal="left" vertical="center"/>
    </xf>
    <xf numFmtId="43" fontId="3" fillId="4" borderId="2" xfId="2" applyFont="1" applyFill="1" applyBorder="1" applyAlignment="1">
      <alignment horizontal="left" vertical="center" wrapText="1"/>
    </xf>
    <xf numFmtId="43" fontId="3" fillId="4" borderId="7" xfId="2" applyFont="1" applyFill="1" applyBorder="1" applyAlignment="1">
      <alignment horizontal="center" vertical="center"/>
    </xf>
    <xf numFmtId="43" fontId="3" fillId="4" borderId="2" xfId="2" applyFont="1" applyFill="1" applyBorder="1" applyAlignment="1">
      <alignment vertical="top"/>
    </xf>
    <xf numFmtId="0" fontId="3" fillId="4" borderId="7" xfId="2" applyNumberFormat="1" applyFont="1" applyFill="1" applyBorder="1" applyAlignment="1">
      <alignment horizontal="center" vertical="center"/>
    </xf>
    <xf numFmtId="43" fontId="3" fillId="4" borderId="2" xfId="2" applyFont="1" applyFill="1" applyBorder="1" applyAlignment="1">
      <alignment horizontal="left" vertical="center"/>
    </xf>
    <xf numFmtId="43" fontId="3" fillId="4" borderId="2" xfId="2" applyFont="1" applyFill="1" applyBorder="1" applyAlignment="1">
      <alignment horizontal="right"/>
    </xf>
    <xf numFmtId="0" fontId="0" fillId="4" borderId="2" xfId="0" applyFill="1" applyBorder="1" applyAlignment="1">
      <alignment horizontal="left"/>
    </xf>
    <xf numFmtId="43" fontId="15" fillId="4" borderId="2" xfId="2" applyFont="1" applyFill="1" applyBorder="1" applyAlignment="1">
      <alignment horizontal="left" vertical="center"/>
    </xf>
    <xf numFmtId="43" fontId="15" fillId="4" borderId="2" xfId="2" applyFont="1" applyFill="1" applyBorder="1" applyAlignment="1">
      <alignment horizontal="left" vertical="center" wrapText="1"/>
    </xf>
    <xf numFmtId="0" fontId="3" fillId="4" borderId="0" xfId="0" quotePrefix="1" applyFont="1" applyFill="1" applyAlignment="1">
      <alignment horizontal="left" vertical="center"/>
    </xf>
    <xf numFmtId="4" fontId="3" fillId="4" borderId="2" xfId="0" applyNumberFormat="1" applyFont="1" applyFill="1" applyBorder="1" applyAlignment="1">
      <alignment vertical="center"/>
    </xf>
    <xf numFmtId="0" fontId="3" fillId="4" borderId="2" xfId="0" quotePrefix="1" applyFont="1" applyFill="1" applyBorder="1" applyAlignment="1">
      <alignment horizontal="left" vertical="center"/>
    </xf>
    <xf numFmtId="0" fontId="12" fillId="4" borderId="0" xfId="0" applyFont="1" applyFill="1"/>
    <xf numFmtId="0" fontId="3" fillId="4" borderId="7" xfId="0" applyFont="1" applyFill="1" applyBorder="1" applyAlignment="1">
      <alignment horizontal="left" vertical="center"/>
    </xf>
    <xf numFmtId="0" fontId="3" fillId="2" borderId="17" xfId="0" applyFont="1" applyFill="1" applyBorder="1" applyAlignment="1">
      <alignment horizontal="left" vertical="center"/>
    </xf>
    <xf numFmtId="0" fontId="10" fillId="2" borderId="0" xfId="0" applyFont="1" applyFill="1" applyAlignment="1">
      <alignment vertical="top"/>
    </xf>
    <xf numFmtId="0" fontId="8" fillId="2" borderId="0" xfId="0" applyFont="1" applyFill="1" applyAlignment="1">
      <alignment vertical="top"/>
    </xf>
    <xf numFmtId="0" fontId="15" fillId="2" borderId="2" xfId="0" quotePrefix="1" applyFont="1" applyFill="1" applyBorder="1"/>
    <xf numFmtId="0" fontId="7" fillId="2" borderId="2" xfId="0" applyFont="1" applyFill="1" applyBorder="1"/>
    <xf numFmtId="0" fontId="15" fillId="2" borderId="17" xfId="0" applyFont="1" applyFill="1" applyBorder="1" applyAlignment="1">
      <alignment horizontal="left" vertical="center"/>
    </xf>
    <xf numFmtId="0" fontId="15" fillId="2" borderId="2" xfId="0" quotePrefix="1" applyFont="1" applyFill="1" applyBorder="1" applyAlignment="1">
      <alignment wrapText="1"/>
    </xf>
    <xf numFmtId="0" fontId="3" fillId="2" borderId="2" xfId="0" quotePrefix="1" applyFont="1" applyFill="1" applyBorder="1"/>
    <xf numFmtId="0" fontId="3" fillId="2" borderId="7" xfId="0" applyFont="1" applyFill="1" applyBorder="1" applyAlignment="1">
      <alignment horizontal="left" vertical="center"/>
    </xf>
    <xf numFmtId="0" fontId="23" fillId="2" borderId="0" xfId="0" applyFont="1" applyFill="1" applyAlignment="1">
      <alignment horizontal="left"/>
    </xf>
    <xf numFmtId="0" fontId="23" fillId="2" borderId="0" xfId="0" applyFont="1" applyFill="1" applyAlignment="1">
      <alignment horizontal="left" wrapText="1"/>
    </xf>
    <xf numFmtId="0" fontId="23" fillId="2" borderId="0" xfId="0" applyFont="1" applyFill="1" applyAlignment="1">
      <alignment horizontal="left" vertical="top" wrapText="1"/>
    </xf>
    <xf numFmtId="0" fontId="44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center" vertical="center"/>
    </xf>
    <xf numFmtId="166" fontId="15" fillId="2" borderId="2" xfId="1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horizontal="center" vertical="center"/>
    </xf>
    <xf numFmtId="166" fontId="15" fillId="2" borderId="2" xfId="1" applyFont="1" applyFill="1" applyBorder="1" applyAlignment="1">
      <alignment horizontal="left" vertical="center" wrapText="1"/>
    </xf>
    <xf numFmtId="166" fontId="3" fillId="2" borderId="4" xfId="1" applyFont="1" applyFill="1" applyBorder="1" applyAlignment="1">
      <alignment horizontal="center" vertical="center"/>
    </xf>
    <xf numFmtId="166" fontId="3" fillId="2" borderId="7" xfId="1" applyFont="1" applyFill="1" applyBorder="1" applyAlignment="1">
      <alignment horizontal="center" vertical="center"/>
    </xf>
    <xf numFmtId="166" fontId="3" fillId="2" borderId="2" xfId="1" applyFont="1" applyFill="1" applyBorder="1" applyAlignment="1">
      <alignment horizontal="left" vertical="center"/>
    </xf>
    <xf numFmtId="166" fontId="3" fillId="2" borderId="4" xfId="1" applyFont="1" applyFill="1" applyBorder="1" applyAlignment="1">
      <alignment horizontal="left" vertical="center"/>
    </xf>
    <xf numFmtId="166" fontId="3" fillId="2" borderId="2" xfId="1" applyFont="1" applyFill="1" applyBorder="1" applyAlignment="1">
      <alignment horizontal="left" vertical="center" wrapText="1"/>
    </xf>
    <xf numFmtId="0" fontId="3" fillId="2" borderId="6" xfId="0" applyFont="1" applyFill="1" applyBorder="1" applyAlignment="1">
      <alignment horizontal="center" vertical="center"/>
    </xf>
    <xf numFmtId="166" fontId="3" fillId="2" borderId="38" xfId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/>
    </xf>
    <xf numFmtId="0" fontId="15" fillId="2" borderId="3" xfId="0" quotePrefix="1" applyFont="1" applyFill="1" applyBorder="1" applyAlignment="1">
      <alignment horizontal="left" vertical="center" wrapText="1"/>
    </xf>
    <xf numFmtId="0" fontId="3" fillId="2" borderId="8" xfId="0" applyFont="1" applyFill="1" applyBorder="1" applyAlignment="1">
      <alignment horizontal="center" vertical="center"/>
    </xf>
    <xf numFmtId="166" fontId="3" fillId="2" borderId="6" xfId="1" applyFont="1" applyFill="1" applyBorder="1" applyAlignment="1">
      <alignment horizontal="left" vertical="center"/>
    </xf>
    <xf numFmtId="0" fontId="3" fillId="2" borderId="9" xfId="0" applyFont="1" applyFill="1" applyBorder="1" applyAlignment="1">
      <alignment horizontal="left" vertical="center" wrapText="1"/>
    </xf>
    <xf numFmtId="0" fontId="3" fillId="2" borderId="10" xfId="0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 vertical="center"/>
    </xf>
    <xf numFmtId="166" fontId="3" fillId="2" borderId="10" xfId="1" applyFont="1" applyFill="1" applyBorder="1" applyAlignment="1">
      <alignment horizontal="left" vertical="center"/>
    </xf>
    <xf numFmtId="0" fontId="2" fillId="2" borderId="6" xfId="0" applyFont="1" applyFill="1" applyBorder="1" applyAlignment="1">
      <alignment horizontal="left" vertical="center"/>
    </xf>
    <xf numFmtId="0" fontId="15" fillId="2" borderId="3" xfId="0" applyFont="1" applyFill="1" applyBorder="1" applyAlignment="1">
      <alignment horizontal="left" vertical="center" wrapText="1"/>
    </xf>
    <xf numFmtId="166" fontId="3" fillId="2" borderId="9" xfId="1" applyFont="1" applyFill="1" applyBorder="1" applyAlignment="1">
      <alignment horizontal="left" vertical="center" wrapText="1"/>
    </xf>
    <xf numFmtId="0" fontId="12" fillId="2" borderId="10" xfId="0" applyFont="1" applyFill="1" applyBorder="1" applyAlignment="1">
      <alignment horizontal="center" vertical="center"/>
    </xf>
    <xf numFmtId="166" fontId="3" fillId="2" borderId="11" xfId="1" applyFont="1" applyFill="1" applyBorder="1" applyAlignment="1">
      <alignment horizontal="center" vertical="center"/>
    </xf>
    <xf numFmtId="166" fontId="3" fillId="2" borderId="9" xfId="1" applyFont="1" applyFill="1" applyBorder="1" applyAlignment="1">
      <alignment horizontal="left" vertical="center"/>
    </xf>
    <xf numFmtId="0" fontId="2" fillId="2" borderId="7" xfId="0" applyFont="1" applyFill="1" applyBorder="1" applyAlignment="1">
      <alignment horizontal="center" wrapText="1"/>
    </xf>
    <xf numFmtId="0" fontId="0" fillId="2" borderId="0" xfId="0" applyFill="1"/>
    <xf numFmtId="166" fontId="3" fillId="2" borderId="9" xfId="1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left"/>
    </xf>
    <xf numFmtId="0" fontId="22" fillId="2" borderId="2" xfId="0" applyFont="1" applyFill="1" applyBorder="1" applyAlignment="1">
      <alignment wrapText="1"/>
    </xf>
    <xf numFmtId="0" fontId="12" fillId="2" borderId="9" xfId="0" applyFont="1" applyFill="1" applyBorder="1" applyAlignment="1">
      <alignment wrapText="1"/>
    </xf>
    <xf numFmtId="0" fontId="12" fillId="2" borderId="9" xfId="0" applyFont="1" applyFill="1" applyBorder="1"/>
    <xf numFmtId="0" fontId="12" fillId="2" borderId="9" xfId="0" applyFont="1" applyFill="1" applyBorder="1" applyAlignment="1">
      <alignment horizontal="center"/>
    </xf>
    <xf numFmtId="166" fontId="12" fillId="2" borderId="9" xfId="10" applyFont="1" applyFill="1" applyBorder="1"/>
    <xf numFmtId="43" fontId="12" fillId="2" borderId="9" xfId="0" applyNumberFormat="1" applyFont="1" applyFill="1" applyBorder="1"/>
    <xf numFmtId="0" fontId="22" fillId="2" borderId="13" xfId="0" applyFont="1" applyFill="1" applyBorder="1" applyAlignment="1">
      <alignment horizontal="center" wrapText="1"/>
    </xf>
    <xf numFmtId="0" fontId="7" fillId="2" borderId="35" xfId="0" applyFont="1" applyFill="1" applyBorder="1" applyAlignment="1">
      <alignment wrapText="1"/>
    </xf>
    <xf numFmtId="43" fontId="7" fillId="2" borderId="38" xfId="0" applyNumberFormat="1" applyFont="1" applyFill="1" applyBorder="1" applyAlignment="1">
      <alignment wrapText="1"/>
    </xf>
    <xf numFmtId="43" fontId="3" fillId="0" borderId="2" xfId="2" applyFont="1" applyFill="1" applyBorder="1" applyAlignment="1">
      <alignment vertical="center"/>
    </xf>
    <xf numFmtId="43" fontId="3" fillId="0" borderId="3" xfId="2" applyFont="1" applyFill="1" applyBorder="1" applyAlignment="1">
      <alignment vertical="center"/>
    </xf>
    <xf numFmtId="0" fontId="10" fillId="2" borderId="0" xfId="0" applyFont="1" applyFill="1"/>
    <xf numFmtId="166" fontId="8" fillId="2" borderId="0" xfId="1" applyFont="1" applyFill="1"/>
    <xf numFmtId="166" fontId="8" fillId="2" borderId="0" xfId="1" applyFont="1" applyFill="1" applyAlignment="1">
      <alignment vertical="center"/>
    </xf>
    <xf numFmtId="0" fontId="10" fillId="2" borderId="0" xfId="0" applyFont="1" applyFill="1" applyAlignment="1">
      <alignment wrapText="1"/>
    </xf>
    <xf numFmtId="0" fontId="10" fillId="2" borderId="0" xfId="0" applyFont="1" applyFill="1" applyAlignment="1">
      <alignment horizontal="left"/>
    </xf>
    <xf numFmtId="166" fontId="10" fillId="2" borderId="0" xfId="1" applyFont="1" applyFill="1"/>
    <xf numFmtId="0" fontId="15" fillId="2" borderId="9" xfId="0" applyFont="1" applyFill="1" applyBorder="1" applyAlignment="1">
      <alignment horizontal="center" vertical="center" wrapText="1"/>
    </xf>
    <xf numFmtId="0" fontId="22" fillId="2" borderId="9" xfId="0" applyFont="1" applyFill="1" applyBorder="1" applyAlignment="1">
      <alignment horizontal="center" vertical="center" wrapText="1"/>
    </xf>
    <xf numFmtId="0" fontId="23" fillId="2" borderId="2" xfId="0" applyFont="1" applyFill="1" applyBorder="1" applyAlignment="1">
      <alignment wrapText="1"/>
    </xf>
    <xf numFmtId="0" fontId="2" fillId="2" borderId="7" xfId="0" applyFont="1" applyFill="1" applyBorder="1" applyAlignment="1">
      <alignment horizontal="left"/>
    </xf>
    <xf numFmtId="43" fontId="2" fillId="2" borderId="2" xfId="2" applyFont="1" applyFill="1" applyBorder="1"/>
    <xf numFmtId="43" fontId="2" fillId="2" borderId="4" xfId="0" applyNumberFormat="1" applyFont="1" applyFill="1" applyBorder="1"/>
    <xf numFmtId="4" fontId="3" fillId="2" borderId="2" xfId="0" applyNumberFormat="1" applyFont="1" applyFill="1" applyBorder="1" applyAlignment="1">
      <alignment vertical="center"/>
    </xf>
    <xf numFmtId="43" fontId="2" fillId="2" borderId="4" xfId="0" applyNumberFormat="1" applyFont="1" applyFill="1" applyBorder="1" applyAlignment="1">
      <alignment vertical="center"/>
    </xf>
    <xf numFmtId="0" fontId="0" fillId="2" borderId="2" xfId="0" applyFill="1" applyBorder="1" applyAlignment="1">
      <alignment vertical="center" wrapText="1"/>
    </xf>
    <xf numFmtId="43" fontId="2" fillId="2" borderId="4" xfId="0" applyNumberFormat="1" applyFont="1" applyFill="1" applyBorder="1" applyAlignment="1">
      <alignment horizontal="right" vertical="center"/>
    </xf>
    <xf numFmtId="0" fontId="15" fillId="2" borderId="9" xfId="0" applyFont="1" applyFill="1" applyBorder="1" applyAlignment="1">
      <alignment wrapText="1"/>
    </xf>
    <xf numFmtId="4" fontId="3" fillId="2" borderId="9" xfId="0" applyNumberFormat="1" applyFont="1" applyFill="1" applyBorder="1" applyAlignment="1">
      <alignment horizontal="right" vertical="center"/>
    </xf>
    <xf numFmtId="43" fontId="2" fillId="2" borderId="10" xfId="0" applyNumberFormat="1" applyFont="1" applyFill="1" applyBorder="1" applyAlignment="1">
      <alignment horizontal="right" vertical="center"/>
    </xf>
    <xf numFmtId="0" fontId="3" fillId="2" borderId="9" xfId="0" applyFont="1" applyFill="1" applyBorder="1" applyAlignment="1">
      <alignment wrapText="1"/>
    </xf>
    <xf numFmtId="0" fontId="15" fillId="2" borderId="9" xfId="0" applyFont="1" applyFill="1" applyBorder="1" applyAlignment="1">
      <alignment vertical="center"/>
    </xf>
    <xf numFmtId="0" fontId="15" fillId="2" borderId="9" xfId="0" applyFont="1" applyFill="1" applyBorder="1" applyAlignment="1">
      <alignment vertical="center" wrapText="1"/>
    </xf>
    <xf numFmtId="0" fontId="3" fillId="2" borderId="9" xfId="0" applyFont="1" applyFill="1" applyBorder="1" applyAlignment="1">
      <alignment vertical="center"/>
    </xf>
    <xf numFmtId="43" fontId="2" fillId="2" borderId="10" xfId="0" applyNumberFormat="1" applyFont="1" applyFill="1" applyBorder="1"/>
    <xf numFmtId="0" fontId="3" fillId="2" borderId="3" xfId="0" applyFont="1" applyFill="1" applyBorder="1" applyAlignment="1">
      <alignment horizontal="left" vertical="center" wrapText="1"/>
    </xf>
    <xf numFmtId="166" fontId="3" fillId="2" borderId="3" xfId="1" applyFont="1" applyFill="1" applyBorder="1" applyAlignment="1">
      <alignment horizontal="center" vertical="center"/>
    </xf>
    <xf numFmtId="43" fontId="23" fillId="2" borderId="0" xfId="0" applyNumberFormat="1" applyFont="1" applyFill="1" applyAlignment="1">
      <alignment horizontal="left"/>
    </xf>
    <xf numFmtId="43" fontId="46" fillId="2" borderId="2" xfId="6" applyFont="1" applyFill="1" applyBorder="1" applyAlignment="1">
      <alignment horizontal="left" vertical="justify"/>
    </xf>
    <xf numFmtId="166" fontId="22" fillId="2" borderId="0" xfId="1" applyFont="1" applyFill="1"/>
    <xf numFmtId="41" fontId="46" fillId="2" borderId="2" xfId="16" applyFont="1" applyFill="1" applyBorder="1" applyAlignment="1">
      <alignment horizontal="left" vertical="center"/>
    </xf>
    <xf numFmtId="166" fontId="15" fillId="2" borderId="3" xfId="1" applyFont="1" applyFill="1" applyBorder="1" applyAlignment="1">
      <alignment horizontal="left" vertical="center" wrapText="1"/>
    </xf>
    <xf numFmtId="166" fontId="15" fillId="2" borderId="48" xfId="1" applyFont="1" applyFill="1" applyBorder="1" applyAlignment="1">
      <alignment horizontal="center" vertical="center" wrapText="1"/>
    </xf>
    <xf numFmtId="166" fontId="15" fillId="2" borderId="45" xfId="1" applyFont="1" applyFill="1" applyBorder="1" applyAlignment="1">
      <alignment horizontal="center" vertical="center" wrapText="1"/>
    </xf>
    <xf numFmtId="166" fontId="15" fillId="2" borderId="3" xfId="1" applyFont="1" applyFill="1" applyBorder="1" applyAlignment="1">
      <alignment horizontal="center" vertical="center" wrapText="1"/>
    </xf>
    <xf numFmtId="166" fontId="3" fillId="2" borderId="3" xfId="1" applyFont="1" applyFill="1" applyBorder="1" applyAlignment="1">
      <alignment horizontal="left" vertical="center"/>
    </xf>
    <xf numFmtId="166" fontId="3" fillId="2" borderId="17" xfId="1" applyFont="1" applyFill="1" applyBorder="1" applyAlignment="1">
      <alignment horizontal="left" vertical="center" wrapText="1"/>
    </xf>
    <xf numFmtId="167" fontId="3" fillId="2" borderId="15" xfId="1" applyNumberFormat="1" applyFont="1" applyFill="1" applyBorder="1" applyAlignment="1">
      <alignment horizontal="center" vertical="center" wrapText="1"/>
    </xf>
    <xf numFmtId="166" fontId="3" fillId="2" borderId="19" xfId="1" applyFont="1" applyFill="1" applyBorder="1" applyAlignment="1">
      <alignment horizontal="center" vertical="center" wrapText="1"/>
    </xf>
    <xf numFmtId="166" fontId="3" fillId="2" borderId="17" xfId="1" applyFont="1" applyFill="1" applyBorder="1" applyAlignment="1">
      <alignment horizontal="center" vertical="center" wrapText="1"/>
    </xf>
    <xf numFmtId="166" fontId="3" fillId="2" borderId="17" xfId="1" applyFont="1" applyFill="1" applyBorder="1" applyAlignment="1">
      <alignment horizontal="left" vertical="center"/>
    </xf>
    <xf numFmtId="166" fontId="3" fillId="2" borderId="50" xfId="1" applyFont="1" applyFill="1" applyBorder="1" applyAlignment="1">
      <alignment horizontal="left" vertical="center"/>
    </xf>
    <xf numFmtId="0" fontId="3" fillId="2" borderId="17" xfId="0" quotePrefix="1" applyFont="1" applyFill="1" applyBorder="1" applyAlignment="1">
      <alignment horizontal="left" vertical="center" wrapText="1"/>
    </xf>
    <xf numFmtId="0" fontId="3" fillId="2" borderId="15" xfId="0" applyFont="1" applyFill="1" applyBorder="1" applyAlignment="1">
      <alignment horizontal="center" vertical="center"/>
    </xf>
    <xf numFmtId="166" fontId="3" fillId="2" borderId="17" xfId="1" applyFont="1" applyFill="1" applyBorder="1" applyAlignment="1">
      <alignment horizontal="center" vertical="center"/>
    </xf>
    <xf numFmtId="166" fontId="3" fillId="2" borderId="15" xfId="1" applyFont="1" applyFill="1" applyBorder="1" applyAlignment="1">
      <alignment horizontal="left" vertical="center"/>
    </xf>
    <xf numFmtId="0" fontId="47" fillId="2" borderId="4" xfId="0" applyFont="1" applyFill="1" applyBorder="1" applyAlignment="1">
      <alignment horizontal="center"/>
    </xf>
    <xf numFmtId="0" fontId="47" fillId="2" borderId="0" xfId="0" applyFont="1" applyFill="1" applyAlignment="1">
      <alignment horizontal="center"/>
    </xf>
    <xf numFmtId="0" fontId="41" fillId="2" borderId="2" xfId="0" applyFont="1" applyFill="1" applyBorder="1" applyAlignment="1">
      <alignment horizontal="center" vertical="center" wrapText="1"/>
    </xf>
    <xf numFmtId="0" fontId="41" fillId="2" borderId="2" xfId="0" applyFont="1" applyFill="1" applyBorder="1" applyAlignment="1">
      <alignment horizontal="center" wrapText="1"/>
    </xf>
    <xf numFmtId="43" fontId="3" fillId="2" borderId="0" xfId="2" applyFont="1" applyFill="1" applyAlignment="1"/>
    <xf numFmtId="166" fontId="3" fillId="2" borderId="0" xfId="1" applyFont="1" applyFill="1" applyAlignment="1">
      <alignment vertical="top"/>
    </xf>
    <xf numFmtId="43" fontId="3" fillId="2" borderId="0" xfId="2" applyFont="1" applyFill="1" applyAlignment="1">
      <alignment vertical="top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/>
    </xf>
    <xf numFmtId="0" fontId="12" fillId="2" borderId="0" xfId="0" applyFont="1" applyFill="1"/>
    <xf numFmtId="0" fontId="22" fillId="2" borderId="0" xfId="0" applyFont="1" applyFill="1" applyAlignment="1">
      <alignment horizontal="center" wrapText="1"/>
    </xf>
    <xf numFmtId="43" fontId="12" fillId="2" borderId="0" xfId="0" applyNumberFormat="1" applyFont="1" applyFill="1"/>
    <xf numFmtId="172" fontId="0" fillId="0" borderId="0" xfId="0" applyNumberFormat="1"/>
    <xf numFmtId="0" fontId="8" fillId="5" borderId="0" xfId="0" applyFont="1" applyFill="1" applyAlignment="1">
      <alignment vertical="center" wrapText="1"/>
    </xf>
    <xf numFmtId="0" fontId="7" fillId="5" borderId="2" xfId="0" applyFont="1" applyFill="1" applyBorder="1"/>
    <xf numFmtId="43" fontId="7" fillId="5" borderId="2" xfId="0" applyNumberFormat="1" applyFont="1" applyFill="1" applyBorder="1"/>
    <xf numFmtId="0" fontId="7" fillId="5" borderId="2" xfId="0" applyFont="1" applyFill="1" applyBorder="1" applyAlignment="1">
      <alignment wrapText="1"/>
    </xf>
    <xf numFmtId="0" fontId="7" fillId="5" borderId="0" xfId="0" applyFont="1" applyFill="1"/>
    <xf numFmtId="166" fontId="7" fillId="5" borderId="0" xfId="1" applyFont="1" applyFill="1"/>
    <xf numFmtId="0" fontId="3" fillId="5" borderId="4" xfId="0" applyFont="1" applyFill="1" applyBorder="1" applyAlignment="1">
      <alignment horizontal="center"/>
    </xf>
    <xf numFmtId="4" fontId="3" fillId="5" borderId="2" xfId="0" applyNumberFormat="1" applyFont="1" applyFill="1" applyBorder="1"/>
    <xf numFmtId="0" fontId="3" fillId="5" borderId="2" xfId="0" applyFont="1" applyFill="1" applyBorder="1"/>
    <xf numFmtId="0" fontId="3" fillId="5" borderId="2" xfId="0" applyFont="1" applyFill="1" applyBorder="1" applyAlignment="1">
      <alignment horizontal="left"/>
    </xf>
    <xf numFmtId="43" fontId="3" fillId="5" borderId="2" xfId="0" applyNumberFormat="1" applyFont="1" applyFill="1" applyBorder="1"/>
    <xf numFmtId="0" fontId="2" fillId="0" borderId="4" xfId="0" applyFont="1" applyBorder="1" applyAlignment="1">
      <alignment horizontal="center" wrapText="1"/>
    </xf>
    <xf numFmtId="0" fontId="3" fillId="2" borderId="6" xfId="0" applyFont="1" applyFill="1" applyBorder="1" applyAlignment="1">
      <alignment wrapText="1"/>
    </xf>
    <xf numFmtId="0" fontId="23" fillId="3" borderId="2" xfId="0" applyFont="1" applyFill="1" applyBorder="1" applyAlignment="1">
      <alignment horizontal="center" vertical="center"/>
    </xf>
    <xf numFmtId="0" fontId="2" fillId="5" borderId="2" xfId="0" applyFont="1" applyFill="1" applyBorder="1"/>
    <xf numFmtId="166" fontId="2" fillId="3" borderId="2" xfId="1" applyFont="1" applyFill="1" applyBorder="1" applyAlignment="1">
      <alignment horizontal="center" vertical="center"/>
    </xf>
    <xf numFmtId="0" fontId="3" fillId="0" borderId="6" xfId="0" applyFont="1" applyBorder="1" applyAlignment="1">
      <alignment wrapText="1"/>
    </xf>
    <xf numFmtId="166" fontId="2" fillId="0" borderId="2" xfId="10" applyFont="1" applyFill="1" applyBorder="1" applyAlignment="1">
      <alignment wrapText="1"/>
    </xf>
    <xf numFmtId="0" fontId="2" fillId="5" borderId="2" xfId="0" applyFont="1" applyFill="1" applyBorder="1" applyAlignment="1">
      <alignment horizontal="center" vertical="center"/>
    </xf>
    <xf numFmtId="0" fontId="2" fillId="5" borderId="4" xfId="0" applyFont="1" applyFill="1" applyBorder="1" applyAlignment="1">
      <alignment horizontal="center" vertical="center"/>
    </xf>
    <xf numFmtId="0" fontId="2" fillId="5" borderId="7" xfId="0" applyFont="1" applyFill="1" applyBorder="1" applyAlignment="1">
      <alignment horizontal="center" vertical="center"/>
    </xf>
    <xf numFmtId="0" fontId="2" fillId="5" borderId="2" xfId="10" applyNumberFormat="1" applyFont="1" applyFill="1" applyBorder="1" applyAlignment="1">
      <alignment horizontal="center" vertical="center"/>
    </xf>
    <xf numFmtId="0" fontId="23" fillId="0" borderId="2" xfId="0" applyFont="1" applyBorder="1" applyAlignment="1">
      <alignment horizontal="center" vertical="center"/>
    </xf>
    <xf numFmtId="0" fontId="3" fillId="5" borderId="2" xfId="0" applyFont="1" applyFill="1" applyBorder="1" applyAlignment="1">
      <alignment horizontal="left" wrapText="1"/>
    </xf>
    <xf numFmtId="4" fontId="15" fillId="5" borderId="2" xfId="0" applyNumberFormat="1" applyFont="1" applyFill="1" applyBorder="1" applyAlignment="1">
      <alignment wrapText="1"/>
    </xf>
    <xf numFmtId="2" fontId="0" fillId="5" borderId="2" xfId="0" applyNumberFormat="1" applyFill="1" applyBorder="1"/>
    <xf numFmtId="173" fontId="0" fillId="5" borderId="2" xfId="0" applyNumberFormat="1" applyFill="1" applyBorder="1"/>
    <xf numFmtId="0" fontId="3" fillId="4" borderId="7" xfId="0" applyFont="1" applyFill="1" applyBorder="1"/>
    <xf numFmtId="0" fontId="0" fillId="7" borderId="4" xfId="0" applyFill="1" applyBorder="1"/>
    <xf numFmtId="0" fontId="0" fillId="7" borderId="50" xfId="0" applyFill="1" applyBorder="1" applyAlignment="1">
      <alignment wrapText="1"/>
    </xf>
    <xf numFmtId="0" fontId="3" fillId="5" borderId="9" xfId="0" applyFont="1" applyFill="1" applyBorder="1"/>
    <xf numFmtId="0" fontId="3" fillId="5" borderId="10" xfId="0" applyFont="1" applyFill="1" applyBorder="1" applyAlignment="1">
      <alignment horizontal="center"/>
    </xf>
    <xf numFmtId="0" fontId="3" fillId="5" borderId="11" xfId="0" applyFont="1" applyFill="1" applyBorder="1" applyAlignment="1">
      <alignment horizontal="center"/>
    </xf>
    <xf numFmtId="4" fontId="3" fillId="5" borderId="9" xfId="0" applyNumberFormat="1" applyFont="1" applyFill="1" applyBorder="1"/>
    <xf numFmtId="43" fontId="2" fillId="5" borderId="4" xfId="0" applyNumberFormat="1" applyFont="1" applyFill="1" applyBorder="1"/>
    <xf numFmtId="0" fontId="3" fillId="5" borderId="2" xfId="0" applyFont="1" applyFill="1" applyBorder="1" applyAlignment="1">
      <alignment horizontal="center"/>
    </xf>
    <xf numFmtId="0" fontId="35" fillId="0" borderId="2" xfId="14" applyFont="1" applyBorder="1" applyAlignment="1">
      <alignment vertical="center"/>
    </xf>
    <xf numFmtId="0" fontId="2" fillId="0" borderId="0" xfId="0" applyFont="1" applyAlignment="1">
      <alignment horizontal="center" vertical="center"/>
    </xf>
    <xf numFmtId="0" fontId="2" fillId="0" borderId="7" xfId="0" applyFont="1" applyBorder="1" applyAlignment="1">
      <alignment horizontal="center"/>
    </xf>
    <xf numFmtId="43" fontId="3" fillId="0" borderId="0" xfId="2" applyFont="1" applyFill="1" applyAlignment="1">
      <alignment wrapText="1"/>
    </xf>
    <xf numFmtId="0" fontId="7" fillId="0" borderId="0" xfId="0" applyFont="1" applyAlignment="1">
      <alignment horizontal="left" wrapText="1"/>
    </xf>
    <xf numFmtId="0" fontId="3" fillId="0" borderId="2" xfId="0" applyFont="1" applyBorder="1" applyAlignment="1">
      <alignment vertical="center" wrapText="1"/>
    </xf>
    <xf numFmtId="0" fontId="2" fillId="0" borderId="2" xfId="0" applyFont="1" applyBorder="1" applyAlignment="1">
      <alignment horizontal="left" vertical="center" wrapText="1"/>
    </xf>
    <xf numFmtId="0" fontId="45" fillId="0" borderId="2" xfId="0" applyFont="1" applyBorder="1" applyAlignment="1">
      <alignment vertical="center" wrapText="1"/>
    </xf>
    <xf numFmtId="43" fontId="21" fillId="0" borderId="2" xfId="0" applyNumberFormat="1" applyFont="1" applyBorder="1" applyAlignment="1">
      <alignment horizontal="center" vertical="center"/>
    </xf>
    <xf numFmtId="0" fontId="41" fillId="0" borderId="2" xfId="0" applyFont="1" applyBorder="1" applyAlignment="1">
      <alignment vertical="center" wrapText="1"/>
    </xf>
    <xf numFmtId="0" fontId="42" fillId="0" borderId="2" xfId="0" quotePrefix="1" applyFont="1" applyBorder="1" applyAlignment="1">
      <alignment vertical="center" wrapText="1"/>
    </xf>
    <xf numFmtId="43" fontId="21" fillId="0" borderId="2" xfId="0" applyNumberFormat="1" applyFont="1" applyBorder="1" applyAlignment="1">
      <alignment horizontal="right" vertical="center"/>
    </xf>
    <xf numFmtId="4" fontId="3" fillId="0" borderId="2" xfId="0" applyNumberFormat="1" applyFont="1" applyBorder="1" applyAlignment="1">
      <alignment horizontal="right" vertical="center" wrapText="1"/>
    </xf>
    <xf numFmtId="43" fontId="3" fillId="0" borderId="2" xfId="2" applyFont="1" applyFill="1" applyBorder="1" applyAlignment="1">
      <alignment horizontal="right" vertical="center" wrapText="1"/>
    </xf>
    <xf numFmtId="0" fontId="6" fillId="0" borderId="2" xfId="0" quotePrefix="1" applyFont="1" applyBorder="1" applyAlignment="1">
      <alignment vertical="center" wrapText="1"/>
    </xf>
    <xf numFmtId="0" fontId="42" fillId="0" borderId="2" xfId="0" applyFont="1" applyBorder="1" applyAlignment="1">
      <alignment vertical="center"/>
    </xf>
    <xf numFmtId="166" fontId="3" fillId="0" borderId="2" xfId="1" applyFont="1" applyFill="1" applyBorder="1" applyAlignment="1">
      <alignment horizontal="right" vertical="center" wrapText="1"/>
    </xf>
    <xf numFmtId="4" fontId="15" fillId="0" borderId="2" xfId="0" applyNumberFormat="1" applyFont="1" applyBorder="1" applyAlignment="1">
      <alignment wrapText="1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center" wrapText="1"/>
    </xf>
    <xf numFmtId="0" fontId="15" fillId="0" borderId="0" xfId="0" applyFont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wrapText="1"/>
    </xf>
    <xf numFmtId="0" fontId="23" fillId="0" borderId="0" xfId="0" applyFont="1" applyAlignment="1">
      <alignment horizontal="center" vertical="center"/>
    </xf>
    <xf numFmtId="0" fontId="22" fillId="0" borderId="0" xfId="0" applyFont="1"/>
    <xf numFmtId="0" fontId="23" fillId="0" borderId="0" xfId="0" applyFont="1" applyAlignment="1">
      <alignment horizontal="left"/>
    </xf>
    <xf numFmtId="0" fontId="23" fillId="0" borderId="0" xfId="0" applyFont="1" applyAlignment="1">
      <alignment horizontal="left" wrapText="1"/>
    </xf>
    <xf numFmtId="0" fontId="23" fillId="0" borderId="0" xfId="0" applyFont="1" applyAlignment="1">
      <alignment horizontal="left" vertical="top" wrapText="1"/>
    </xf>
    <xf numFmtId="0" fontId="44" fillId="0" borderId="0" xfId="0" applyFont="1" applyAlignment="1">
      <alignment horizontal="left" vertical="top" wrapText="1"/>
    </xf>
    <xf numFmtId="166" fontId="15" fillId="0" borderId="2" xfId="1" applyFont="1" applyFill="1" applyBorder="1" applyAlignment="1">
      <alignment horizontal="center" vertical="center" wrapText="1"/>
    </xf>
    <xf numFmtId="166" fontId="15" fillId="0" borderId="2" xfId="1" applyFont="1" applyFill="1" applyBorder="1" applyAlignment="1">
      <alignment horizontal="left" vertical="center" wrapText="1"/>
    </xf>
    <xf numFmtId="166" fontId="3" fillId="0" borderId="4" xfId="1" applyFont="1" applyFill="1" applyBorder="1" applyAlignment="1">
      <alignment horizontal="center" vertical="center"/>
    </xf>
    <xf numFmtId="166" fontId="3" fillId="0" borderId="7" xfId="1" applyFont="1" applyFill="1" applyBorder="1" applyAlignment="1">
      <alignment horizontal="center" vertical="center"/>
    </xf>
    <xf numFmtId="166" fontId="3" fillId="0" borderId="2" xfId="1" applyFont="1" applyFill="1" applyBorder="1" applyAlignment="1">
      <alignment horizontal="left" vertical="center"/>
    </xf>
    <xf numFmtId="166" fontId="3" fillId="0" borderId="4" xfId="1" applyFont="1" applyFill="1" applyBorder="1" applyAlignment="1">
      <alignment horizontal="left" vertical="center"/>
    </xf>
    <xf numFmtId="166" fontId="3" fillId="0" borderId="2" xfId="1" applyFont="1" applyFill="1" applyBorder="1" applyAlignment="1">
      <alignment horizontal="left" vertical="center" wrapText="1"/>
    </xf>
    <xf numFmtId="166" fontId="3" fillId="0" borderId="38" xfId="1" applyFont="1" applyFill="1" applyBorder="1" applyAlignment="1">
      <alignment horizontal="left" vertical="center"/>
    </xf>
    <xf numFmtId="0" fontId="15" fillId="0" borderId="3" xfId="0" quotePrefix="1" applyFont="1" applyBorder="1" applyAlignment="1">
      <alignment horizontal="left" vertical="center" wrapText="1"/>
    </xf>
    <xf numFmtId="166" fontId="3" fillId="0" borderId="6" xfId="1" applyFont="1" applyFill="1" applyBorder="1" applyAlignment="1">
      <alignment horizontal="left" vertical="center"/>
    </xf>
    <xf numFmtId="0" fontId="3" fillId="0" borderId="9" xfId="0" applyFont="1" applyBorder="1" applyAlignment="1">
      <alignment horizontal="left" vertical="center" wrapText="1"/>
    </xf>
    <xf numFmtId="0" fontId="3" fillId="0" borderId="10" xfId="0" applyFont="1" applyBorder="1" applyAlignment="1">
      <alignment horizontal="center" vertical="center"/>
    </xf>
    <xf numFmtId="166" fontId="3" fillId="0" borderId="9" xfId="1" applyFont="1" applyFill="1" applyBorder="1" applyAlignment="1">
      <alignment horizontal="center" vertical="center"/>
    </xf>
    <xf numFmtId="166" fontId="3" fillId="0" borderId="10" xfId="1" applyFont="1" applyFill="1" applyBorder="1" applyAlignment="1">
      <alignment horizontal="left" vertical="center"/>
    </xf>
    <xf numFmtId="0" fontId="2" fillId="0" borderId="6" xfId="0" applyFont="1" applyBorder="1" applyAlignment="1">
      <alignment horizontal="left" vertical="center"/>
    </xf>
    <xf numFmtId="166" fontId="3" fillId="0" borderId="9" xfId="1" applyFont="1" applyFill="1" applyBorder="1" applyAlignment="1">
      <alignment horizontal="left" vertical="center" wrapText="1"/>
    </xf>
    <xf numFmtId="0" fontId="12" fillId="0" borderId="10" xfId="0" applyFont="1" applyBorder="1" applyAlignment="1">
      <alignment horizontal="center" vertical="center"/>
    </xf>
    <xf numFmtId="166" fontId="3" fillId="0" borderId="11" xfId="1" applyFont="1" applyFill="1" applyBorder="1" applyAlignment="1">
      <alignment horizontal="center" vertical="center"/>
    </xf>
    <xf numFmtId="166" fontId="3" fillId="0" borderId="9" xfId="1" applyFont="1" applyFill="1" applyBorder="1" applyAlignment="1">
      <alignment horizontal="left" vertical="center"/>
    </xf>
    <xf numFmtId="41" fontId="46" fillId="0" borderId="2" xfId="16" applyFont="1" applyFill="1" applyBorder="1" applyAlignment="1">
      <alignment horizontal="left" vertical="center"/>
    </xf>
    <xf numFmtId="166" fontId="3" fillId="0" borderId="3" xfId="1" applyFont="1" applyFill="1" applyBorder="1" applyAlignment="1">
      <alignment horizontal="center" vertical="center"/>
    </xf>
    <xf numFmtId="169" fontId="46" fillId="0" borderId="2" xfId="6" applyNumberFormat="1" applyFont="1" applyFill="1" applyBorder="1" applyAlignment="1">
      <alignment horizontal="left" vertical="top"/>
    </xf>
    <xf numFmtId="166" fontId="3" fillId="0" borderId="2" xfId="1" applyFont="1" applyFill="1" applyBorder="1" applyAlignment="1">
      <alignment horizontal="center" vertical="center"/>
    </xf>
    <xf numFmtId="169" fontId="46" fillId="0" borderId="2" xfId="7" applyNumberFormat="1" applyFont="1" applyFill="1" applyBorder="1" applyAlignment="1">
      <alignment horizontal="left" vertical="top"/>
    </xf>
    <xf numFmtId="169" fontId="46" fillId="0" borderId="2" xfId="6" applyNumberFormat="1" applyFont="1" applyFill="1" applyBorder="1" applyAlignment="1">
      <alignment horizontal="center" vertical="center"/>
    </xf>
    <xf numFmtId="43" fontId="46" fillId="0" borderId="2" xfId="6" applyFont="1" applyFill="1" applyBorder="1" applyAlignment="1">
      <alignment horizontal="left" vertical="justify"/>
    </xf>
    <xf numFmtId="43" fontId="3" fillId="0" borderId="0" xfId="0" applyNumberFormat="1" applyFont="1" applyAlignment="1">
      <alignment horizontal="left"/>
    </xf>
    <xf numFmtId="4" fontId="3" fillId="0" borderId="0" xfId="0" applyNumberFormat="1" applyFont="1" applyAlignment="1">
      <alignment horizontal="left"/>
    </xf>
    <xf numFmtId="166" fontId="3" fillId="0" borderId="0" xfId="1" applyFont="1" applyAlignment="1">
      <alignment horizontal="left"/>
    </xf>
    <xf numFmtId="43" fontId="3" fillId="5" borderId="2" xfId="2" applyFont="1" applyFill="1" applyBorder="1" applyAlignment="1"/>
    <xf numFmtId="0" fontId="2" fillId="5" borderId="4" xfId="0" applyFont="1" applyFill="1" applyBorder="1"/>
    <xf numFmtId="0" fontId="3" fillId="5" borderId="2" xfId="0" applyFont="1" applyFill="1" applyBorder="1" applyAlignment="1">
      <alignment wrapText="1"/>
    </xf>
    <xf numFmtId="43" fontId="2" fillId="5" borderId="2" xfId="0" applyNumberFormat="1" applyFont="1" applyFill="1" applyBorder="1" applyAlignment="1">
      <alignment horizontal="center"/>
    </xf>
    <xf numFmtId="0" fontId="2" fillId="5" borderId="2" xfId="0" applyFont="1" applyFill="1" applyBorder="1" applyAlignment="1">
      <alignment wrapText="1"/>
    </xf>
    <xf numFmtId="166" fontId="2" fillId="5" borderId="2" xfId="10" applyFont="1" applyFill="1" applyBorder="1" applyAlignment="1">
      <alignment horizontal="center" vertical="center"/>
    </xf>
    <xf numFmtId="43" fontId="2" fillId="5" borderId="2" xfId="0" applyNumberFormat="1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left" vertical="center" wrapText="1"/>
    </xf>
    <xf numFmtId="166" fontId="3" fillId="5" borderId="2" xfId="10" applyFont="1" applyFill="1" applyBorder="1" applyAlignment="1">
      <alignment horizontal="center" vertical="center"/>
    </xf>
    <xf numFmtId="166" fontId="3" fillId="5" borderId="2" xfId="10" applyFont="1" applyFill="1" applyBorder="1"/>
    <xf numFmtId="0" fontId="3" fillId="5" borderId="9" xfId="0" applyFont="1" applyFill="1" applyBorder="1" applyAlignment="1">
      <alignment horizontal="left" vertical="center" wrapText="1"/>
    </xf>
    <xf numFmtId="0" fontId="3" fillId="5" borderId="10" xfId="0" applyFont="1" applyFill="1" applyBorder="1" applyAlignment="1">
      <alignment horizontal="center" vertical="center"/>
    </xf>
    <xf numFmtId="0" fontId="3" fillId="5" borderId="11" xfId="0" applyFont="1" applyFill="1" applyBorder="1" applyAlignment="1">
      <alignment horizontal="center" vertical="center"/>
    </xf>
    <xf numFmtId="166" fontId="3" fillId="5" borderId="9" xfId="1" applyFont="1" applyFill="1" applyBorder="1" applyAlignment="1">
      <alignment horizontal="center" vertical="center"/>
    </xf>
    <xf numFmtId="0" fontId="41" fillId="0" borderId="2" xfId="0" applyFont="1" applyBorder="1" applyAlignment="1">
      <alignment horizontal="left" vertical="center" wrapText="1"/>
    </xf>
    <xf numFmtId="0" fontId="41" fillId="0" borderId="2" xfId="0" applyFont="1" applyBorder="1" applyAlignment="1">
      <alignment horizontal="right" vertical="center"/>
    </xf>
    <xf numFmtId="0" fontId="41" fillId="0" borderId="2" xfId="0" applyFont="1" applyBorder="1" applyAlignment="1">
      <alignment vertical="center"/>
    </xf>
    <xf numFmtId="0" fontId="41" fillId="0" borderId="4" xfId="0" applyFont="1" applyBorder="1" applyAlignment="1">
      <alignment vertical="center"/>
    </xf>
    <xf numFmtId="0" fontId="41" fillId="0" borderId="7" xfId="0" applyFont="1" applyBorder="1" applyAlignment="1">
      <alignment vertical="center"/>
    </xf>
    <xf numFmtId="0" fontId="6" fillId="0" borderId="6" xfId="0" applyFont="1" applyBorder="1" applyAlignment="1">
      <alignment horizontal="left" vertical="center" wrapText="1"/>
    </xf>
    <xf numFmtId="0" fontId="42" fillId="0" borderId="4" xfId="0" applyFont="1" applyBorder="1" applyAlignment="1">
      <alignment wrapText="1"/>
    </xf>
    <xf numFmtId="0" fontId="6" fillId="0" borderId="6" xfId="0" applyFont="1" applyBorder="1" applyAlignment="1">
      <alignment wrapText="1"/>
    </xf>
    <xf numFmtId="0" fontId="6" fillId="0" borderId="4" xfId="0" quotePrefix="1" applyFont="1" applyBorder="1" applyAlignment="1">
      <alignment vertical="center" wrapText="1"/>
    </xf>
    <xf numFmtId="43" fontId="6" fillId="0" borderId="2" xfId="0" applyNumberFormat="1" applyFont="1" applyBorder="1" applyAlignment="1">
      <alignment wrapText="1"/>
    </xf>
    <xf numFmtId="166" fontId="3" fillId="0" borderId="0" xfId="1" applyFont="1" applyFill="1" applyAlignment="1">
      <alignment horizontal="left"/>
    </xf>
    <xf numFmtId="174" fontId="0" fillId="0" borderId="0" xfId="0" applyNumberFormat="1"/>
    <xf numFmtId="175" fontId="0" fillId="0" borderId="0" xfId="0" applyNumberFormat="1"/>
    <xf numFmtId="0" fontId="41" fillId="5" borderId="2" xfId="0" applyFont="1" applyFill="1" applyBorder="1" applyAlignment="1">
      <alignment horizontal="left" vertical="center"/>
    </xf>
    <xf numFmtId="0" fontId="6" fillId="5" borderId="2" xfId="0" applyFont="1" applyFill="1" applyBorder="1" applyAlignment="1">
      <alignment wrapText="1"/>
    </xf>
    <xf numFmtId="0" fontId="6" fillId="5" borderId="4" xfId="0" applyFont="1" applyFill="1" applyBorder="1" applyAlignment="1">
      <alignment horizontal="center"/>
    </xf>
    <xf numFmtId="0" fontId="6" fillId="5" borderId="7" xfId="0" applyFont="1" applyFill="1" applyBorder="1" applyAlignment="1">
      <alignment horizontal="center"/>
    </xf>
    <xf numFmtId="4" fontId="6" fillId="5" borderId="2" xfId="0" applyNumberFormat="1" applyFont="1" applyFill="1" applyBorder="1"/>
    <xf numFmtId="43" fontId="6" fillId="5" borderId="4" xfId="0" applyNumberFormat="1" applyFont="1" applyFill="1" applyBorder="1"/>
    <xf numFmtId="0" fontId="41" fillId="5" borderId="2" xfId="0" applyFont="1" applyFill="1" applyBorder="1" applyAlignment="1">
      <alignment wrapText="1"/>
    </xf>
    <xf numFmtId="0" fontId="6" fillId="5" borderId="3" xfId="0" applyFont="1" applyFill="1" applyBorder="1" applyAlignment="1">
      <alignment wrapText="1"/>
    </xf>
    <xf numFmtId="166" fontId="6" fillId="5" borderId="2" xfId="1" applyFont="1" applyFill="1" applyBorder="1"/>
    <xf numFmtId="0" fontId="41" fillId="5" borderId="0" xfId="0" applyFont="1" applyFill="1" applyAlignment="1">
      <alignment wrapText="1"/>
    </xf>
    <xf numFmtId="0" fontId="41" fillId="5" borderId="4" xfId="0" applyFont="1" applyFill="1" applyBorder="1" applyAlignment="1">
      <alignment horizontal="center" vertical="center"/>
    </xf>
    <xf numFmtId="0" fontId="41" fillId="5" borderId="7" xfId="0" applyFont="1" applyFill="1" applyBorder="1" applyAlignment="1">
      <alignment horizontal="center" vertical="center"/>
    </xf>
    <xf numFmtId="0" fontId="41" fillId="5" borderId="2" xfId="1" applyNumberFormat="1" applyFont="1" applyFill="1" applyBorder="1" applyAlignment="1">
      <alignment horizontal="right" vertical="center"/>
    </xf>
    <xf numFmtId="166" fontId="6" fillId="5" borderId="2" xfId="1" applyFont="1" applyFill="1" applyBorder="1" applyAlignment="1">
      <alignment horizontal="right" vertical="center"/>
    </xf>
    <xf numFmtId="166" fontId="0" fillId="0" borderId="2" xfId="1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166" fontId="0" fillId="0" borderId="2" xfId="0" applyNumberFormat="1" applyBorder="1"/>
    <xf numFmtId="0" fontId="0" fillId="9" borderId="0" xfId="0" applyFill="1"/>
    <xf numFmtId="166" fontId="0" fillId="9" borderId="2" xfId="1" applyFont="1" applyFill="1" applyBorder="1" applyAlignment="1">
      <alignment horizontal="center"/>
    </xf>
    <xf numFmtId="0" fontId="0" fillId="9" borderId="2" xfId="0" applyFill="1" applyBorder="1"/>
    <xf numFmtId="166" fontId="0" fillId="9" borderId="2" xfId="1" applyFont="1" applyFill="1" applyBorder="1"/>
    <xf numFmtId="43" fontId="0" fillId="9" borderId="2" xfId="0" applyNumberFormat="1" applyFill="1" applyBorder="1"/>
    <xf numFmtId="0" fontId="0" fillId="10" borderId="0" xfId="0" applyFill="1"/>
    <xf numFmtId="166" fontId="0" fillId="10" borderId="2" xfId="1" applyFont="1" applyFill="1" applyBorder="1" applyAlignment="1">
      <alignment horizontal="center"/>
    </xf>
    <xf numFmtId="0" fontId="0" fillId="10" borderId="2" xfId="0" applyFill="1" applyBorder="1"/>
    <xf numFmtId="166" fontId="0" fillId="10" borderId="2" xfId="1" applyFont="1" applyFill="1" applyBorder="1"/>
    <xf numFmtId="43" fontId="0" fillId="10" borderId="2" xfId="0" applyNumberFormat="1" applyFill="1" applyBorder="1"/>
    <xf numFmtId="166" fontId="0" fillId="8" borderId="2" xfId="1" applyFont="1" applyFill="1" applyBorder="1" applyAlignment="1">
      <alignment horizontal="center"/>
    </xf>
    <xf numFmtId="0" fontId="0" fillId="8" borderId="2" xfId="0" applyFill="1" applyBorder="1"/>
    <xf numFmtId="166" fontId="0" fillId="8" borderId="2" xfId="1" applyFont="1" applyFill="1" applyBorder="1"/>
    <xf numFmtId="43" fontId="0" fillId="8" borderId="2" xfId="0" applyNumberFormat="1" applyFill="1" applyBorder="1"/>
    <xf numFmtId="0" fontId="3" fillId="8" borderId="2" xfId="0" applyFont="1" applyFill="1" applyBorder="1" applyAlignment="1">
      <alignment horizontal="left" vertical="center"/>
    </xf>
    <xf numFmtId="0" fontId="3" fillId="8" borderId="2" xfId="0" applyFont="1" applyFill="1" applyBorder="1" applyAlignment="1">
      <alignment wrapText="1"/>
    </xf>
    <xf numFmtId="0" fontId="3" fillId="8" borderId="4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 vertical="center"/>
    </xf>
    <xf numFmtId="4" fontId="3" fillId="8" borderId="2" xfId="0" applyNumberFormat="1" applyFont="1" applyFill="1" applyBorder="1"/>
    <xf numFmtId="43" fontId="3" fillId="8" borderId="2" xfId="2" applyFont="1" applyFill="1" applyBorder="1" applyAlignment="1"/>
    <xf numFmtId="0" fontId="3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left" vertical="center"/>
    </xf>
    <xf numFmtId="2" fontId="6" fillId="5" borderId="10" xfId="0" applyNumberFormat="1" applyFont="1" applyFill="1" applyBorder="1" applyAlignment="1">
      <alignment horizontal="center"/>
    </xf>
    <xf numFmtId="0" fontId="6" fillId="5" borderId="11" xfId="0" applyFont="1" applyFill="1" applyBorder="1" applyAlignment="1">
      <alignment horizontal="center" vertical="center"/>
    </xf>
    <xf numFmtId="43" fontId="6" fillId="5" borderId="9" xfId="2" applyFont="1" applyFill="1" applyBorder="1"/>
    <xf numFmtId="169" fontId="6" fillId="5" borderId="2" xfId="6" applyNumberFormat="1" applyFont="1" applyFill="1" applyBorder="1" applyAlignment="1">
      <alignment horizontal="left" vertical="top" wrapText="1"/>
    </xf>
    <xf numFmtId="43" fontId="6" fillId="5" borderId="11" xfId="2" applyFont="1" applyFill="1" applyBorder="1" applyAlignment="1">
      <alignment horizontal="center"/>
    </xf>
    <xf numFmtId="0" fontId="6" fillId="5" borderId="2" xfId="0" applyFont="1" applyFill="1" applyBorder="1" applyAlignment="1">
      <alignment horizontal="left" vertical="center"/>
    </xf>
    <xf numFmtId="169" fontId="6" fillId="5" borderId="2" xfId="6" applyNumberFormat="1" applyFont="1" applyFill="1" applyBorder="1" applyAlignment="1">
      <alignment horizontal="left" vertical="top"/>
    </xf>
    <xf numFmtId="2" fontId="6" fillId="5" borderId="4" xfId="0" applyNumberFormat="1" applyFont="1" applyFill="1" applyBorder="1" applyAlignment="1">
      <alignment horizontal="center"/>
    </xf>
    <xf numFmtId="43" fontId="6" fillId="5" borderId="2" xfId="2" applyFont="1" applyFill="1" applyBorder="1"/>
    <xf numFmtId="43" fontId="6" fillId="5" borderId="7" xfId="2" applyFont="1" applyFill="1" applyBorder="1" applyAlignment="1">
      <alignment horizontal="center"/>
    </xf>
    <xf numFmtId="43" fontId="6" fillId="5" borderId="52" xfId="2" applyFont="1" applyFill="1" applyBorder="1"/>
    <xf numFmtId="0" fontId="3" fillId="5" borderId="2" xfId="0" applyFont="1" applyFill="1" applyBorder="1" applyAlignment="1">
      <alignment horizontal="left" vertical="center"/>
    </xf>
    <xf numFmtId="4" fontId="3" fillId="5" borderId="4" xfId="0" applyNumberFormat="1" applyFont="1" applyFill="1" applyBorder="1"/>
    <xf numFmtId="43" fontId="3" fillId="5" borderId="7" xfId="2" applyFont="1" applyFill="1" applyBorder="1"/>
    <xf numFmtId="0" fontId="3" fillId="5" borderId="3" xfId="0" applyFont="1" applyFill="1" applyBorder="1" applyAlignment="1">
      <alignment horizontal="left" vertical="center"/>
    </xf>
    <xf numFmtId="4" fontId="3" fillId="5" borderId="7" xfId="0" applyNumberFormat="1" applyFont="1" applyFill="1" applyBorder="1"/>
    <xf numFmtId="0" fontId="3" fillId="5" borderId="3" xfId="0" applyFont="1" applyFill="1" applyBorder="1" applyAlignment="1">
      <alignment horizontal="center" vertical="center"/>
    </xf>
    <xf numFmtId="166" fontId="3" fillId="5" borderId="2" xfId="1" applyFont="1" applyFill="1" applyBorder="1" applyAlignment="1">
      <alignment horizontal="left" vertical="center" wrapText="1"/>
    </xf>
    <xf numFmtId="0" fontId="12" fillId="5" borderId="4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left" vertical="center"/>
    </xf>
    <xf numFmtId="0" fontId="2" fillId="5" borderId="2" xfId="0" applyFont="1" applyFill="1" applyBorder="1" applyAlignment="1">
      <alignment horizontal="left" vertical="center" wrapText="1"/>
    </xf>
    <xf numFmtId="166" fontId="3" fillId="5" borderId="2" xfId="1" applyFont="1" applyFill="1" applyBorder="1" applyAlignment="1">
      <alignment horizontal="center" vertical="center"/>
    </xf>
    <xf numFmtId="166" fontId="0" fillId="9" borderId="15" xfId="1" applyFont="1" applyFill="1" applyBorder="1"/>
    <xf numFmtId="166" fontId="0" fillId="5" borderId="2" xfId="1" applyFont="1" applyFill="1" applyBorder="1" applyAlignment="1">
      <alignment wrapText="1"/>
    </xf>
    <xf numFmtId="166" fontId="0" fillId="0" borderId="2" xfId="1" applyFont="1" applyFill="1" applyBorder="1" applyAlignment="1">
      <alignment wrapText="1"/>
    </xf>
    <xf numFmtId="166" fontId="0" fillId="0" borderId="2" xfId="1" applyFont="1" applyFill="1" applyBorder="1" applyAlignment="1">
      <alignment horizontal="center"/>
    </xf>
    <xf numFmtId="166" fontId="0" fillId="7" borderId="2" xfId="0" applyNumberFormat="1" applyFill="1" applyBorder="1"/>
    <xf numFmtId="0" fontId="2" fillId="0" borderId="0" xfId="0" applyFont="1" applyAlignment="1">
      <alignment horizontal="center"/>
    </xf>
    <xf numFmtId="0" fontId="3" fillId="0" borderId="4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3" fillId="0" borderId="0" xfId="0" applyFont="1" applyAlignment="1">
      <alignment horizontal="center" vertical="center"/>
    </xf>
    <xf numFmtId="43" fontId="3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wrapText="1"/>
    </xf>
    <xf numFmtId="0" fontId="2" fillId="0" borderId="5" xfId="0" applyFont="1" applyBorder="1" applyAlignment="1">
      <alignment horizontal="center" wrapText="1"/>
    </xf>
    <xf numFmtId="0" fontId="2" fillId="0" borderId="7" xfId="0" applyFont="1" applyBorder="1" applyAlignment="1">
      <alignment horizontal="center" wrapText="1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left"/>
    </xf>
    <xf numFmtId="0" fontId="6" fillId="0" borderId="4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4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42" fillId="0" borderId="13" xfId="0" applyFont="1" applyBorder="1" applyAlignment="1">
      <alignment horizontal="center"/>
    </xf>
    <xf numFmtId="0" fontId="42" fillId="0" borderId="36" xfId="0" applyFont="1" applyBorder="1" applyAlignment="1">
      <alignment horizontal="center"/>
    </xf>
    <xf numFmtId="0" fontId="42" fillId="0" borderId="37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7" fillId="5" borderId="4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7" xfId="0" applyFont="1" applyFill="1" applyBorder="1" applyAlignment="1">
      <alignment horizontal="center"/>
    </xf>
    <xf numFmtId="0" fontId="8" fillId="0" borderId="2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7" fillId="5" borderId="2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3" fillId="2" borderId="0" xfId="0" applyFont="1" applyFill="1" applyAlignment="1">
      <alignment horizontal="left"/>
    </xf>
    <xf numFmtId="0" fontId="3" fillId="2" borderId="4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2" fillId="4" borderId="0" xfId="0" applyFont="1" applyFill="1" applyAlignment="1">
      <alignment horizontal="center"/>
    </xf>
    <xf numFmtId="0" fontId="3" fillId="4" borderId="0" xfId="0" applyFont="1" applyFill="1" applyAlignment="1">
      <alignment horizontal="left"/>
    </xf>
    <xf numFmtId="0" fontId="3" fillId="4" borderId="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/>
    </xf>
    <xf numFmtId="0" fontId="3" fillId="4" borderId="4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wrapText="1"/>
    </xf>
    <xf numFmtId="0" fontId="3" fillId="0" borderId="5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2" fillId="0" borderId="2" xfId="0" applyFont="1" applyBorder="1" applyAlignment="1">
      <alignment horizontal="center" wrapText="1"/>
    </xf>
    <xf numFmtId="43" fontId="3" fillId="0" borderId="4" xfId="2" applyFont="1" applyFill="1" applyBorder="1" applyAlignment="1">
      <alignment horizontal="center"/>
    </xf>
    <xf numFmtId="43" fontId="3" fillId="0" borderId="5" xfId="2" applyFont="1" applyFill="1" applyBorder="1" applyAlignment="1">
      <alignment horizontal="center"/>
    </xf>
    <xf numFmtId="43" fontId="3" fillId="0" borderId="7" xfId="2" applyFont="1" applyFill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5" fillId="2" borderId="13" xfId="0" applyFont="1" applyFill="1" applyBorder="1" applyAlignment="1">
      <alignment horizontal="center"/>
    </xf>
    <xf numFmtId="0" fontId="15" fillId="2" borderId="36" xfId="0" applyFont="1" applyFill="1" applyBorder="1" applyAlignment="1">
      <alignment horizontal="center"/>
    </xf>
    <xf numFmtId="0" fontId="15" fillId="2" borderId="37" xfId="0" applyFont="1" applyFill="1" applyBorder="1" applyAlignment="1">
      <alignment horizontal="center"/>
    </xf>
    <xf numFmtId="0" fontId="7" fillId="2" borderId="13" xfId="0" applyFont="1" applyFill="1" applyBorder="1" applyAlignment="1">
      <alignment horizontal="center"/>
    </xf>
    <xf numFmtId="0" fontId="7" fillId="2" borderId="36" xfId="0" applyFont="1" applyFill="1" applyBorder="1" applyAlignment="1">
      <alignment horizontal="center"/>
    </xf>
    <xf numFmtId="0" fontId="7" fillId="2" borderId="37" xfId="0" applyFont="1" applyFill="1" applyBorder="1" applyAlignment="1">
      <alignment horizontal="center"/>
    </xf>
    <xf numFmtId="0" fontId="3" fillId="0" borderId="4" xfId="0" applyFont="1" applyBorder="1" applyAlignment="1">
      <alignment horizontal="center" wrapText="1"/>
    </xf>
    <xf numFmtId="0" fontId="8" fillId="0" borderId="0" xfId="0" applyFont="1" applyAlignment="1">
      <alignment horizontal="left" vertical="center" wrapText="1"/>
    </xf>
    <xf numFmtId="0" fontId="2" fillId="0" borderId="1" xfId="0" applyFont="1" applyBorder="1" applyAlignment="1">
      <alignment horizontal="center"/>
    </xf>
    <xf numFmtId="0" fontId="10" fillId="0" borderId="0" xfId="0" applyFont="1" applyAlignment="1">
      <alignment horizontal="center"/>
    </xf>
    <xf numFmtId="0" fontId="41" fillId="0" borderId="0" xfId="0" applyFont="1" applyAlignment="1">
      <alignment horizontal="center"/>
    </xf>
    <xf numFmtId="0" fontId="6" fillId="0" borderId="2" xfId="0" applyFont="1" applyBorder="1" applyAlignment="1">
      <alignment horizontal="center" vertical="center" wrapText="1"/>
    </xf>
    <xf numFmtId="0" fontId="6" fillId="0" borderId="5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41" fillId="0" borderId="2" xfId="0" applyFont="1" applyBorder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3" fillId="2" borderId="4" xfId="0" applyFont="1" applyFill="1" applyBorder="1" applyAlignment="1">
      <alignment horizontal="center" wrapText="1"/>
    </xf>
    <xf numFmtId="0" fontId="3" fillId="2" borderId="5" xfId="0" applyFont="1" applyFill="1" applyBorder="1" applyAlignment="1">
      <alignment horizontal="center" wrapText="1"/>
    </xf>
    <xf numFmtId="0" fontId="3" fillId="2" borderId="7" xfId="0" applyFont="1" applyFill="1" applyBorder="1" applyAlignment="1">
      <alignment horizontal="center" wrapText="1"/>
    </xf>
    <xf numFmtId="0" fontId="3" fillId="4" borderId="4" xfId="0" applyFont="1" applyFill="1" applyBorder="1" applyAlignment="1">
      <alignment horizontal="center" vertical="center"/>
    </xf>
    <xf numFmtId="0" fontId="3" fillId="4" borderId="7" xfId="0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center"/>
    </xf>
    <xf numFmtId="0" fontId="3" fillId="4" borderId="5" xfId="0" applyFont="1" applyFill="1" applyBorder="1" applyAlignment="1">
      <alignment horizontal="center"/>
    </xf>
    <xf numFmtId="0" fontId="3" fillId="4" borderId="7" xfId="0" applyFont="1" applyFill="1" applyBorder="1" applyAlignment="1">
      <alignment horizontal="center"/>
    </xf>
    <xf numFmtId="0" fontId="15" fillId="0" borderId="2" xfId="0" applyFont="1" applyBorder="1" applyAlignment="1">
      <alignment horizontal="center" wrapText="1"/>
    </xf>
    <xf numFmtId="0" fontId="7" fillId="0" borderId="46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 applyAlignment="1">
      <alignment horizontal="left"/>
    </xf>
    <xf numFmtId="0" fontId="7" fillId="0" borderId="2" xfId="0" applyFont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2" fontId="7" fillId="0" borderId="13" xfId="0" applyNumberFormat="1" applyFont="1" applyBorder="1" applyAlignment="1">
      <alignment horizontal="center"/>
    </xf>
    <xf numFmtId="2" fontId="7" fillId="0" borderId="36" xfId="0" applyNumberFormat="1" applyFont="1" applyBorder="1" applyAlignment="1">
      <alignment horizontal="center"/>
    </xf>
    <xf numFmtId="2" fontId="7" fillId="0" borderId="37" xfId="0" applyNumberFormat="1" applyFont="1" applyBorder="1" applyAlignment="1">
      <alignment horizontal="center"/>
    </xf>
    <xf numFmtId="43" fontId="7" fillId="0" borderId="2" xfId="2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0" fontId="15" fillId="0" borderId="4" xfId="0" applyFont="1" applyBorder="1" applyAlignment="1">
      <alignment horizontal="center" vertical="center" wrapText="1"/>
    </xf>
    <xf numFmtId="0" fontId="15" fillId="0" borderId="7" xfId="0" applyFont="1" applyBorder="1" applyAlignment="1">
      <alignment horizontal="center" vertical="center" wrapText="1"/>
    </xf>
    <xf numFmtId="166" fontId="15" fillId="0" borderId="13" xfId="1" applyFont="1" applyFill="1" applyBorder="1" applyAlignment="1">
      <alignment horizontal="center" vertical="center" wrapText="1"/>
    </xf>
    <xf numFmtId="166" fontId="15" fillId="0" borderId="36" xfId="1" applyFont="1" applyFill="1" applyBorder="1" applyAlignment="1">
      <alignment horizontal="center" vertical="center" wrapText="1"/>
    </xf>
    <xf numFmtId="166" fontId="15" fillId="0" borderId="37" xfId="1" applyFont="1" applyFill="1" applyBorder="1" applyAlignment="1">
      <alignment horizontal="center" vertical="center" wrapText="1"/>
    </xf>
    <xf numFmtId="0" fontId="15" fillId="0" borderId="13" xfId="0" applyFont="1" applyBorder="1" applyAlignment="1">
      <alignment horizontal="center" vertical="center" wrapText="1"/>
    </xf>
    <xf numFmtId="0" fontId="15" fillId="0" borderId="36" xfId="0" applyFont="1" applyBorder="1" applyAlignment="1">
      <alignment horizontal="center" vertical="center" wrapText="1"/>
    </xf>
    <xf numFmtId="0" fontId="15" fillId="0" borderId="37" xfId="0" applyFont="1" applyBorder="1" applyAlignment="1">
      <alignment horizontal="center" vertical="center" wrapText="1"/>
    </xf>
    <xf numFmtId="0" fontId="2" fillId="0" borderId="0" xfId="0" applyFont="1" applyAlignment="1">
      <alignment horizontal="left"/>
    </xf>
    <xf numFmtId="0" fontId="2" fillId="3" borderId="4" xfId="0" applyFont="1" applyFill="1" applyBorder="1" applyAlignment="1">
      <alignment horizontal="center" vertical="center" wrapText="1"/>
    </xf>
    <xf numFmtId="0" fontId="2" fillId="3" borderId="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0" borderId="3" xfId="0" applyFont="1" applyBorder="1" applyAlignment="1">
      <alignment horizontal="center" wrapText="1"/>
    </xf>
    <xf numFmtId="166" fontId="15" fillId="0" borderId="46" xfId="1" applyFont="1" applyFill="1" applyBorder="1" applyAlignment="1">
      <alignment horizontal="center" vertical="center" wrapText="1"/>
    </xf>
    <xf numFmtId="166" fontId="15" fillId="0" borderId="47" xfId="1" applyFont="1" applyFill="1" applyBorder="1" applyAlignment="1">
      <alignment horizontal="center" vertical="center" wrapText="1"/>
    </xf>
    <xf numFmtId="0" fontId="15" fillId="2" borderId="0" xfId="0" applyFont="1" applyFill="1" applyAlignment="1">
      <alignment horizontal="center"/>
    </xf>
    <xf numFmtId="166" fontId="15" fillId="2" borderId="13" xfId="1" applyFont="1" applyFill="1" applyBorder="1" applyAlignment="1">
      <alignment horizontal="center" vertical="center" wrapText="1"/>
    </xf>
    <xf numFmtId="166" fontId="15" fillId="2" borderId="36" xfId="1" applyFont="1" applyFill="1" applyBorder="1" applyAlignment="1">
      <alignment horizontal="center" vertical="center" wrapText="1"/>
    </xf>
    <xf numFmtId="166" fontId="15" fillId="2" borderId="37" xfId="1" applyFont="1" applyFill="1" applyBorder="1" applyAlignment="1">
      <alignment horizontal="center" vertical="center" wrapText="1"/>
    </xf>
    <xf numFmtId="0" fontId="15" fillId="2" borderId="13" xfId="0" applyFont="1" applyFill="1" applyBorder="1" applyAlignment="1">
      <alignment horizontal="center" vertical="center" wrapText="1"/>
    </xf>
    <xf numFmtId="0" fontId="15" fillId="2" borderId="36" xfId="0" applyFont="1" applyFill="1" applyBorder="1" applyAlignment="1">
      <alignment horizontal="center" vertical="center" wrapText="1"/>
    </xf>
    <xf numFmtId="0" fontId="15" fillId="2" borderId="37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wrapText="1"/>
    </xf>
    <xf numFmtId="0" fontId="2" fillId="3" borderId="3" xfId="0" applyFont="1" applyFill="1" applyBorder="1" applyAlignment="1">
      <alignment horizontal="center" wrapText="1"/>
    </xf>
    <xf numFmtId="0" fontId="2" fillId="0" borderId="1" xfId="0" applyFont="1" applyBorder="1" applyAlignment="1">
      <alignment horizontal="left"/>
    </xf>
    <xf numFmtId="0" fontId="12" fillId="2" borderId="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/>
    </xf>
    <xf numFmtId="0" fontId="12" fillId="2" borderId="7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/>
    </xf>
    <xf numFmtId="0" fontId="3" fillId="3" borderId="4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3" borderId="4" xfId="0" applyFont="1" applyFill="1" applyBorder="1" applyAlignment="1">
      <alignment horizontal="center" wrapText="1"/>
    </xf>
    <xf numFmtId="0" fontId="3" fillId="3" borderId="5" xfId="0" applyFont="1" applyFill="1" applyBorder="1" applyAlignment="1">
      <alignment horizontal="center" wrapText="1"/>
    </xf>
    <xf numFmtId="0" fontId="3" fillId="3" borderId="7" xfId="0" applyFont="1" applyFill="1" applyBorder="1" applyAlignment="1">
      <alignment horizontal="center" wrapText="1"/>
    </xf>
    <xf numFmtId="0" fontId="6" fillId="0" borderId="2" xfId="0" applyFont="1" applyBorder="1" applyAlignment="1">
      <alignment horizontal="left"/>
    </xf>
    <xf numFmtId="0" fontId="42" fillId="0" borderId="4" xfId="0" applyFont="1" applyBorder="1" applyAlignment="1">
      <alignment horizontal="center" vertical="center"/>
    </xf>
    <xf numFmtId="0" fontId="42" fillId="0" borderId="5" xfId="0" applyFont="1" applyBorder="1" applyAlignment="1">
      <alignment horizontal="center" vertical="center"/>
    </xf>
    <xf numFmtId="0" fontId="42" fillId="0" borderId="7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3" fillId="4" borderId="16" xfId="0" applyFont="1" applyFill="1" applyBorder="1" applyAlignment="1">
      <alignment horizontal="center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2" xfId="0" applyFont="1" applyBorder="1" applyAlignment="1">
      <alignment horizontal="center"/>
    </xf>
    <xf numFmtId="0" fontId="12" fillId="0" borderId="2" xfId="0" applyFont="1" applyBorder="1" applyAlignment="1">
      <alignment horizontal="center" wrapText="1"/>
    </xf>
    <xf numFmtId="0" fontId="2" fillId="0" borderId="15" xfId="0" applyFont="1" applyBorder="1" applyAlignment="1">
      <alignment horizontal="center"/>
    </xf>
    <xf numFmtId="166" fontId="3" fillId="0" borderId="0" xfId="1" applyFont="1" applyAlignment="1">
      <alignment horizontal="center"/>
    </xf>
    <xf numFmtId="0" fontId="2" fillId="2" borderId="0" xfId="0" applyFont="1" applyFill="1" applyAlignment="1">
      <alignment horizontal="left"/>
    </xf>
    <xf numFmtId="0" fontId="2" fillId="2" borderId="2" xfId="0" applyFont="1" applyFill="1" applyBorder="1" applyAlignment="1">
      <alignment horizontal="center"/>
    </xf>
    <xf numFmtId="0" fontId="2" fillId="2" borderId="4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0" borderId="4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4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4" borderId="0" xfId="0" applyFont="1" applyFill="1" applyAlignment="1">
      <alignment horizontal="left"/>
    </xf>
    <xf numFmtId="0" fontId="2" fillId="0" borderId="0" xfId="0" applyFont="1" applyAlignment="1">
      <alignment horizontal="center" vertical="center"/>
    </xf>
    <xf numFmtId="0" fontId="22" fillId="0" borderId="2" xfId="0" applyFont="1" applyBorder="1" applyAlignment="1">
      <alignment horizontal="center" wrapText="1"/>
    </xf>
    <xf numFmtId="0" fontId="15" fillId="2" borderId="4" xfId="0" applyFont="1" applyFill="1" applyBorder="1" applyAlignment="1">
      <alignment horizontal="center" vertical="center" wrapText="1"/>
    </xf>
    <xf numFmtId="0" fontId="15" fillId="2" borderId="7" xfId="0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6" fillId="0" borderId="7" xfId="0" applyFont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0" xfId="0" applyFont="1" applyFill="1" applyAlignment="1">
      <alignment horizontal="left"/>
    </xf>
    <xf numFmtId="0" fontId="2" fillId="3" borderId="4" xfId="0" applyFont="1" applyFill="1" applyBorder="1" applyAlignment="1">
      <alignment horizontal="center" vertical="center"/>
    </xf>
    <xf numFmtId="0" fontId="2" fillId="3" borderId="7" xfId="0" applyFont="1" applyFill="1" applyBorder="1" applyAlignment="1">
      <alignment horizontal="center" vertical="center"/>
    </xf>
    <xf numFmtId="0" fontId="2" fillId="3" borderId="4" xfId="0" applyFont="1" applyFill="1" applyBorder="1" applyAlignment="1">
      <alignment horizontal="center" wrapText="1"/>
    </xf>
    <xf numFmtId="0" fontId="2" fillId="3" borderId="5" xfId="0" applyFont="1" applyFill="1" applyBorder="1" applyAlignment="1">
      <alignment horizontal="center" wrapText="1"/>
    </xf>
    <xf numFmtId="0" fontId="2" fillId="3" borderId="7" xfId="0" applyFont="1" applyFill="1" applyBorder="1" applyAlignment="1">
      <alignment horizontal="center" wrapText="1"/>
    </xf>
    <xf numFmtId="0" fontId="22" fillId="2" borderId="2" xfId="0" applyFont="1" applyFill="1" applyBorder="1" applyAlignment="1">
      <alignment horizontal="center" wrapText="1"/>
    </xf>
    <xf numFmtId="0" fontId="3" fillId="3" borderId="2" xfId="0" applyFont="1" applyFill="1" applyBorder="1" applyAlignment="1">
      <alignment horizontal="center"/>
    </xf>
    <xf numFmtId="43" fontId="3" fillId="4" borderId="0" xfId="0" applyNumberFormat="1" applyFont="1" applyFill="1" applyAlignment="1">
      <alignment horizontal="center"/>
    </xf>
    <xf numFmtId="0" fontId="2" fillId="2" borderId="1" xfId="0" applyFont="1" applyFill="1" applyBorder="1" applyAlignment="1">
      <alignment horizontal="left"/>
    </xf>
    <xf numFmtId="166" fontId="15" fillId="2" borderId="49" xfId="1" applyFont="1" applyFill="1" applyBorder="1" applyAlignment="1">
      <alignment horizontal="center" vertical="center" wrapText="1"/>
    </xf>
    <xf numFmtId="0" fontId="26" fillId="3" borderId="0" xfId="0" applyFont="1" applyFill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3" fillId="3" borderId="4" xfId="0" applyFont="1" applyFill="1" applyBorder="1" applyAlignment="1">
      <alignment horizontal="center"/>
    </xf>
    <xf numFmtId="0" fontId="3" fillId="3" borderId="7" xfId="0" applyFont="1" applyFill="1" applyBorder="1" applyAlignment="1">
      <alignment horizontal="center"/>
    </xf>
    <xf numFmtId="0" fontId="23" fillId="3" borderId="4" xfId="0" applyFont="1" applyFill="1" applyBorder="1" applyAlignment="1">
      <alignment horizontal="center" wrapText="1"/>
    </xf>
    <xf numFmtId="0" fontId="23" fillId="3" borderId="5" xfId="0" applyFont="1" applyFill="1" applyBorder="1" applyAlignment="1">
      <alignment horizontal="center" wrapText="1"/>
    </xf>
    <xf numFmtId="0" fontId="23" fillId="3" borderId="7" xfId="0" applyFont="1" applyFill="1" applyBorder="1" applyAlignment="1">
      <alignment horizontal="center" wrapText="1"/>
    </xf>
    <xf numFmtId="0" fontId="24" fillId="3" borderId="2" xfId="0" applyFont="1" applyFill="1" applyBorder="1" applyAlignment="1">
      <alignment horizontal="center" wrapText="1"/>
    </xf>
    <xf numFmtId="0" fontId="6" fillId="0" borderId="0" xfId="0" applyFont="1" applyAlignment="1">
      <alignment horizontal="left" vertical="top" wrapText="1"/>
    </xf>
    <xf numFmtId="0" fontId="42" fillId="0" borderId="2" xfId="0" applyFont="1" applyBorder="1" applyAlignment="1">
      <alignment horizontal="center" vertical="center" wrapText="1"/>
    </xf>
    <xf numFmtId="0" fontId="23" fillId="3" borderId="0" xfId="0" applyFont="1" applyFill="1" applyAlignment="1">
      <alignment horizontal="center"/>
    </xf>
    <xf numFmtId="0" fontId="15" fillId="2" borderId="0" xfId="0" applyFont="1" applyFill="1" applyAlignment="1">
      <alignment horizontal="left"/>
    </xf>
    <xf numFmtId="0" fontId="23" fillId="3" borderId="2" xfId="0" applyFont="1" applyFill="1" applyBorder="1" applyAlignment="1">
      <alignment horizontal="center" wrapText="1"/>
    </xf>
    <xf numFmtId="0" fontId="23" fillId="3" borderId="3" xfId="0" applyFont="1" applyFill="1" applyBorder="1" applyAlignment="1">
      <alignment horizontal="center" wrapText="1"/>
    </xf>
    <xf numFmtId="0" fontId="15" fillId="5" borderId="2" xfId="0" applyFont="1" applyFill="1" applyBorder="1" applyAlignment="1">
      <alignment horizontal="center" wrapText="1"/>
    </xf>
    <xf numFmtId="0" fontId="23" fillId="2" borderId="0" xfId="0" applyFont="1" applyFill="1" applyAlignment="1">
      <alignment horizontal="center"/>
    </xf>
    <xf numFmtId="0" fontId="41" fillId="0" borderId="0" xfId="0" applyFont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23" fillId="2" borderId="4" xfId="0" applyFont="1" applyFill="1" applyBorder="1" applyAlignment="1">
      <alignment horizontal="center" wrapText="1"/>
    </xf>
    <xf numFmtId="0" fontId="23" fillId="2" borderId="5" xfId="0" applyFont="1" applyFill="1" applyBorder="1" applyAlignment="1">
      <alignment horizontal="center" wrapText="1"/>
    </xf>
    <xf numFmtId="0" fontId="23" fillId="2" borderId="7" xfId="0" applyFont="1" applyFill="1" applyBorder="1" applyAlignment="1">
      <alignment horizontal="center" wrapText="1"/>
    </xf>
    <xf numFmtId="0" fontId="42" fillId="0" borderId="4" xfId="0" applyFont="1" applyBorder="1" applyAlignment="1">
      <alignment horizontal="center" vertical="center" wrapText="1"/>
    </xf>
    <xf numFmtId="0" fontId="42" fillId="0" borderId="7" xfId="0" applyFont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23" fillId="3" borderId="4" xfId="0" applyFont="1" applyFill="1" applyBorder="1" applyAlignment="1">
      <alignment horizontal="center" vertical="center"/>
    </xf>
    <xf numFmtId="0" fontId="23" fillId="3" borderId="5" xfId="0" applyFont="1" applyFill="1" applyBorder="1" applyAlignment="1">
      <alignment horizontal="center" vertical="center"/>
    </xf>
    <xf numFmtId="0" fontId="23" fillId="3" borderId="7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/>
    </xf>
    <xf numFmtId="0" fontId="3" fillId="2" borderId="5" xfId="0" applyFont="1" applyFill="1" applyBorder="1" applyAlignment="1">
      <alignment horizontal="center"/>
    </xf>
    <xf numFmtId="0" fontId="3" fillId="2" borderId="7" xfId="0" applyFont="1" applyFill="1" applyBorder="1" applyAlignment="1">
      <alignment horizontal="center"/>
    </xf>
    <xf numFmtId="0" fontId="21" fillId="0" borderId="4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15" fillId="4" borderId="2" xfId="0" applyFont="1" applyFill="1" applyBorder="1" applyAlignment="1">
      <alignment horizontal="center" wrapText="1"/>
    </xf>
    <xf numFmtId="0" fontId="41" fillId="0" borderId="0" xfId="0" applyFont="1" applyAlignment="1">
      <alignment horizontal="left"/>
    </xf>
    <xf numFmtId="0" fontId="15" fillId="2" borderId="2" xfId="0" applyFont="1" applyFill="1" applyBorder="1" applyAlignment="1">
      <alignment horizontal="center" vertical="center" wrapText="1"/>
    </xf>
    <xf numFmtId="43" fontId="23" fillId="2" borderId="4" xfId="0" applyNumberFormat="1" applyFont="1" applyFill="1" applyBorder="1" applyAlignment="1">
      <alignment horizontal="center" wrapText="1"/>
    </xf>
    <xf numFmtId="0" fontId="45" fillId="0" borderId="4" xfId="0" applyFont="1" applyBorder="1" applyAlignment="1">
      <alignment horizontal="center" vertical="center"/>
    </xf>
    <xf numFmtId="0" fontId="45" fillId="0" borderId="5" xfId="0" applyFont="1" applyBorder="1" applyAlignment="1">
      <alignment horizontal="center" vertical="center"/>
    </xf>
    <xf numFmtId="0" fontId="45" fillId="0" borderId="7" xfId="0" applyFont="1" applyBorder="1" applyAlignment="1">
      <alignment horizontal="center" vertical="center"/>
    </xf>
    <xf numFmtId="0" fontId="3" fillId="2" borderId="2" xfId="0" applyFont="1" applyFill="1" applyBorder="1" applyAlignment="1">
      <alignment horizontal="center" wrapText="1"/>
    </xf>
    <xf numFmtId="0" fontId="15" fillId="4" borderId="4" xfId="0" applyFont="1" applyFill="1" applyBorder="1" applyAlignment="1">
      <alignment horizontal="center" vertical="center" wrapText="1"/>
    </xf>
    <xf numFmtId="0" fontId="15" fillId="4" borderId="7" xfId="0" applyFont="1" applyFill="1" applyBorder="1" applyAlignment="1">
      <alignment horizontal="center" vertical="center" wrapText="1"/>
    </xf>
    <xf numFmtId="166" fontId="15" fillId="4" borderId="13" xfId="1" applyFont="1" applyFill="1" applyBorder="1" applyAlignment="1">
      <alignment horizontal="center" vertical="center" wrapText="1"/>
    </xf>
    <xf numFmtId="166" fontId="15" fillId="4" borderId="36" xfId="1" applyFont="1" applyFill="1" applyBorder="1" applyAlignment="1">
      <alignment horizontal="center" vertical="center" wrapText="1"/>
    </xf>
    <xf numFmtId="166" fontId="15" fillId="4" borderId="37" xfId="1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center" vertical="center" wrapText="1"/>
    </xf>
    <xf numFmtId="0" fontId="7" fillId="0" borderId="7" xfId="0" applyFont="1" applyBorder="1" applyAlignment="1">
      <alignment horizontal="center" vertical="center" wrapText="1"/>
    </xf>
    <xf numFmtId="0" fontId="3" fillId="5" borderId="0" xfId="0" applyFont="1" applyFill="1" applyAlignment="1">
      <alignment horizontal="center"/>
    </xf>
    <xf numFmtId="0" fontId="3" fillId="5" borderId="0" xfId="0" applyFont="1" applyFill="1" applyAlignment="1">
      <alignment horizontal="center" vertical="center"/>
    </xf>
    <xf numFmtId="0" fontId="15" fillId="5" borderId="0" xfId="0" applyFont="1" applyFill="1" applyAlignment="1">
      <alignment horizontal="center"/>
    </xf>
    <xf numFmtId="166" fontId="15" fillId="5" borderId="13" xfId="1" applyFont="1" applyFill="1" applyBorder="1" applyAlignment="1">
      <alignment horizontal="center" vertical="center" wrapText="1"/>
    </xf>
    <xf numFmtId="166" fontId="15" fillId="5" borderId="36" xfId="1" applyFont="1" applyFill="1" applyBorder="1" applyAlignment="1">
      <alignment horizontal="center" vertical="center" wrapText="1"/>
    </xf>
    <xf numFmtId="166" fontId="15" fillId="5" borderId="37" xfId="1" applyFont="1" applyFill="1" applyBorder="1" applyAlignment="1">
      <alignment horizontal="center" vertical="center" wrapText="1"/>
    </xf>
    <xf numFmtId="0" fontId="3" fillId="5" borderId="0" xfId="0" applyFont="1" applyFill="1" applyAlignment="1">
      <alignment horizontal="left"/>
    </xf>
    <xf numFmtId="0" fontId="15" fillId="5" borderId="4" xfId="0" applyFont="1" applyFill="1" applyBorder="1" applyAlignment="1">
      <alignment horizontal="center" vertical="center" wrapText="1"/>
    </xf>
    <xf numFmtId="0" fontId="15" fillId="5" borderId="7" xfId="0" applyFont="1" applyFill="1" applyBorder="1" applyAlignment="1">
      <alignment horizontal="center" vertical="center" wrapText="1"/>
    </xf>
    <xf numFmtId="0" fontId="3" fillId="5" borderId="4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/>
    </xf>
    <xf numFmtId="0" fontId="6" fillId="2" borderId="4" xfId="0" applyFont="1" applyFill="1" applyBorder="1" applyAlignment="1">
      <alignment horizontal="center" vertical="center" wrapText="1"/>
    </xf>
    <xf numFmtId="0" fontId="6" fillId="2" borderId="7" xfId="0" applyFont="1" applyFill="1" applyBorder="1" applyAlignment="1">
      <alignment horizontal="center" vertical="center" wrapText="1"/>
    </xf>
    <xf numFmtId="0" fontId="6" fillId="2" borderId="4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wrapText="1"/>
    </xf>
    <xf numFmtId="0" fontId="6" fillId="2" borderId="5" xfId="0" applyFont="1" applyFill="1" applyBorder="1" applyAlignment="1">
      <alignment horizontal="center" wrapText="1"/>
    </xf>
    <xf numFmtId="0" fontId="6" fillId="2" borderId="7" xfId="0" applyFont="1" applyFill="1" applyBorder="1" applyAlignment="1">
      <alignment horizontal="center" wrapText="1"/>
    </xf>
    <xf numFmtId="0" fontId="5" fillId="0" borderId="0" xfId="0" applyFont="1" applyAlignment="1">
      <alignment horizontal="left"/>
    </xf>
    <xf numFmtId="0" fontId="7" fillId="0" borderId="10" xfId="0" applyFont="1" applyBorder="1" applyAlignment="1">
      <alignment horizontal="center"/>
    </xf>
    <xf numFmtId="0" fontId="7" fillId="0" borderId="1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6" fillId="2" borderId="0" xfId="0" applyFont="1" applyFill="1" applyAlignment="1">
      <alignment horizontal="left"/>
    </xf>
    <xf numFmtId="0" fontId="6" fillId="2" borderId="2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wrapText="1"/>
    </xf>
    <xf numFmtId="0" fontId="41" fillId="2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 vertical="center"/>
    </xf>
    <xf numFmtId="0" fontId="49" fillId="0" borderId="2" xfId="0" applyFont="1" applyBorder="1" applyAlignment="1">
      <alignment horizontal="center" vertical="center"/>
    </xf>
    <xf numFmtId="166" fontId="0" fillId="0" borderId="2" xfId="1" applyFont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166" fontId="0" fillId="0" borderId="9" xfId="1" applyFont="1" applyBorder="1" applyAlignment="1">
      <alignment horizontal="center" vertical="center"/>
    </xf>
    <xf numFmtId="166" fontId="0" fillId="0" borderId="3" xfId="1" applyFont="1" applyBorder="1" applyAlignment="1">
      <alignment horizontal="center" vertical="center"/>
    </xf>
    <xf numFmtId="0" fontId="0" fillId="0" borderId="2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7" xfId="0" applyBorder="1" applyAlignment="1">
      <alignment horizontal="center"/>
    </xf>
    <xf numFmtId="0" fontId="47" fillId="0" borderId="2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9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166" fontId="0" fillId="0" borderId="4" xfId="1" applyFont="1" applyFill="1" applyBorder="1" applyAlignment="1">
      <alignment horizontal="center"/>
    </xf>
    <xf numFmtId="166" fontId="0" fillId="0" borderId="5" xfId="1" applyFont="1" applyFill="1" applyBorder="1" applyAlignment="1">
      <alignment horizontal="center"/>
    </xf>
    <xf numFmtId="166" fontId="0" fillId="0" borderId="7" xfId="1" applyFont="1" applyFill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36" xfId="0" applyFont="1" applyBorder="1" applyAlignment="1">
      <alignment horizontal="center"/>
    </xf>
    <xf numFmtId="0" fontId="25" fillId="0" borderId="37" xfId="0" applyFont="1" applyBorder="1" applyAlignment="1">
      <alignment horizontal="center"/>
    </xf>
    <xf numFmtId="0" fontId="25" fillId="0" borderId="39" xfId="0" applyFont="1" applyBorder="1" applyAlignment="1">
      <alignment horizontal="center"/>
    </xf>
    <xf numFmtId="0" fontId="25" fillId="0" borderId="24" xfId="0" applyFont="1" applyBorder="1" applyAlignment="1">
      <alignment horizontal="center"/>
    </xf>
    <xf numFmtId="0" fontId="25" fillId="0" borderId="40" xfId="0" applyFont="1" applyBorder="1" applyAlignment="1">
      <alignment horizontal="center"/>
    </xf>
    <xf numFmtId="0" fontId="31" fillId="0" borderId="15" xfId="0" applyFont="1" applyBorder="1" applyAlignment="1">
      <alignment horizontal="center" vertical="center"/>
    </xf>
    <xf numFmtId="0" fontId="30" fillId="0" borderId="0" xfId="0" applyFont="1" applyAlignment="1">
      <alignment horizontal="center" vertical="center"/>
    </xf>
    <xf numFmtId="0" fontId="31" fillId="0" borderId="2" xfId="0" applyFont="1" applyBorder="1" applyAlignment="1">
      <alignment horizontal="center" vertical="center"/>
    </xf>
    <xf numFmtId="0" fontId="31" fillId="0" borderId="2" xfId="0" applyFont="1" applyBorder="1" applyAlignment="1">
      <alignment horizontal="center" vertical="center" wrapText="1"/>
    </xf>
    <xf numFmtId="0" fontId="35" fillId="0" borderId="32" xfId="14" applyFont="1" applyBorder="1" applyAlignment="1">
      <alignment horizontal="right" vertical="center"/>
    </xf>
    <xf numFmtId="0" fontId="35" fillId="0" borderId="33" xfId="14" applyFont="1" applyBorder="1" applyAlignment="1">
      <alignment horizontal="right" vertical="center"/>
    </xf>
    <xf numFmtId="0" fontId="31" fillId="0" borderId="0" xfId="0" applyFont="1" applyAlignment="1">
      <alignment horizontal="center"/>
    </xf>
    <xf numFmtId="0" fontId="35" fillId="0" borderId="29" xfId="14" applyFont="1" applyBorder="1" applyAlignment="1">
      <alignment horizontal="right" vertical="center"/>
    </xf>
    <xf numFmtId="0" fontId="35" fillId="0" borderId="5" xfId="14" applyFont="1" applyBorder="1" applyAlignment="1">
      <alignment horizontal="right" vertical="center"/>
    </xf>
    <xf numFmtId="0" fontId="35" fillId="0" borderId="31" xfId="14" applyFont="1" applyBorder="1" applyAlignment="1">
      <alignment horizontal="center" vertical="center"/>
    </xf>
    <xf numFmtId="0" fontId="35" fillId="0" borderId="28" xfId="14" applyFont="1" applyBorder="1" applyAlignment="1">
      <alignment horizontal="center" vertical="center"/>
    </xf>
    <xf numFmtId="0" fontId="35" fillId="0" borderId="9" xfId="14" applyFont="1" applyBorder="1" applyAlignment="1">
      <alignment horizontal="left" vertical="center" wrapText="1"/>
    </xf>
    <xf numFmtId="0" fontId="35" fillId="0" borderId="3" xfId="14" applyFont="1" applyBorder="1" applyAlignment="1">
      <alignment horizontal="left" vertical="center" wrapText="1"/>
    </xf>
    <xf numFmtId="0" fontId="35" fillId="0" borderId="7" xfId="14" applyFont="1" applyBorder="1" applyAlignment="1">
      <alignment horizontal="right" vertical="center"/>
    </xf>
    <xf numFmtId="0" fontId="35" fillId="0" borderId="0" xfId="14" applyFont="1" applyAlignment="1">
      <alignment horizontal="center"/>
    </xf>
    <xf numFmtId="0" fontId="35" fillId="0" borderId="20" xfId="14" applyFont="1" applyBorder="1" applyAlignment="1">
      <alignment horizontal="center" vertical="center"/>
    </xf>
    <xf numFmtId="0" fontId="35" fillId="0" borderId="26" xfId="14" applyFont="1" applyBorder="1" applyAlignment="1">
      <alignment horizontal="center" vertical="center"/>
    </xf>
    <xf numFmtId="0" fontId="35" fillId="0" borderId="21" xfId="14" applyFont="1" applyBorder="1" applyAlignment="1">
      <alignment horizontal="left" vertical="center" wrapText="1"/>
    </xf>
    <xf numFmtId="0" fontId="35" fillId="0" borderId="17" xfId="14" applyFont="1" applyBorder="1" applyAlignment="1">
      <alignment horizontal="left" vertical="center" wrapText="1"/>
    </xf>
    <xf numFmtId="0" fontId="34" fillId="0" borderId="0" xfId="0" applyFont="1" applyAlignment="1">
      <alignment horizontal="center"/>
    </xf>
    <xf numFmtId="0" fontId="33" fillId="0" borderId="2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/>
    </xf>
    <xf numFmtId="0" fontId="25" fillId="0" borderId="2" xfId="0" applyFont="1" applyBorder="1" applyAlignment="1">
      <alignment horizontal="left"/>
    </xf>
    <xf numFmtId="0" fontId="25" fillId="0" borderId="4" xfId="0" applyFont="1" applyBorder="1" applyAlignment="1">
      <alignment horizontal="left"/>
    </xf>
    <xf numFmtId="0" fontId="25" fillId="0" borderId="7" xfId="0" applyFont="1" applyBorder="1" applyAlignment="1">
      <alignment horizontal="left"/>
    </xf>
    <xf numFmtId="0" fontId="25" fillId="0" borderId="2" xfId="0" applyFont="1" applyBorder="1" applyAlignment="1">
      <alignment horizontal="center"/>
    </xf>
    <xf numFmtId="0" fontId="25" fillId="0" borderId="43" xfId="0" applyFont="1" applyBorder="1" applyAlignment="1">
      <alignment horizontal="center"/>
    </xf>
    <xf numFmtId="0" fontId="25" fillId="0" borderId="44" xfId="0" applyFont="1" applyBorder="1" applyAlignment="1">
      <alignment horizontal="center"/>
    </xf>
    <xf numFmtId="0" fontId="25" fillId="0" borderId="45" xfId="0" applyFont="1" applyBorder="1" applyAlignment="1">
      <alignment horizontal="center"/>
    </xf>
    <xf numFmtId="0" fontId="0" fillId="0" borderId="9" xfId="0" applyBorder="1" applyAlignment="1">
      <alignment horizontal="center" vertical="top" wrapText="1"/>
    </xf>
    <xf numFmtId="0" fontId="0" fillId="0" borderId="17" xfId="0" applyBorder="1" applyAlignment="1">
      <alignment horizontal="center" vertical="top" wrapText="1"/>
    </xf>
    <xf numFmtId="0" fontId="0" fillId="0" borderId="3" xfId="0" applyBorder="1" applyAlignment="1">
      <alignment horizontal="center" vertical="top" wrapText="1"/>
    </xf>
    <xf numFmtId="0" fontId="31" fillId="0" borderId="9" xfId="0" applyFont="1" applyBorder="1" applyAlignment="1">
      <alignment horizontal="center" vertical="top" wrapText="1"/>
    </xf>
    <xf numFmtId="0" fontId="31" fillId="0" borderId="17" xfId="0" applyFont="1" applyBorder="1" applyAlignment="1">
      <alignment horizontal="center" vertical="top" wrapText="1"/>
    </xf>
    <xf numFmtId="0" fontId="31" fillId="0" borderId="3" xfId="0" applyFont="1" applyBorder="1" applyAlignment="1">
      <alignment horizontal="center" vertical="top" wrapText="1"/>
    </xf>
    <xf numFmtId="0" fontId="32" fillId="0" borderId="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0" fontId="32" fillId="0" borderId="9" xfId="0" applyFont="1" applyBorder="1" applyAlignment="1">
      <alignment horizontal="center" vertical="center" wrapText="1"/>
    </xf>
    <xf numFmtId="0" fontId="32" fillId="0" borderId="17" xfId="0" applyFont="1" applyBorder="1" applyAlignment="1">
      <alignment horizontal="center" vertical="center" wrapText="1"/>
    </xf>
    <xf numFmtId="0" fontId="32" fillId="0" borderId="3" xfId="0" applyFont="1" applyBorder="1" applyAlignment="1">
      <alignment horizontal="center" vertical="center" wrapText="1"/>
    </xf>
    <xf numFmtId="166" fontId="32" fillId="0" borderId="2" xfId="1" applyFont="1" applyBorder="1" applyAlignment="1">
      <alignment horizontal="center" vertical="center"/>
    </xf>
    <xf numFmtId="166" fontId="32" fillId="0" borderId="17" xfId="1" applyFont="1" applyBorder="1" applyAlignment="1">
      <alignment horizontal="center" vertical="center"/>
    </xf>
    <xf numFmtId="166" fontId="32" fillId="0" borderId="3" xfId="1" applyFont="1" applyBorder="1" applyAlignment="1">
      <alignment horizontal="center" vertical="center"/>
    </xf>
    <xf numFmtId="166" fontId="32" fillId="0" borderId="17" xfId="1" applyFont="1" applyBorder="1" applyAlignment="1">
      <alignment horizontal="center" vertical="center" wrapText="1"/>
    </xf>
    <xf numFmtId="166" fontId="32" fillId="0" borderId="3" xfId="1" applyFont="1" applyBorder="1" applyAlignment="1">
      <alignment horizontal="center" vertical="center" wrapText="1"/>
    </xf>
    <xf numFmtId="166" fontId="32" fillId="0" borderId="6" xfId="1" applyFont="1" applyBorder="1" applyAlignment="1">
      <alignment horizontal="center" vertical="center"/>
    </xf>
    <xf numFmtId="166" fontId="32" fillId="0" borderId="8" xfId="1" applyFont="1" applyBorder="1" applyAlignment="1">
      <alignment horizontal="center" vertical="center"/>
    </xf>
    <xf numFmtId="0" fontId="31" fillId="0" borderId="9" xfId="0" applyFont="1" applyBorder="1" applyAlignment="1">
      <alignment horizontal="left" vertical="top" wrapText="1"/>
    </xf>
    <xf numFmtId="0" fontId="31" fillId="0" borderId="17" xfId="0" applyFont="1" applyBorder="1" applyAlignment="1">
      <alignment horizontal="left" vertical="top" wrapText="1"/>
    </xf>
    <xf numFmtId="0" fontId="31" fillId="0" borderId="3" xfId="0" applyFont="1" applyBorder="1" applyAlignment="1">
      <alignment horizontal="left" vertical="top" wrapText="1"/>
    </xf>
    <xf numFmtId="0" fontId="0" fillId="0" borderId="9" xfId="0" applyBorder="1" applyAlignment="1">
      <alignment horizontal="center" vertical="top"/>
    </xf>
    <xf numFmtId="0" fontId="0" fillId="0" borderId="17" xfId="0" applyBorder="1" applyAlignment="1">
      <alignment horizontal="center" vertical="top"/>
    </xf>
    <xf numFmtId="0" fontId="0" fillId="0" borderId="3" xfId="0" applyBorder="1" applyAlignment="1">
      <alignment horizontal="center" vertical="top"/>
    </xf>
    <xf numFmtId="0" fontId="0" fillId="5" borderId="0" xfId="0" applyFill="1" applyAlignment="1">
      <alignment horizontal="center"/>
    </xf>
    <xf numFmtId="166" fontId="0" fillId="0" borderId="2" xfId="1" applyFont="1" applyBorder="1" applyAlignment="1">
      <alignment horizontal="center" vertical="center"/>
    </xf>
    <xf numFmtId="166" fontId="0" fillId="0" borderId="2" xfId="1" applyFont="1" applyBorder="1" applyAlignment="1">
      <alignment horizontal="center"/>
    </xf>
    <xf numFmtId="0" fontId="31" fillId="0" borderId="9" xfId="0" applyFont="1" applyBorder="1" applyAlignment="1">
      <alignment horizontal="center" vertical="top"/>
    </xf>
    <xf numFmtId="0" fontId="31" fillId="0" borderId="17" xfId="0" applyFont="1" applyBorder="1" applyAlignment="1">
      <alignment horizontal="center" vertical="top"/>
    </xf>
    <xf numFmtId="0" fontId="31" fillId="0" borderId="3" xfId="0" applyFont="1" applyBorder="1" applyAlignment="1">
      <alignment horizontal="center" vertical="top"/>
    </xf>
    <xf numFmtId="0" fontId="0" fillId="0" borderId="9" xfId="0" applyBorder="1" applyAlignment="1">
      <alignment horizontal="left" vertical="top" wrapText="1"/>
    </xf>
    <xf numFmtId="0" fontId="0" fillId="0" borderId="17" xfId="0" applyBorder="1" applyAlignment="1">
      <alignment horizontal="left" vertical="top" wrapText="1"/>
    </xf>
    <xf numFmtId="0" fontId="0" fillId="0" borderId="3" xfId="0" applyBorder="1" applyAlignment="1">
      <alignment horizontal="left" vertical="top" wrapText="1"/>
    </xf>
    <xf numFmtId="0" fontId="36" fillId="0" borderId="2" xfId="0" applyFont="1" applyBorder="1" applyAlignment="1">
      <alignment horizontal="center"/>
    </xf>
    <xf numFmtId="0" fontId="31" fillId="0" borderId="0" xfId="0" applyFont="1" applyAlignment="1">
      <alignment horizontal="center" wrapText="1"/>
    </xf>
    <xf numFmtId="0" fontId="37" fillId="0" borderId="2" xfId="0" applyFont="1" applyBorder="1" applyAlignment="1">
      <alignment horizontal="center"/>
    </xf>
    <xf numFmtId="0" fontId="33" fillId="0" borderId="9" xfId="0" applyFont="1" applyBorder="1" applyAlignment="1">
      <alignment horizontal="center" vertical="center" wrapText="1"/>
    </xf>
    <xf numFmtId="0" fontId="33" fillId="0" borderId="3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/>
    </xf>
    <xf numFmtId="0" fontId="33" fillId="0" borderId="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/>
    </xf>
    <xf numFmtId="0" fontId="27" fillId="0" borderId="3" xfId="0" applyFont="1" applyBorder="1" applyAlignment="1">
      <alignment horizontal="center" vertical="center"/>
    </xf>
    <xf numFmtId="0" fontId="27" fillId="0" borderId="9" xfId="0" applyFont="1" applyBorder="1" applyAlignment="1">
      <alignment horizontal="center" vertical="center" wrapText="1"/>
    </xf>
    <xf numFmtId="0" fontId="27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 vertical="center"/>
    </xf>
    <xf numFmtId="0" fontId="27" fillId="0" borderId="5" xfId="0" applyFont="1" applyBorder="1" applyAlignment="1">
      <alignment horizontal="center" vertical="center"/>
    </xf>
    <xf numFmtId="0" fontId="27" fillId="0" borderId="7" xfId="0" applyFont="1" applyBorder="1" applyAlignment="1">
      <alignment horizontal="center" vertical="center"/>
    </xf>
    <xf numFmtId="0" fontId="25" fillId="0" borderId="9" xfId="0" applyFont="1" applyBorder="1" applyAlignment="1">
      <alignment horizontal="left" vertical="top" wrapText="1"/>
    </xf>
    <xf numFmtId="0" fontId="25" fillId="0" borderId="17" xfId="0" applyFont="1" applyBorder="1" applyAlignment="1">
      <alignment horizontal="left" vertical="top" wrapText="1"/>
    </xf>
    <xf numFmtId="0" fontId="25" fillId="0" borderId="3" xfId="0" applyFont="1" applyBorder="1" applyAlignment="1">
      <alignment horizontal="left" vertical="top" wrapText="1"/>
    </xf>
    <xf numFmtId="0" fontId="31" fillId="0" borderId="9" xfId="0" applyFont="1" applyBorder="1" applyAlignment="1">
      <alignment horizontal="left" vertical="center" wrapText="1"/>
    </xf>
    <xf numFmtId="0" fontId="31" fillId="0" borderId="17" xfId="0" applyFont="1" applyBorder="1" applyAlignment="1">
      <alignment horizontal="left" vertical="center" wrapText="1"/>
    </xf>
    <xf numFmtId="0" fontId="31" fillId="0" borderId="3" xfId="0" applyFont="1" applyBorder="1" applyAlignment="1">
      <alignment horizontal="left" vertical="center" wrapText="1"/>
    </xf>
    <xf numFmtId="0" fontId="31" fillId="0" borderId="4" xfId="0" applyFont="1" applyBorder="1" applyAlignment="1">
      <alignment horizontal="center" vertical="center"/>
    </xf>
    <xf numFmtId="0" fontId="31" fillId="0" borderId="5" xfId="0" applyFont="1" applyBorder="1" applyAlignment="1">
      <alignment horizontal="center" vertical="center"/>
    </xf>
    <xf numFmtId="0" fontId="31" fillId="0" borderId="7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/>
    </xf>
    <xf numFmtId="0" fontId="25" fillId="0" borderId="0" xfId="0" applyFont="1" applyAlignment="1">
      <alignment horizontal="center"/>
    </xf>
  </cellXfs>
  <cellStyles count="18">
    <cellStyle name="Comma" xfId="1" builtinId="3"/>
    <cellStyle name="Comma [0]" xfId="16" builtinId="6"/>
    <cellStyle name="Comma [0] 15" xfId="13" xr:uid="{00000000-0005-0000-0000-000002000000}"/>
    <cellStyle name="Comma [0] 2" xfId="11" xr:uid="{00000000-0005-0000-0000-000003000000}"/>
    <cellStyle name="Comma [0] 3" xfId="15" xr:uid="{00000000-0005-0000-0000-000004000000}"/>
    <cellStyle name="Comma 10 2" xfId="2" xr:uid="{00000000-0005-0000-0000-000005000000}"/>
    <cellStyle name="Comma 2" xfId="10" xr:uid="{00000000-0005-0000-0000-000006000000}"/>
    <cellStyle name="Comma 2 2 2" xfId="12" xr:uid="{00000000-0005-0000-0000-000007000000}"/>
    <cellStyle name="Comma 2 2 5" xfId="7" xr:uid="{00000000-0005-0000-0000-000008000000}"/>
    <cellStyle name="Comma 2 9" xfId="6" xr:uid="{00000000-0005-0000-0000-000009000000}"/>
    <cellStyle name="Currency [0]" xfId="17" builtinId="7"/>
    <cellStyle name="Normal" xfId="0" builtinId="0"/>
    <cellStyle name="Normal - Style1 2" xfId="4" xr:uid="{00000000-0005-0000-0000-00000C000000}"/>
    <cellStyle name="Normal 14" xfId="8" xr:uid="{00000000-0005-0000-0000-00000D000000}"/>
    <cellStyle name="Normal 2" xfId="9" xr:uid="{00000000-0005-0000-0000-00000E000000}"/>
    <cellStyle name="Normal 2 2" xfId="3" xr:uid="{00000000-0005-0000-0000-00000F000000}"/>
    <cellStyle name="Normal 3" xfId="14" xr:uid="{00000000-0005-0000-0000-000010000000}"/>
    <cellStyle name="Normal 3 5" xfId="5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2458433</xdr:colOff>
      <xdr:row>11</xdr:row>
      <xdr:rowOff>142110</xdr:rowOff>
    </xdr:from>
    <xdr:to>
      <xdr:col>4</xdr:col>
      <xdr:colOff>3003497</xdr:colOff>
      <xdr:row>11</xdr:row>
      <xdr:rowOff>1181393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69DE5341-CDBE-4215-872A-61F90A3B29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0958" y="3361560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55415</xdr:colOff>
      <xdr:row>11</xdr:row>
      <xdr:rowOff>163877</xdr:rowOff>
    </xdr:from>
    <xdr:to>
      <xdr:col>4</xdr:col>
      <xdr:colOff>607243</xdr:colOff>
      <xdr:row>11</xdr:row>
      <xdr:rowOff>1198348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7F1FFBD3-B1CD-42A8-8957-9FE3E5273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940" y="3383327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649003</xdr:colOff>
      <xdr:row>11</xdr:row>
      <xdr:rowOff>136269</xdr:rowOff>
    </xdr:from>
    <xdr:to>
      <xdr:col>4</xdr:col>
      <xdr:colOff>1204104</xdr:colOff>
      <xdr:row>11</xdr:row>
      <xdr:rowOff>1185796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939405C5-8B50-41C4-B23F-F23FF3E28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528" y="3355719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1246837</xdr:colOff>
      <xdr:row>11</xdr:row>
      <xdr:rowOff>141576</xdr:rowOff>
    </xdr:from>
    <xdr:to>
      <xdr:col>4</xdr:col>
      <xdr:colOff>1801939</xdr:colOff>
      <xdr:row>11</xdr:row>
      <xdr:rowOff>1181066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4AB17FDF-0EA0-411C-A22F-2BCC11D9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9362" y="3361026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1863785</xdr:colOff>
      <xdr:row>11</xdr:row>
      <xdr:rowOff>136269</xdr:rowOff>
    </xdr:from>
    <xdr:to>
      <xdr:col>4</xdr:col>
      <xdr:colOff>2404233</xdr:colOff>
      <xdr:row>11</xdr:row>
      <xdr:rowOff>1182674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D1E81A5C-DEDE-48B1-A098-AD0FE6415A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310" y="3355719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2485844</xdr:colOff>
      <xdr:row>12</xdr:row>
      <xdr:rowOff>82295</xdr:rowOff>
    </xdr:from>
    <xdr:to>
      <xdr:col>4</xdr:col>
      <xdr:colOff>3030908</xdr:colOff>
      <xdr:row>12</xdr:row>
      <xdr:rowOff>1121578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AC19B626-0726-42DB-916B-05E13DC9F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48369" y="4254245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1891196</xdr:colOff>
      <xdr:row>12</xdr:row>
      <xdr:rowOff>69022</xdr:rowOff>
    </xdr:from>
    <xdr:to>
      <xdr:col>4</xdr:col>
      <xdr:colOff>2431644</xdr:colOff>
      <xdr:row>12</xdr:row>
      <xdr:rowOff>1121723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8CD0919A-7C10-4186-9309-C862450A91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3721" y="4240972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1274249</xdr:colOff>
      <xdr:row>12</xdr:row>
      <xdr:rowOff>74330</xdr:rowOff>
    </xdr:from>
    <xdr:to>
      <xdr:col>4</xdr:col>
      <xdr:colOff>1829351</xdr:colOff>
      <xdr:row>12</xdr:row>
      <xdr:rowOff>1120116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7526D7DC-8ABF-43A7-9B52-ECBB1CEB0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774" y="4246280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646466</xdr:colOff>
      <xdr:row>12</xdr:row>
      <xdr:rowOff>41414</xdr:rowOff>
    </xdr:from>
    <xdr:to>
      <xdr:col>4</xdr:col>
      <xdr:colOff>1201567</xdr:colOff>
      <xdr:row>12</xdr:row>
      <xdr:rowOff>1097237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BA391830-1882-4E29-938D-3CF38A244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22441" y="4513321"/>
          <a:ext cx="555101" cy="1055823"/>
        </a:xfrm>
        <a:prstGeom prst="rect">
          <a:avLst/>
        </a:prstGeom>
      </xdr:spPr>
    </xdr:pic>
    <xdr:clientData/>
  </xdr:twoCellAnchor>
  <xdr:twoCellAnchor editAs="oneCell">
    <xdr:from>
      <xdr:col>4</xdr:col>
      <xdr:colOff>69022</xdr:colOff>
      <xdr:row>12</xdr:row>
      <xdr:rowOff>69022</xdr:rowOff>
    </xdr:from>
    <xdr:to>
      <xdr:col>4</xdr:col>
      <xdr:colOff>620850</xdr:colOff>
      <xdr:row>12</xdr:row>
      <xdr:rowOff>1109789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CCBDCB1A-EC3F-4FD1-A91F-E1B0FAB7D6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547" y="4240972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2499648</xdr:colOff>
      <xdr:row>13</xdr:row>
      <xdr:rowOff>143353</xdr:rowOff>
    </xdr:from>
    <xdr:to>
      <xdr:col>4</xdr:col>
      <xdr:colOff>3044712</xdr:colOff>
      <xdr:row>13</xdr:row>
      <xdr:rowOff>1184739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F6094007-4738-4B12-A797-8466D977AD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2173" y="5191603"/>
          <a:ext cx="545064" cy="656673"/>
        </a:xfrm>
        <a:prstGeom prst="rect">
          <a:avLst/>
        </a:prstGeom>
      </xdr:spPr>
    </xdr:pic>
    <xdr:clientData/>
  </xdr:twoCellAnchor>
  <xdr:twoCellAnchor editAs="oneCell">
    <xdr:from>
      <xdr:col>4</xdr:col>
      <xdr:colOff>1274248</xdr:colOff>
      <xdr:row>13</xdr:row>
      <xdr:rowOff>129548</xdr:rowOff>
    </xdr:from>
    <xdr:to>
      <xdr:col>4</xdr:col>
      <xdr:colOff>1829350</xdr:colOff>
      <xdr:row>13</xdr:row>
      <xdr:rowOff>1177437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B9A90250-2D16-4398-BCB1-0E9892F0D6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6773" y="5177798"/>
          <a:ext cx="555102" cy="663176"/>
        </a:xfrm>
        <a:prstGeom prst="rect">
          <a:avLst/>
        </a:prstGeom>
      </xdr:spPr>
    </xdr:pic>
    <xdr:clientData/>
  </xdr:twoCellAnchor>
  <xdr:twoCellAnchor editAs="oneCell">
    <xdr:from>
      <xdr:col>4</xdr:col>
      <xdr:colOff>1891196</xdr:colOff>
      <xdr:row>13</xdr:row>
      <xdr:rowOff>151848</xdr:rowOff>
    </xdr:from>
    <xdr:to>
      <xdr:col>4</xdr:col>
      <xdr:colOff>2431644</xdr:colOff>
      <xdr:row>13</xdr:row>
      <xdr:rowOff>1200356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DAC7C69-AEC0-4D62-B3D6-04E4B4A2C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3721" y="5200098"/>
          <a:ext cx="540448" cy="670091"/>
        </a:xfrm>
        <a:prstGeom prst="rect">
          <a:avLst/>
        </a:prstGeom>
      </xdr:spPr>
    </xdr:pic>
    <xdr:clientData/>
  </xdr:twoCellAnchor>
  <xdr:twoCellAnchor editAs="oneCell">
    <xdr:from>
      <xdr:col>4</xdr:col>
      <xdr:colOff>676415</xdr:colOff>
      <xdr:row>13</xdr:row>
      <xdr:rowOff>110436</xdr:rowOff>
    </xdr:from>
    <xdr:to>
      <xdr:col>4</xdr:col>
      <xdr:colOff>1231516</xdr:colOff>
      <xdr:row>13</xdr:row>
      <xdr:rowOff>1168362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266B422B-F253-40D2-8EAC-A3F7D5F90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940" y="5158686"/>
          <a:ext cx="555101" cy="673213"/>
        </a:xfrm>
        <a:prstGeom prst="rect">
          <a:avLst/>
        </a:prstGeom>
      </xdr:spPr>
    </xdr:pic>
    <xdr:clientData/>
  </xdr:twoCellAnchor>
  <xdr:twoCellAnchor editAs="oneCell">
    <xdr:from>
      <xdr:col>4</xdr:col>
      <xdr:colOff>69022</xdr:colOff>
      <xdr:row>13</xdr:row>
      <xdr:rowOff>110435</xdr:rowOff>
    </xdr:from>
    <xdr:to>
      <xdr:col>4</xdr:col>
      <xdr:colOff>620850</xdr:colOff>
      <xdr:row>13</xdr:row>
      <xdr:rowOff>1153305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9AC50B0A-0A30-4BE3-8E07-70D9E44AD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1547" y="5158685"/>
          <a:ext cx="551828" cy="658157"/>
        </a:xfrm>
        <a:prstGeom prst="rect">
          <a:avLst/>
        </a:prstGeom>
      </xdr:spPr>
    </xdr:pic>
    <xdr:clientData/>
  </xdr:twoCellAnchor>
  <xdr:twoCellAnchor editAs="oneCell">
    <xdr:from>
      <xdr:col>4</xdr:col>
      <xdr:colOff>2502834</xdr:colOff>
      <xdr:row>14</xdr:row>
      <xdr:rowOff>83888</xdr:rowOff>
    </xdr:from>
    <xdr:to>
      <xdr:col>4</xdr:col>
      <xdr:colOff>3047898</xdr:colOff>
      <xdr:row>14</xdr:row>
      <xdr:rowOff>932535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FFEBBF7E-6F8F-4B09-AEA6-D3099831F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359" y="6132263"/>
          <a:ext cx="545064" cy="657663"/>
        </a:xfrm>
        <a:prstGeom prst="rect">
          <a:avLst/>
        </a:prstGeom>
      </xdr:spPr>
    </xdr:pic>
    <xdr:clientData/>
  </xdr:twoCellAnchor>
  <xdr:twoCellAnchor editAs="oneCell">
    <xdr:from>
      <xdr:col>4</xdr:col>
      <xdr:colOff>1891196</xdr:colOff>
      <xdr:row>14</xdr:row>
      <xdr:rowOff>69022</xdr:rowOff>
    </xdr:from>
    <xdr:to>
      <xdr:col>4</xdr:col>
      <xdr:colOff>2431644</xdr:colOff>
      <xdr:row>14</xdr:row>
      <xdr:rowOff>931087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89B0B453-6EDB-4D1D-A9C8-0C5A05430E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3721" y="6117397"/>
          <a:ext cx="540448" cy="671081"/>
        </a:xfrm>
        <a:prstGeom prst="rect">
          <a:avLst/>
        </a:prstGeom>
      </xdr:spPr>
    </xdr:pic>
    <xdr:clientData/>
  </xdr:twoCellAnchor>
  <xdr:twoCellAnchor editAs="oneCell">
    <xdr:from>
      <xdr:col>4</xdr:col>
      <xdr:colOff>1288053</xdr:colOff>
      <xdr:row>14</xdr:row>
      <xdr:rowOff>74331</xdr:rowOff>
    </xdr:from>
    <xdr:to>
      <xdr:col>4</xdr:col>
      <xdr:colOff>1843155</xdr:colOff>
      <xdr:row>14</xdr:row>
      <xdr:rowOff>929481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C6B3D8CC-4D0F-4C3A-B62B-04C28F2D09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0578" y="6122706"/>
          <a:ext cx="555102" cy="664166"/>
        </a:xfrm>
        <a:prstGeom prst="rect">
          <a:avLst/>
        </a:prstGeom>
      </xdr:spPr>
    </xdr:pic>
    <xdr:clientData/>
  </xdr:twoCellAnchor>
  <xdr:twoCellAnchor editAs="oneCell">
    <xdr:from>
      <xdr:col>4</xdr:col>
      <xdr:colOff>690219</xdr:colOff>
      <xdr:row>14</xdr:row>
      <xdr:rowOff>69023</xdr:rowOff>
    </xdr:from>
    <xdr:to>
      <xdr:col>4</xdr:col>
      <xdr:colOff>1245320</xdr:colOff>
      <xdr:row>14</xdr:row>
      <xdr:rowOff>934210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0AF9B5A9-CE81-41BB-8FD4-186740DDA7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4" y="6117398"/>
          <a:ext cx="555101" cy="674203"/>
        </a:xfrm>
        <a:prstGeom prst="rect">
          <a:avLst/>
        </a:prstGeom>
      </xdr:spPr>
    </xdr:pic>
    <xdr:clientData/>
  </xdr:twoCellAnchor>
  <xdr:twoCellAnchor editAs="oneCell">
    <xdr:from>
      <xdr:col>4</xdr:col>
      <xdr:colOff>82826</xdr:colOff>
      <xdr:row>14</xdr:row>
      <xdr:rowOff>82827</xdr:rowOff>
    </xdr:from>
    <xdr:to>
      <xdr:col>4</xdr:col>
      <xdr:colOff>634654</xdr:colOff>
      <xdr:row>14</xdr:row>
      <xdr:rowOff>932958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8C0030DE-1E83-4951-B80B-676D0A240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1" y="6131202"/>
          <a:ext cx="551828" cy="659147"/>
        </a:xfrm>
        <a:prstGeom prst="rect">
          <a:avLst/>
        </a:prstGeom>
      </xdr:spPr>
    </xdr:pic>
    <xdr:clientData/>
  </xdr:twoCellAnchor>
  <xdr:twoCellAnchor editAs="oneCell">
    <xdr:from>
      <xdr:col>4</xdr:col>
      <xdr:colOff>2502834</xdr:colOff>
      <xdr:row>15</xdr:row>
      <xdr:rowOff>82296</xdr:rowOff>
    </xdr:from>
    <xdr:to>
      <xdr:col>4</xdr:col>
      <xdr:colOff>3047898</xdr:colOff>
      <xdr:row>15</xdr:row>
      <xdr:rowOff>1121579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1BB89E8E-2163-4E1B-9ED0-D31C97E0CC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5359" y="6978396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1905000</xdr:colOff>
      <xdr:row>15</xdr:row>
      <xdr:rowOff>82825</xdr:rowOff>
    </xdr:from>
    <xdr:to>
      <xdr:col>4</xdr:col>
      <xdr:colOff>2445448</xdr:colOff>
      <xdr:row>15</xdr:row>
      <xdr:rowOff>1135526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A7B1970F-4C51-48A4-A97B-763BE161E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6978925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1301857</xdr:colOff>
      <xdr:row>15</xdr:row>
      <xdr:rowOff>88135</xdr:rowOff>
    </xdr:from>
    <xdr:to>
      <xdr:col>4</xdr:col>
      <xdr:colOff>1856959</xdr:colOff>
      <xdr:row>15</xdr:row>
      <xdr:rowOff>1133921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FF3382CE-04F7-4621-AFE6-B143246FDA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382" y="6984235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690219</xdr:colOff>
      <xdr:row>15</xdr:row>
      <xdr:rowOff>82826</xdr:rowOff>
    </xdr:from>
    <xdr:to>
      <xdr:col>4</xdr:col>
      <xdr:colOff>1245320</xdr:colOff>
      <xdr:row>15</xdr:row>
      <xdr:rowOff>1138649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A16ED3BB-6893-4CCE-9F0F-A11EB61B48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4" y="6978926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82826</xdr:colOff>
      <xdr:row>15</xdr:row>
      <xdr:rowOff>69022</xdr:rowOff>
    </xdr:from>
    <xdr:to>
      <xdr:col>4</xdr:col>
      <xdr:colOff>634654</xdr:colOff>
      <xdr:row>15</xdr:row>
      <xdr:rowOff>1109789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76439ADE-A8FB-4427-9190-6288CDCE8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1" y="6965122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2516639</xdr:colOff>
      <xdr:row>17</xdr:row>
      <xdr:rowOff>109903</xdr:rowOff>
    </xdr:from>
    <xdr:to>
      <xdr:col>4</xdr:col>
      <xdr:colOff>3061703</xdr:colOff>
      <xdr:row>17</xdr:row>
      <xdr:rowOff>764473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C68715EF-1753-4195-9A08-C7200916C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9164" y="8730028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2516638</xdr:colOff>
      <xdr:row>16</xdr:row>
      <xdr:rowOff>85482</xdr:rowOff>
    </xdr:from>
    <xdr:to>
      <xdr:col>4</xdr:col>
      <xdr:colOff>3061702</xdr:colOff>
      <xdr:row>16</xdr:row>
      <xdr:rowOff>740052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61459EA3-ECB6-496C-9D76-51B19C565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79163" y="7848357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2530443</xdr:colOff>
      <xdr:row>18</xdr:row>
      <xdr:rowOff>166714</xdr:rowOff>
    </xdr:from>
    <xdr:to>
      <xdr:col>4</xdr:col>
      <xdr:colOff>3075507</xdr:colOff>
      <xdr:row>18</xdr:row>
      <xdr:rowOff>825243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B04532B-94FB-423B-8924-BA0D29362B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2968" y="9653614"/>
          <a:ext cx="545064" cy="658529"/>
        </a:xfrm>
        <a:prstGeom prst="rect">
          <a:avLst/>
        </a:prstGeom>
      </xdr:spPr>
    </xdr:pic>
    <xdr:clientData/>
  </xdr:twoCellAnchor>
  <xdr:twoCellAnchor editAs="oneCell">
    <xdr:from>
      <xdr:col>4</xdr:col>
      <xdr:colOff>2553273</xdr:colOff>
      <xdr:row>19</xdr:row>
      <xdr:rowOff>61058</xdr:rowOff>
    </xdr:from>
    <xdr:to>
      <xdr:col>4</xdr:col>
      <xdr:colOff>3098337</xdr:colOff>
      <xdr:row>19</xdr:row>
      <xdr:rowOff>715628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E815249A-18E5-4E6B-B878-216E49D464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5798" y="10481408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1905000</xdr:colOff>
      <xdr:row>16</xdr:row>
      <xdr:rowOff>69021</xdr:rowOff>
    </xdr:from>
    <xdr:to>
      <xdr:col>4</xdr:col>
      <xdr:colOff>2445448</xdr:colOff>
      <xdr:row>16</xdr:row>
      <xdr:rowOff>737009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EF7B2142-84A8-4596-BCD2-5AFC27BEE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7525" y="7831896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1301857</xdr:colOff>
      <xdr:row>16</xdr:row>
      <xdr:rowOff>74331</xdr:rowOff>
    </xdr:from>
    <xdr:to>
      <xdr:col>4</xdr:col>
      <xdr:colOff>1856959</xdr:colOff>
      <xdr:row>16</xdr:row>
      <xdr:rowOff>735404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3B2D7A9D-8F7D-428C-A5A8-43FD6114F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64382" y="7837206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717828</xdr:colOff>
      <xdr:row>16</xdr:row>
      <xdr:rowOff>55218</xdr:rowOff>
    </xdr:from>
    <xdr:to>
      <xdr:col>4</xdr:col>
      <xdr:colOff>1272929</xdr:colOff>
      <xdr:row>16</xdr:row>
      <xdr:rowOff>726328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2BD65AC1-8887-4845-9DA8-3163BD40E1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353" y="7818093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96630</xdr:colOff>
      <xdr:row>16</xdr:row>
      <xdr:rowOff>55218</xdr:rowOff>
    </xdr:from>
    <xdr:to>
      <xdr:col>4</xdr:col>
      <xdr:colOff>648458</xdr:colOff>
      <xdr:row>16</xdr:row>
      <xdr:rowOff>711272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0E15280D-253B-411A-B687-DACDF39C9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9155" y="7818093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1918805</xdr:colOff>
      <xdr:row>17</xdr:row>
      <xdr:rowOff>96630</xdr:rowOff>
    </xdr:from>
    <xdr:to>
      <xdr:col>4</xdr:col>
      <xdr:colOff>2459253</xdr:colOff>
      <xdr:row>17</xdr:row>
      <xdr:rowOff>764618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2336D7D5-EFDC-4598-ABCE-1DA444397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330" y="8716755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1329465</xdr:colOff>
      <xdr:row>17</xdr:row>
      <xdr:rowOff>101940</xdr:rowOff>
    </xdr:from>
    <xdr:to>
      <xdr:col>4</xdr:col>
      <xdr:colOff>1884567</xdr:colOff>
      <xdr:row>17</xdr:row>
      <xdr:rowOff>763013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11AABE98-2D4C-47DF-B57F-C1E86DB5E7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990" y="8722065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717827</xdr:colOff>
      <xdr:row>18</xdr:row>
      <xdr:rowOff>124239</xdr:rowOff>
    </xdr:from>
    <xdr:to>
      <xdr:col>4</xdr:col>
      <xdr:colOff>1272928</xdr:colOff>
      <xdr:row>18</xdr:row>
      <xdr:rowOff>795349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E64187D8-67D1-4C60-B09D-2721797D7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0352" y="9611139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82826</xdr:colOff>
      <xdr:row>17</xdr:row>
      <xdr:rowOff>41414</xdr:rowOff>
    </xdr:from>
    <xdr:to>
      <xdr:col>4</xdr:col>
      <xdr:colOff>634654</xdr:colOff>
      <xdr:row>17</xdr:row>
      <xdr:rowOff>697468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BD7114B5-1261-43A0-ABA7-61CCFE6574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1" y="8661539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1946414</xdr:colOff>
      <xdr:row>18</xdr:row>
      <xdr:rowOff>124238</xdr:rowOff>
    </xdr:from>
    <xdr:to>
      <xdr:col>4</xdr:col>
      <xdr:colOff>2486862</xdr:colOff>
      <xdr:row>18</xdr:row>
      <xdr:rowOff>792226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E51A9866-B8A5-43ED-BBCE-BCA26E327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939" y="9611138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1315661</xdr:colOff>
      <xdr:row>18</xdr:row>
      <xdr:rowOff>157157</xdr:rowOff>
    </xdr:from>
    <xdr:to>
      <xdr:col>4</xdr:col>
      <xdr:colOff>1870763</xdr:colOff>
      <xdr:row>18</xdr:row>
      <xdr:rowOff>822189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EC8C42F3-502C-43F7-BF6E-95F114F0B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78186" y="9644057"/>
          <a:ext cx="555102" cy="665032"/>
        </a:xfrm>
        <a:prstGeom prst="rect">
          <a:avLst/>
        </a:prstGeom>
      </xdr:spPr>
    </xdr:pic>
    <xdr:clientData/>
  </xdr:twoCellAnchor>
  <xdr:twoCellAnchor editAs="oneCell">
    <xdr:from>
      <xdr:col>4</xdr:col>
      <xdr:colOff>704023</xdr:colOff>
      <xdr:row>17</xdr:row>
      <xdr:rowOff>96631</xdr:rowOff>
    </xdr:from>
    <xdr:to>
      <xdr:col>4</xdr:col>
      <xdr:colOff>1259124</xdr:colOff>
      <xdr:row>17</xdr:row>
      <xdr:rowOff>767741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DF49F362-69D0-4A85-B6B9-A63128895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8" y="8716756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110435</xdr:colOff>
      <xdr:row>18</xdr:row>
      <xdr:rowOff>124240</xdr:rowOff>
    </xdr:from>
    <xdr:to>
      <xdr:col>4</xdr:col>
      <xdr:colOff>662263</xdr:colOff>
      <xdr:row>18</xdr:row>
      <xdr:rowOff>780294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D4F321FD-ABF3-4827-9F45-A5E18CD85E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0" y="9611140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1946414</xdr:colOff>
      <xdr:row>19</xdr:row>
      <xdr:rowOff>69021</xdr:rowOff>
    </xdr:from>
    <xdr:to>
      <xdr:col>4</xdr:col>
      <xdr:colOff>2486862</xdr:colOff>
      <xdr:row>19</xdr:row>
      <xdr:rowOff>737009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A6C16333-288E-450F-BDCC-C7B8C7573D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08939" y="10489371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1329466</xdr:colOff>
      <xdr:row>19</xdr:row>
      <xdr:rowOff>60527</xdr:rowOff>
    </xdr:from>
    <xdr:to>
      <xdr:col>4</xdr:col>
      <xdr:colOff>1884568</xdr:colOff>
      <xdr:row>19</xdr:row>
      <xdr:rowOff>721600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7D41B43C-6227-4716-AA10-22045D412A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91991" y="10480877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731631</xdr:colOff>
      <xdr:row>19</xdr:row>
      <xdr:rowOff>41413</xdr:rowOff>
    </xdr:from>
    <xdr:to>
      <xdr:col>4</xdr:col>
      <xdr:colOff>1286732</xdr:colOff>
      <xdr:row>19</xdr:row>
      <xdr:rowOff>712523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E7231289-A304-4B59-B765-4239D4DFDC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4156" y="10461763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110435</xdr:colOff>
      <xdr:row>19</xdr:row>
      <xdr:rowOff>69022</xdr:rowOff>
    </xdr:from>
    <xdr:to>
      <xdr:col>4</xdr:col>
      <xdr:colOff>662263</xdr:colOff>
      <xdr:row>19</xdr:row>
      <xdr:rowOff>725076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A510A2F5-0228-46DB-9308-B481D8CC7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0" y="10489372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2565485</xdr:colOff>
      <xdr:row>21</xdr:row>
      <xdr:rowOff>71676</xdr:rowOff>
    </xdr:from>
    <xdr:to>
      <xdr:col>4</xdr:col>
      <xdr:colOff>3110549</xdr:colOff>
      <xdr:row>21</xdr:row>
      <xdr:rowOff>726246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4BC48D19-4723-4009-8DED-CEFE0488E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1396901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1960218</xdr:colOff>
      <xdr:row>21</xdr:row>
      <xdr:rowOff>55217</xdr:rowOff>
    </xdr:from>
    <xdr:to>
      <xdr:col>4</xdr:col>
      <xdr:colOff>2500666</xdr:colOff>
      <xdr:row>21</xdr:row>
      <xdr:rowOff>723205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4B607227-B507-47D5-AF77-020E7318A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1380442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1357075</xdr:colOff>
      <xdr:row>21</xdr:row>
      <xdr:rowOff>60527</xdr:rowOff>
    </xdr:from>
    <xdr:to>
      <xdr:col>4</xdr:col>
      <xdr:colOff>1912177</xdr:colOff>
      <xdr:row>21</xdr:row>
      <xdr:rowOff>721600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E9FBF2C6-B885-42D6-A32E-9AD211E069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1385752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745435</xdr:colOff>
      <xdr:row>21</xdr:row>
      <xdr:rowOff>55217</xdr:rowOff>
    </xdr:from>
    <xdr:to>
      <xdr:col>4</xdr:col>
      <xdr:colOff>1300536</xdr:colOff>
      <xdr:row>21</xdr:row>
      <xdr:rowOff>726327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FA9C3703-7B36-424F-AFCA-823EE71456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1380442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138043</xdr:colOff>
      <xdr:row>21</xdr:row>
      <xdr:rowOff>69022</xdr:rowOff>
    </xdr:from>
    <xdr:to>
      <xdr:col>4</xdr:col>
      <xdr:colOff>689871</xdr:colOff>
      <xdr:row>21</xdr:row>
      <xdr:rowOff>725076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D820D230-2B58-446A-AA1B-C8E86636BA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1394247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2565485</xdr:colOff>
      <xdr:row>22</xdr:row>
      <xdr:rowOff>71676</xdr:rowOff>
    </xdr:from>
    <xdr:to>
      <xdr:col>4</xdr:col>
      <xdr:colOff>3110549</xdr:colOff>
      <xdr:row>22</xdr:row>
      <xdr:rowOff>732184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67DC59B6-4A73-431E-BC43-63C0ED82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2254151"/>
          <a:ext cx="545064" cy="660508"/>
        </a:xfrm>
        <a:prstGeom prst="rect">
          <a:avLst/>
        </a:prstGeom>
      </xdr:spPr>
    </xdr:pic>
    <xdr:clientData/>
  </xdr:twoCellAnchor>
  <xdr:twoCellAnchor editAs="oneCell">
    <xdr:from>
      <xdr:col>4</xdr:col>
      <xdr:colOff>1960218</xdr:colOff>
      <xdr:row>22</xdr:row>
      <xdr:rowOff>55217</xdr:rowOff>
    </xdr:from>
    <xdr:to>
      <xdr:col>4</xdr:col>
      <xdr:colOff>2500666</xdr:colOff>
      <xdr:row>22</xdr:row>
      <xdr:rowOff>723205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AF0452CA-94B3-4136-B484-EB7719A19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2237692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1357075</xdr:colOff>
      <xdr:row>22</xdr:row>
      <xdr:rowOff>60527</xdr:rowOff>
    </xdr:from>
    <xdr:to>
      <xdr:col>4</xdr:col>
      <xdr:colOff>1912177</xdr:colOff>
      <xdr:row>22</xdr:row>
      <xdr:rowOff>721600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E303B647-1B8E-4202-9588-D9FD59EA1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2243002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745435</xdr:colOff>
      <xdr:row>22</xdr:row>
      <xdr:rowOff>55217</xdr:rowOff>
    </xdr:from>
    <xdr:to>
      <xdr:col>4</xdr:col>
      <xdr:colOff>1300536</xdr:colOff>
      <xdr:row>22</xdr:row>
      <xdr:rowOff>732265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29044203-E33A-4942-A02C-53798E9229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2237692"/>
          <a:ext cx="555101" cy="677048"/>
        </a:xfrm>
        <a:prstGeom prst="rect">
          <a:avLst/>
        </a:prstGeom>
      </xdr:spPr>
    </xdr:pic>
    <xdr:clientData/>
  </xdr:twoCellAnchor>
  <xdr:twoCellAnchor editAs="oneCell">
    <xdr:from>
      <xdr:col>4</xdr:col>
      <xdr:colOff>138043</xdr:colOff>
      <xdr:row>22</xdr:row>
      <xdr:rowOff>69022</xdr:rowOff>
    </xdr:from>
    <xdr:to>
      <xdr:col>4</xdr:col>
      <xdr:colOff>689871</xdr:colOff>
      <xdr:row>22</xdr:row>
      <xdr:rowOff>731014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6F20DD65-020B-4435-B103-ABC739779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2251497"/>
          <a:ext cx="551828" cy="661992"/>
        </a:xfrm>
        <a:prstGeom prst="rect">
          <a:avLst/>
        </a:prstGeom>
      </xdr:spPr>
    </xdr:pic>
    <xdr:clientData/>
  </xdr:twoCellAnchor>
  <xdr:oneCellAnchor>
    <xdr:from>
      <xdr:col>4</xdr:col>
      <xdr:colOff>2565485</xdr:colOff>
      <xdr:row>23</xdr:row>
      <xdr:rowOff>71676</xdr:rowOff>
    </xdr:from>
    <xdr:ext cx="545064" cy="654570"/>
    <xdr:pic>
      <xdr:nvPicPr>
        <xdr:cNvPr id="580" name="Picture 579">
          <a:extLst>
            <a:ext uri="{FF2B5EF4-FFF2-40B4-BE49-F238E27FC236}">
              <a16:creationId xmlns:a16="http://schemas.microsoft.com/office/drawing/2014/main" id="{9153A7AC-74DB-43B8-B546-B27511DCC5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3111401"/>
          <a:ext cx="545064" cy="654570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23</xdr:row>
      <xdr:rowOff>55217</xdr:rowOff>
    </xdr:from>
    <xdr:ext cx="540448" cy="667988"/>
    <xdr:pic>
      <xdr:nvPicPr>
        <xdr:cNvPr id="581" name="Picture 580">
          <a:extLst>
            <a:ext uri="{FF2B5EF4-FFF2-40B4-BE49-F238E27FC236}">
              <a16:creationId xmlns:a16="http://schemas.microsoft.com/office/drawing/2014/main" id="{D90B6613-93B1-44FA-BC87-40DAC8D4F2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30949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23</xdr:row>
      <xdr:rowOff>60527</xdr:rowOff>
    </xdr:from>
    <xdr:ext cx="555102" cy="661073"/>
    <xdr:pic>
      <xdr:nvPicPr>
        <xdr:cNvPr id="582" name="Picture 581">
          <a:extLst>
            <a:ext uri="{FF2B5EF4-FFF2-40B4-BE49-F238E27FC236}">
              <a16:creationId xmlns:a16="http://schemas.microsoft.com/office/drawing/2014/main" id="{927FB1FE-D4DE-4ED9-9C23-04AAFDF49C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31002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23</xdr:row>
      <xdr:rowOff>55217</xdr:rowOff>
    </xdr:from>
    <xdr:ext cx="555101" cy="671110"/>
    <xdr:pic>
      <xdr:nvPicPr>
        <xdr:cNvPr id="583" name="Picture 582">
          <a:extLst>
            <a:ext uri="{FF2B5EF4-FFF2-40B4-BE49-F238E27FC236}">
              <a16:creationId xmlns:a16="http://schemas.microsoft.com/office/drawing/2014/main" id="{CB72ED86-BE34-4BB7-9F05-A32FC76B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3094942"/>
          <a:ext cx="555101" cy="671110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23</xdr:row>
      <xdr:rowOff>69022</xdr:rowOff>
    </xdr:from>
    <xdr:ext cx="551828" cy="656054"/>
    <xdr:pic>
      <xdr:nvPicPr>
        <xdr:cNvPr id="584" name="Picture 583">
          <a:extLst>
            <a:ext uri="{FF2B5EF4-FFF2-40B4-BE49-F238E27FC236}">
              <a16:creationId xmlns:a16="http://schemas.microsoft.com/office/drawing/2014/main" id="{A1500555-206A-4F1C-8552-54409DDA4E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3108747"/>
          <a:ext cx="551828" cy="656054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24</xdr:row>
      <xdr:rowOff>71676</xdr:rowOff>
    </xdr:from>
    <xdr:ext cx="545064" cy="660508"/>
    <xdr:pic>
      <xdr:nvPicPr>
        <xdr:cNvPr id="585" name="Picture 584">
          <a:extLst>
            <a:ext uri="{FF2B5EF4-FFF2-40B4-BE49-F238E27FC236}">
              <a16:creationId xmlns:a16="http://schemas.microsoft.com/office/drawing/2014/main" id="{BCCD5C8F-A3EB-4D92-8E85-959591B69A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404485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24</xdr:row>
      <xdr:rowOff>55217</xdr:rowOff>
    </xdr:from>
    <xdr:ext cx="540448" cy="667988"/>
    <xdr:pic>
      <xdr:nvPicPr>
        <xdr:cNvPr id="586" name="Picture 585">
          <a:extLst>
            <a:ext uri="{FF2B5EF4-FFF2-40B4-BE49-F238E27FC236}">
              <a16:creationId xmlns:a16="http://schemas.microsoft.com/office/drawing/2014/main" id="{AF9778CA-C12E-42A9-9721-72E008E41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402839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24</xdr:row>
      <xdr:rowOff>60527</xdr:rowOff>
    </xdr:from>
    <xdr:ext cx="555102" cy="661073"/>
    <xdr:pic>
      <xdr:nvPicPr>
        <xdr:cNvPr id="587" name="Picture 586">
          <a:extLst>
            <a:ext uri="{FF2B5EF4-FFF2-40B4-BE49-F238E27FC236}">
              <a16:creationId xmlns:a16="http://schemas.microsoft.com/office/drawing/2014/main" id="{BC1D46FA-5D83-487A-B044-FD15E05FB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403370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24</xdr:row>
      <xdr:rowOff>55217</xdr:rowOff>
    </xdr:from>
    <xdr:ext cx="555101" cy="677048"/>
    <xdr:pic>
      <xdr:nvPicPr>
        <xdr:cNvPr id="588" name="Picture 587">
          <a:extLst>
            <a:ext uri="{FF2B5EF4-FFF2-40B4-BE49-F238E27FC236}">
              <a16:creationId xmlns:a16="http://schemas.microsoft.com/office/drawing/2014/main" id="{340F8BF6-E960-46A2-97FD-B9E0B41BC1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402839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24</xdr:row>
      <xdr:rowOff>69022</xdr:rowOff>
    </xdr:from>
    <xdr:ext cx="551828" cy="661992"/>
    <xdr:pic>
      <xdr:nvPicPr>
        <xdr:cNvPr id="589" name="Picture 588">
          <a:extLst>
            <a:ext uri="{FF2B5EF4-FFF2-40B4-BE49-F238E27FC236}">
              <a16:creationId xmlns:a16="http://schemas.microsoft.com/office/drawing/2014/main" id="{D67E18D1-EB6F-4F9B-AACC-6690DA15B6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4042197"/>
          <a:ext cx="551828" cy="661992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25</xdr:row>
      <xdr:rowOff>71676</xdr:rowOff>
    </xdr:from>
    <xdr:ext cx="545064" cy="660508"/>
    <xdr:pic>
      <xdr:nvPicPr>
        <xdr:cNvPr id="590" name="Picture 589">
          <a:extLst>
            <a:ext uri="{FF2B5EF4-FFF2-40B4-BE49-F238E27FC236}">
              <a16:creationId xmlns:a16="http://schemas.microsoft.com/office/drawing/2014/main" id="{B4957FCF-7F7E-4E4F-9C55-1C06489F3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524500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25</xdr:row>
      <xdr:rowOff>55217</xdr:rowOff>
    </xdr:from>
    <xdr:ext cx="540448" cy="667988"/>
    <xdr:pic>
      <xdr:nvPicPr>
        <xdr:cNvPr id="591" name="Picture 590">
          <a:extLst>
            <a:ext uri="{FF2B5EF4-FFF2-40B4-BE49-F238E27FC236}">
              <a16:creationId xmlns:a16="http://schemas.microsoft.com/office/drawing/2014/main" id="{196474D6-5613-4097-B21C-31B09B46A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52285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25</xdr:row>
      <xdr:rowOff>60527</xdr:rowOff>
    </xdr:from>
    <xdr:ext cx="555102" cy="661073"/>
    <xdr:pic>
      <xdr:nvPicPr>
        <xdr:cNvPr id="592" name="Picture 591">
          <a:extLst>
            <a:ext uri="{FF2B5EF4-FFF2-40B4-BE49-F238E27FC236}">
              <a16:creationId xmlns:a16="http://schemas.microsoft.com/office/drawing/2014/main" id="{6850CDA6-8E56-40AF-B8CE-14432A92A5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52338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25</xdr:row>
      <xdr:rowOff>55217</xdr:rowOff>
    </xdr:from>
    <xdr:ext cx="555101" cy="677048"/>
    <xdr:pic>
      <xdr:nvPicPr>
        <xdr:cNvPr id="593" name="Picture 592">
          <a:extLst>
            <a:ext uri="{FF2B5EF4-FFF2-40B4-BE49-F238E27FC236}">
              <a16:creationId xmlns:a16="http://schemas.microsoft.com/office/drawing/2014/main" id="{4F472584-FE5D-41F7-84B2-1AB357E624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522854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25</xdr:row>
      <xdr:rowOff>69022</xdr:rowOff>
    </xdr:from>
    <xdr:ext cx="551828" cy="661992"/>
    <xdr:pic>
      <xdr:nvPicPr>
        <xdr:cNvPr id="594" name="Picture 593">
          <a:extLst>
            <a:ext uri="{FF2B5EF4-FFF2-40B4-BE49-F238E27FC236}">
              <a16:creationId xmlns:a16="http://schemas.microsoft.com/office/drawing/2014/main" id="{7196FBE1-D33D-45DE-BBC2-AF4431970C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5242347"/>
          <a:ext cx="551828" cy="661992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26</xdr:row>
      <xdr:rowOff>71676</xdr:rowOff>
    </xdr:from>
    <xdr:ext cx="545064" cy="660508"/>
    <xdr:pic>
      <xdr:nvPicPr>
        <xdr:cNvPr id="595" name="Picture 594">
          <a:extLst>
            <a:ext uri="{FF2B5EF4-FFF2-40B4-BE49-F238E27FC236}">
              <a16:creationId xmlns:a16="http://schemas.microsoft.com/office/drawing/2014/main" id="{C93EDFAC-CA45-465B-AB98-0CB4CD131E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604510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26</xdr:row>
      <xdr:rowOff>55217</xdr:rowOff>
    </xdr:from>
    <xdr:ext cx="540448" cy="667988"/>
    <xdr:pic>
      <xdr:nvPicPr>
        <xdr:cNvPr id="596" name="Picture 595">
          <a:extLst>
            <a:ext uri="{FF2B5EF4-FFF2-40B4-BE49-F238E27FC236}">
              <a16:creationId xmlns:a16="http://schemas.microsoft.com/office/drawing/2014/main" id="{9CFC7B6B-5C53-4820-95DF-22A35B214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60286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26</xdr:row>
      <xdr:rowOff>60527</xdr:rowOff>
    </xdr:from>
    <xdr:ext cx="555102" cy="661073"/>
    <xdr:pic>
      <xdr:nvPicPr>
        <xdr:cNvPr id="597" name="Picture 596">
          <a:extLst>
            <a:ext uri="{FF2B5EF4-FFF2-40B4-BE49-F238E27FC236}">
              <a16:creationId xmlns:a16="http://schemas.microsoft.com/office/drawing/2014/main" id="{8A5E4AEB-4EC1-4C88-987F-C1252DB89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60339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26</xdr:row>
      <xdr:rowOff>55217</xdr:rowOff>
    </xdr:from>
    <xdr:ext cx="555101" cy="677048"/>
    <xdr:pic>
      <xdr:nvPicPr>
        <xdr:cNvPr id="598" name="Picture 597">
          <a:extLst>
            <a:ext uri="{FF2B5EF4-FFF2-40B4-BE49-F238E27FC236}">
              <a16:creationId xmlns:a16="http://schemas.microsoft.com/office/drawing/2014/main" id="{E5B10814-AFE3-4EF9-B47B-AAA30FA38C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602864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26</xdr:row>
      <xdr:rowOff>69022</xdr:rowOff>
    </xdr:from>
    <xdr:ext cx="551828" cy="661992"/>
    <xdr:pic>
      <xdr:nvPicPr>
        <xdr:cNvPr id="599" name="Picture 598">
          <a:extLst>
            <a:ext uri="{FF2B5EF4-FFF2-40B4-BE49-F238E27FC236}">
              <a16:creationId xmlns:a16="http://schemas.microsoft.com/office/drawing/2014/main" id="{80BA54C9-56BC-43DB-B197-A5444C462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6042447"/>
          <a:ext cx="551828" cy="661992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27</xdr:row>
      <xdr:rowOff>71676</xdr:rowOff>
    </xdr:from>
    <xdr:ext cx="545064" cy="660508"/>
    <xdr:pic>
      <xdr:nvPicPr>
        <xdr:cNvPr id="600" name="Picture 599">
          <a:extLst>
            <a:ext uri="{FF2B5EF4-FFF2-40B4-BE49-F238E27FC236}">
              <a16:creationId xmlns:a16="http://schemas.microsoft.com/office/drawing/2014/main" id="{0F700670-2A77-47AD-8E4C-1055BFBA2B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684520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27</xdr:row>
      <xdr:rowOff>55217</xdr:rowOff>
    </xdr:from>
    <xdr:ext cx="540448" cy="667988"/>
    <xdr:pic>
      <xdr:nvPicPr>
        <xdr:cNvPr id="601" name="Picture 600">
          <a:extLst>
            <a:ext uri="{FF2B5EF4-FFF2-40B4-BE49-F238E27FC236}">
              <a16:creationId xmlns:a16="http://schemas.microsoft.com/office/drawing/2014/main" id="{2B6D579A-DA29-474A-BFF0-02E96641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68287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27</xdr:row>
      <xdr:rowOff>60527</xdr:rowOff>
    </xdr:from>
    <xdr:ext cx="555102" cy="661073"/>
    <xdr:pic>
      <xdr:nvPicPr>
        <xdr:cNvPr id="602" name="Picture 601">
          <a:extLst>
            <a:ext uri="{FF2B5EF4-FFF2-40B4-BE49-F238E27FC236}">
              <a16:creationId xmlns:a16="http://schemas.microsoft.com/office/drawing/2014/main" id="{C855826B-C1D6-4FED-A52B-A446FAEF5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68340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27</xdr:row>
      <xdr:rowOff>55217</xdr:rowOff>
    </xdr:from>
    <xdr:ext cx="555101" cy="677048"/>
    <xdr:pic>
      <xdr:nvPicPr>
        <xdr:cNvPr id="603" name="Picture 602">
          <a:extLst>
            <a:ext uri="{FF2B5EF4-FFF2-40B4-BE49-F238E27FC236}">
              <a16:creationId xmlns:a16="http://schemas.microsoft.com/office/drawing/2014/main" id="{0AC168C9-EA9C-4095-801B-E3991436F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682874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27</xdr:row>
      <xdr:rowOff>69022</xdr:rowOff>
    </xdr:from>
    <xdr:ext cx="551828" cy="661992"/>
    <xdr:pic>
      <xdr:nvPicPr>
        <xdr:cNvPr id="604" name="Picture 603">
          <a:extLst>
            <a:ext uri="{FF2B5EF4-FFF2-40B4-BE49-F238E27FC236}">
              <a16:creationId xmlns:a16="http://schemas.microsoft.com/office/drawing/2014/main" id="{62DEED50-4816-451C-9B82-304F9681D5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6842547"/>
          <a:ext cx="551828" cy="661992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28</xdr:row>
      <xdr:rowOff>71676</xdr:rowOff>
    </xdr:from>
    <xdr:ext cx="545064" cy="660508"/>
    <xdr:pic>
      <xdr:nvPicPr>
        <xdr:cNvPr id="605" name="Picture 604">
          <a:extLst>
            <a:ext uri="{FF2B5EF4-FFF2-40B4-BE49-F238E27FC236}">
              <a16:creationId xmlns:a16="http://schemas.microsoft.com/office/drawing/2014/main" id="{C1DBCB57-2C95-4D72-96DF-9462100B56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764530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28</xdr:row>
      <xdr:rowOff>55217</xdr:rowOff>
    </xdr:from>
    <xdr:ext cx="540448" cy="667988"/>
    <xdr:pic>
      <xdr:nvPicPr>
        <xdr:cNvPr id="606" name="Picture 605">
          <a:extLst>
            <a:ext uri="{FF2B5EF4-FFF2-40B4-BE49-F238E27FC236}">
              <a16:creationId xmlns:a16="http://schemas.microsoft.com/office/drawing/2014/main" id="{82982BC6-6DD8-4AC2-BBD9-FE3FEB9F1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76288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28</xdr:row>
      <xdr:rowOff>60527</xdr:rowOff>
    </xdr:from>
    <xdr:ext cx="555102" cy="661073"/>
    <xdr:pic>
      <xdr:nvPicPr>
        <xdr:cNvPr id="607" name="Picture 606">
          <a:extLst>
            <a:ext uri="{FF2B5EF4-FFF2-40B4-BE49-F238E27FC236}">
              <a16:creationId xmlns:a16="http://schemas.microsoft.com/office/drawing/2014/main" id="{703F16DE-D78B-43AF-988B-DAD5FE2FE5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76341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28</xdr:row>
      <xdr:rowOff>55217</xdr:rowOff>
    </xdr:from>
    <xdr:ext cx="555101" cy="677048"/>
    <xdr:pic>
      <xdr:nvPicPr>
        <xdr:cNvPr id="608" name="Picture 607">
          <a:extLst>
            <a:ext uri="{FF2B5EF4-FFF2-40B4-BE49-F238E27FC236}">
              <a16:creationId xmlns:a16="http://schemas.microsoft.com/office/drawing/2014/main" id="{CBEAA59D-6143-43A5-9353-F60E56B173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762884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28</xdr:row>
      <xdr:rowOff>69022</xdr:rowOff>
    </xdr:from>
    <xdr:ext cx="551828" cy="661992"/>
    <xdr:pic>
      <xdr:nvPicPr>
        <xdr:cNvPr id="609" name="Picture 608">
          <a:extLst>
            <a:ext uri="{FF2B5EF4-FFF2-40B4-BE49-F238E27FC236}">
              <a16:creationId xmlns:a16="http://schemas.microsoft.com/office/drawing/2014/main" id="{C56B71BA-D0D2-49E6-B743-FA6838732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7642647"/>
          <a:ext cx="551828" cy="661992"/>
        </a:xfrm>
        <a:prstGeom prst="rect">
          <a:avLst/>
        </a:prstGeom>
      </xdr:spPr>
    </xdr:pic>
    <xdr:clientData/>
  </xdr:oneCellAnchor>
  <xdr:oneCellAnchor>
    <xdr:from>
      <xdr:col>4</xdr:col>
      <xdr:colOff>2565485</xdr:colOff>
      <xdr:row>29</xdr:row>
      <xdr:rowOff>71676</xdr:rowOff>
    </xdr:from>
    <xdr:ext cx="545064" cy="660508"/>
    <xdr:pic>
      <xdr:nvPicPr>
        <xdr:cNvPr id="610" name="Picture 609">
          <a:extLst>
            <a:ext uri="{FF2B5EF4-FFF2-40B4-BE49-F238E27FC236}">
              <a16:creationId xmlns:a16="http://schemas.microsoft.com/office/drawing/2014/main" id="{CC119D3F-8E55-4452-A701-CB74208283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8445401"/>
          <a:ext cx="545064" cy="660508"/>
        </a:xfrm>
        <a:prstGeom prst="rect">
          <a:avLst/>
        </a:prstGeom>
      </xdr:spPr>
    </xdr:pic>
    <xdr:clientData/>
  </xdr:oneCellAnchor>
  <xdr:oneCellAnchor>
    <xdr:from>
      <xdr:col>4</xdr:col>
      <xdr:colOff>1960218</xdr:colOff>
      <xdr:row>29</xdr:row>
      <xdr:rowOff>55217</xdr:rowOff>
    </xdr:from>
    <xdr:ext cx="540448" cy="667988"/>
    <xdr:pic>
      <xdr:nvPicPr>
        <xdr:cNvPr id="611" name="Picture 610">
          <a:extLst>
            <a:ext uri="{FF2B5EF4-FFF2-40B4-BE49-F238E27FC236}">
              <a16:creationId xmlns:a16="http://schemas.microsoft.com/office/drawing/2014/main" id="{ED39FB8B-90BD-4CED-9401-E2CA3423A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8428942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1357075</xdr:colOff>
      <xdr:row>29</xdr:row>
      <xdr:rowOff>60527</xdr:rowOff>
    </xdr:from>
    <xdr:ext cx="555102" cy="661073"/>
    <xdr:pic>
      <xdr:nvPicPr>
        <xdr:cNvPr id="612" name="Picture 611">
          <a:extLst>
            <a:ext uri="{FF2B5EF4-FFF2-40B4-BE49-F238E27FC236}">
              <a16:creationId xmlns:a16="http://schemas.microsoft.com/office/drawing/2014/main" id="{756ECF8E-F419-4D0D-AFE8-A44495E87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8434252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745435</xdr:colOff>
      <xdr:row>29</xdr:row>
      <xdr:rowOff>55217</xdr:rowOff>
    </xdr:from>
    <xdr:ext cx="555101" cy="677048"/>
    <xdr:pic>
      <xdr:nvPicPr>
        <xdr:cNvPr id="613" name="Picture 612">
          <a:extLst>
            <a:ext uri="{FF2B5EF4-FFF2-40B4-BE49-F238E27FC236}">
              <a16:creationId xmlns:a16="http://schemas.microsoft.com/office/drawing/2014/main" id="{82283C21-370A-4C97-BCDD-D93A371F9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8428942"/>
          <a:ext cx="555101" cy="677048"/>
        </a:xfrm>
        <a:prstGeom prst="rect">
          <a:avLst/>
        </a:prstGeom>
      </xdr:spPr>
    </xdr:pic>
    <xdr:clientData/>
  </xdr:oneCellAnchor>
  <xdr:oneCellAnchor>
    <xdr:from>
      <xdr:col>4</xdr:col>
      <xdr:colOff>138043</xdr:colOff>
      <xdr:row>29</xdr:row>
      <xdr:rowOff>69022</xdr:rowOff>
    </xdr:from>
    <xdr:ext cx="551828" cy="661992"/>
    <xdr:pic>
      <xdr:nvPicPr>
        <xdr:cNvPr id="614" name="Picture 613">
          <a:extLst>
            <a:ext uri="{FF2B5EF4-FFF2-40B4-BE49-F238E27FC236}">
              <a16:creationId xmlns:a16="http://schemas.microsoft.com/office/drawing/2014/main" id="{56DF0653-79B1-4C7B-856A-B0258B088A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8442747"/>
          <a:ext cx="551828" cy="661992"/>
        </a:xfrm>
        <a:prstGeom prst="rect">
          <a:avLst/>
        </a:prstGeom>
      </xdr:spPr>
    </xdr:pic>
    <xdr:clientData/>
  </xdr:oneCellAnchor>
  <xdr:twoCellAnchor editAs="oneCell">
    <xdr:from>
      <xdr:col>4</xdr:col>
      <xdr:colOff>1341676</xdr:colOff>
      <xdr:row>30</xdr:row>
      <xdr:rowOff>66385</xdr:rowOff>
    </xdr:from>
    <xdr:to>
      <xdr:col>4</xdr:col>
      <xdr:colOff>1886740</xdr:colOff>
      <xdr:row>30</xdr:row>
      <xdr:rowOff>724913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FCA7AC72-CA89-49D9-8E33-8BB02D229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19240210"/>
          <a:ext cx="545064" cy="658528"/>
        </a:xfrm>
        <a:prstGeom prst="rect">
          <a:avLst/>
        </a:prstGeom>
      </xdr:spPr>
    </xdr:pic>
    <xdr:clientData/>
  </xdr:twoCellAnchor>
  <xdr:twoCellAnchor editAs="oneCell">
    <xdr:from>
      <xdr:col>4</xdr:col>
      <xdr:colOff>110436</xdr:colOff>
      <xdr:row>30</xdr:row>
      <xdr:rowOff>93406</xdr:rowOff>
    </xdr:from>
    <xdr:to>
      <xdr:col>4</xdr:col>
      <xdr:colOff>650884</xdr:colOff>
      <xdr:row>30</xdr:row>
      <xdr:rowOff>727252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95A4923D-9A09-4515-895F-8E3CDBF1D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19267231"/>
          <a:ext cx="540448" cy="633846"/>
        </a:xfrm>
        <a:prstGeom prst="rect">
          <a:avLst/>
        </a:prstGeom>
      </xdr:spPr>
    </xdr:pic>
    <xdr:clientData/>
  </xdr:twoCellAnchor>
  <xdr:twoCellAnchor editAs="oneCell">
    <xdr:from>
      <xdr:col>4</xdr:col>
      <xdr:colOff>704022</xdr:colOff>
      <xdr:row>30</xdr:row>
      <xdr:rowOff>81035</xdr:rowOff>
    </xdr:from>
    <xdr:to>
      <xdr:col>4</xdr:col>
      <xdr:colOff>1279523</xdr:colOff>
      <xdr:row>30</xdr:row>
      <xdr:rowOff>754841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B296D028-AA18-4B21-A80B-A3B7DBA86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19254860"/>
          <a:ext cx="575501" cy="673806"/>
        </a:xfrm>
        <a:prstGeom prst="rect">
          <a:avLst/>
        </a:prstGeom>
      </xdr:spPr>
    </xdr:pic>
    <xdr:clientData/>
  </xdr:twoCellAnchor>
  <xdr:oneCellAnchor>
    <xdr:from>
      <xdr:col>4</xdr:col>
      <xdr:colOff>1341676</xdr:colOff>
      <xdr:row>31</xdr:row>
      <xdr:rowOff>66385</xdr:rowOff>
    </xdr:from>
    <xdr:ext cx="545064" cy="658528"/>
    <xdr:pic>
      <xdr:nvPicPr>
        <xdr:cNvPr id="618" name="Picture 617">
          <a:extLst>
            <a:ext uri="{FF2B5EF4-FFF2-40B4-BE49-F238E27FC236}">
              <a16:creationId xmlns:a16="http://schemas.microsoft.com/office/drawing/2014/main" id="{723BDEBB-642D-4CDE-A336-5700963B81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004031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31</xdr:row>
      <xdr:rowOff>93406</xdr:rowOff>
    </xdr:from>
    <xdr:ext cx="540448" cy="633846"/>
    <xdr:pic>
      <xdr:nvPicPr>
        <xdr:cNvPr id="619" name="Picture 618">
          <a:extLst>
            <a:ext uri="{FF2B5EF4-FFF2-40B4-BE49-F238E27FC236}">
              <a16:creationId xmlns:a16="http://schemas.microsoft.com/office/drawing/2014/main" id="{BCAD1FF3-3E86-4166-A4E1-B4133CEAEA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006733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31</xdr:row>
      <xdr:rowOff>81035</xdr:rowOff>
    </xdr:from>
    <xdr:ext cx="575501" cy="673806"/>
    <xdr:pic>
      <xdr:nvPicPr>
        <xdr:cNvPr id="620" name="Picture 619">
          <a:extLst>
            <a:ext uri="{FF2B5EF4-FFF2-40B4-BE49-F238E27FC236}">
              <a16:creationId xmlns:a16="http://schemas.microsoft.com/office/drawing/2014/main" id="{840C4299-30BC-408A-9ECD-DF90C8D59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005496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32</xdr:row>
      <xdr:rowOff>66385</xdr:rowOff>
    </xdr:from>
    <xdr:ext cx="545064" cy="658528"/>
    <xdr:pic>
      <xdr:nvPicPr>
        <xdr:cNvPr id="621" name="Picture 620">
          <a:extLst>
            <a:ext uri="{FF2B5EF4-FFF2-40B4-BE49-F238E27FC236}">
              <a16:creationId xmlns:a16="http://schemas.microsoft.com/office/drawing/2014/main" id="{DA510E7D-E556-45B8-BA95-FDE686B3F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095471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32</xdr:row>
      <xdr:rowOff>93406</xdr:rowOff>
    </xdr:from>
    <xdr:ext cx="540448" cy="633846"/>
    <xdr:pic>
      <xdr:nvPicPr>
        <xdr:cNvPr id="622" name="Picture 621">
          <a:extLst>
            <a:ext uri="{FF2B5EF4-FFF2-40B4-BE49-F238E27FC236}">
              <a16:creationId xmlns:a16="http://schemas.microsoft.com/office/drawing/2014/main" id="{8E8F36E4-7CA0-4FDF-9D5A-F7E924F1F5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098173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32</xdr:row>
      <xdr:rowOff>81035</xdr:rowOff>
    </xdr:from>
    <xdr:ext cx="575501" cy="673806"/>
    <xdr:pic>
      <xdr:nvPicPr>
        <xdr:cNvPr id="623" name="Picture 622">
          <a:extLst>
            <a:ext uri="{FF2B5EF4-FFF2-40B4-BE49-F238E27FC236}">
              <a16:creationId xmlns:a16="http://schemas.microsoft.com/office/drawing/2014/main" id="{A50E960D-0676-4B9C-AFC2-131144862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096936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33</xdr:row>
      <xdr:rowOff>66385</xdr:rowOff>
    </xdr:from>
    <xdr:ext cx="545064" cy="658528"/>
    <xdr:pic>
      <xdr:nvPicPr>
        <xdr:cNvPr id="624" name="Picture 623">
          <a:extLst>
            <a:ext uri="{FF2B5EF4-FFF2-40B4-BE49-F238E27FC236}">
              <a16:creationId xmlns:a16="http://schemas.microsoft.com/office/drawing/2014/main" id="{332D0DC6-1923-4501-BA15-CFA1C75269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1859585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33</xdr:row>
      <xdr:rowOff>93406</xdr:rowOff>
    </xdr:from>
    <xdr:ext cx="540448" cy="633846"/>
    <xdr:pic>
      <xdr:nvPicPr>
        <xdr:cNvPr id="625" name="Picture 624">
          <a:extLst>
            <a:ext uri="{FF2B5EF4-FFF2-40B4-BE49-F238E27FC236}">
              <a16:creationId xmlns:a16="http://schemas.microsoft.com/office/drawing/2014/main" id="{E304B131-1B90-42A9-83FC-2AD79E56ED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1886606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33</xdr:row>
      <xdr:rowOff>81035</xdr:rowOff>
    </xdr:from>
    <xdr:ext cx="575501" cy="673806"/>
    <xdr:pic>
      <xdr:nvPicPr>
        <xdr:cNvPr id="626" name="Picture 625">
          <a:extLst>
            <a:ext uri="{FF2B5EF4-FFF2-40B4-BE49-F238E27FC236}">
              <a16:creationId xmlns:a16="http://schemas.microsoft.com/office/drawing/2014/main" id="{54087376-DEB0-4217-9FF1-6330468624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1874235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34</xdr:row>
      <xdr:rowOff>66385</xdr:rowOff>
    </xdr:from>
    <xdr:ext cx="545064" cy="658528"/>
    <xdr:pic>
      <xdr:nvPicPr>
        <xdr:cNvPr id="627" name="Picture 626">
          <a:extLst>
            <a:ext uri="{FF2B5EF4-FFF2-40B4-BE49-F238E27FC236}">
              <a16:creationId xmlns:a16="http://schemas.microsoft.com/office/drawing/2014/main" id="{1E8CD61E-D062-496F-AD4A-DABB23E844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2659685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34</xdr:row>
      <xdr:rowOff>93406</xdr:rowOff>
    </xdr:from>
    <xdr:ext cx="540448" cy="633846"/>
    <xdr:pic>
      <xdr:nvPicPr>
        <xdr:cNvPr id="628" name="Picture 627">
          <a:extLst>
            <a:ext uri="{FF2B5EF4-FFF2-40B4-BE49-F238E27FC236}">
              <a16:creationId xmlns:a16="http://schemas.microsoft.com/office/drawing/2014/main" id="{9F889E7B-2C34-4A62-8D22-AE5949576F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2686706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34</xdr:row>
      <xdr:rowOff>81035</xdr:rowOff>
    </xdr:from>
    <xdr:ext cx="575501" cy="673806"/>
    <xdr:pic>
      <xdr:nvPicPr>
        <xdr:cNvPr id="629" name="Picture 628">
          <a:extLst>
            <a:ext uri="{FF2B5EF4-FFF2-40B4-BE49-F238E27FC236}">
              <a16:creationId xmlns:a16="http://schemas.microsoft.com/office/drawing/2014/main" id="{994CD616-A193-4D12-AF4E-4087C40A01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2674335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35</xdr:row>
      <xdr:rowOff>214825</xdr:rowOff>
    </xdr:from>
    <xdr:ext cx="545064" cy="658528"/>
    <xdr:pic>
      <xdr:nvPicPr>
        <xdr:cNvPr id="630" name="Picture 629">
          <a:extLst>
            <a:ext uri="{FF2B5EF4-FFF2-40B4-BE49-F238E27FC236}">
              <a16:creationId xmlns:a16="http://schemas.microsoft.com/office/drawing/2014/main" id="{A922A956-6BE1-407B-82FA-7DC7F49C68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361775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35</xdr:row>
      <xdr:rowOff>241846</xdr:rowOff>
    </xdr:from>
    <xdr:ext cx="540448" cy="633846"/>
    <xdr:pic>
      <xdr:nvPicPr>
        <xdr:cNvPr id="631" name="Picture 630">
          <a:extLst>
            <a:ext uri="{FF2B5EF4-FFF2-40B4-BE49-F238E27FC236}">
              <a16:creationId xmlns:a16="http://schemas.microsoft.com/office/drawing/2014/main" id="{575644F9-3888-42AD-B624-CC8D6222E4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364477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35</xdr:row>
      <xdr:rowOff>217105</xdr:rowOff>
    </xdr:from>
    <xdr:ext cx="575501" cy="673806"/>
    <xdr:pic>
      <xdr:nvPicPr>
        <xdr:cNvPr id="632" name="Picture 631">
          <a:extLst>
            <a:ext uri="{FF2B5EF4-FFF2-40B4-BE49-F238E27FC236}">
              <a16:creationId xmlns:a16="http://schemas.microsoft.com/office/drawing/2014/main" id="{A38E8313-EEC1-45AD-A11E-839B10D968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362003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36</xdr:row>
      <xdr:rowOff>66385</xdr:rowOff>
    </xdr:from>
    <xdr:ext cx="545064" cy="658528"/>
    <xdr:pic>
      <xdr:nvPicPr>
        <xdr:cNvPr id="633" name="Picture 632">
          <a:extLst>
            <a:ext uri="{FF2B5EF4-FFF2-40B4-BE49-F238E27FC236}">
              <a16:creationId xmlns:a16="http://schemas.microsoft.com/office/drawing/2014/main" id="{1E5B5DB0-9C14-43CF-9D8E-0AD3A288C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495521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36</xdr:row>
      <xdr:rowOff>93406</xdr:rowOff>
    </xdr:from>
    <xdr:ext cx="540448" cy="633846"/>
    <xdr:pic>
      <xdr:nvPicPr>
        <xdr:cNvPr id="634" name="Picture 633">
          <a:extLst>
            <a:ext uri="{FF2B5EF4-FFF2-40B4-BE49-F238E27FC236}">
              <a16:creationId xmlns:a16="http://schemas.microsoft.com/office/drawing/2014/main" id="{6321D0F7-8884-4E4F-AA8F-229A1E0B4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498223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36</xdr:row>
      <xdr:rowOff>81035</xdr:rowOff>
    </xdr:from>
    <xdr:ext cx="575501" cy="673806"/>
    <xdr:pic>
      <xdr:nvPicPr>
        <xdr:cNvPr id="635" name="Picture 634">
          <a:extLst>
            <a:ext uri="{FF2B5EF4-FFF2-40B4-BE49-F238E27FC236}">
              <a16:creationId xmlns:a16="http://schemas.microsoft.com/office/drawing/2014/main" id="{98F29C5A-C196-41E0-B880-0C4011FFB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496986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37</xdr:row>
      <xdr:rowOff>66385</xdr:rowOff>
    </xdr:from>
    <xdr:ext cx="545064" cy="658528"/>
    <xdr:pic>
      <xdr:nvPicPr>
        <xdr:cNvPr id="636" name="Picture 635">
          <a:extLst>
            <a:ext uri="{FF2B5EF4-FFF2-40B4-BE49-F238E27FC236}">
              <a16:creationId xmlns:a16="http://schemas.microsoft.com/office/drawing/2014/main" id="{120DEEBC-C49A-4019-8AA8-270F101696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577436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37</xdr:row>
      <xdr:rowOff>93406</xdr:rowOff>
    </xdr:from>
    <xdr:ext cx="540448" cy="633846"/>
    <xdr:pic>
      <xdr:nvPicPr>
        <xdr:cNvPr id="637" name="Picture 636">
          <a:extLst>
            <a:ext uri="{FF2B5EF4-FFF2-40B4-BE49-F238E27FC236}">
              <a16:creationId xmlns:a16="http://schemas.microsoft.com/office/drawing/2014/main" id="{641ECE1A-C317-4337-87AB-93361FA1DE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580138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37</xdr:row>
      <xdr:rowOff>81035</xdr:rowOff>
    </xdr:from>
    <xdr:ext cx="575501" cy="673806"/>
    <xdr:pic>
      <xdr:nvPicPr>
        <xdr:cNvPr id="638" name="Picture 637">
          <a:extLst>
            <a:ext uri="{FF2B5EF4-FFF2-40B4-BE49-F238E27FC236}">
              <a16:creationId xmlns:a16="http://schemas.microsoft.com/office/drawing/2014/main" id="{48DEDB9B-3867-443D-B63B-E4A819C71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578901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38</xdr:row>
      <xdr:rowOff>66385</xdr:rowOff>
    </xdr:from>
    <xdr:ext cx="545064" cy="658528"/>
    <xdr:pic>
      <xdr:nvPicPr>
        <xdr:cNvPr id="639" name="Picture 638">
          <a:extLst>
            <a:ext uri="{FF2B5EF4-FFF2-40B4-BE49-F238E27FC236}">
              <a16:creationId xmlns:a16="http://schemas.microsoft.com/office/drawing/2014/main" id="{595ABD50-B353-42EE-90B1-0F73C61C9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6545885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38</xdr:row>
      <xdr:rowOff>93406</xdr:rowOff>
    </xdr:from>
    <xdr:ext cx="540448" cy="633846"/>
    <xdr:pic>
      <xdr:nvPicPr>
        <xdr:cNvPr id="640" name="Picture 639">
          <a:extLst>
            <a:ext uri="{FF2B5EF4-FFF2-40B4-BE49-F238E27FC236}">
              <a16:creationId xmlns:a16="http://schemas.microsoft.com/office/drawing/2014/main" id="{218B6F65-F3DA-4E82-A547-8A224E235A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6572906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38</xdr:row>
      <xdr:rowOff>81035</xdr:rowOff>
    </xdr:from>
    <xdr:ext cx="575501" cy="673806"/>
    <xdr:pic>
      <xdr:nvPicPr>
        <xdr:cNvPr id="641" name="Picture 640">
          <a:extLst>
            <a:ext uri="{FF2B5EF4-FFF2-40B4-BE49-F238E27FC236}">
              <a16:creationId xmlns:a16="http://schemas.microsoft.com/office/drawing/2014/main" id="{A2333CAC-2483-4D82-8475-F436D7FDA7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6560535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39</xdr:row>
      <xdr:rowOff>66385</xdr:rowOff>
    </xdr:from>
    <xdr:ext cx="545064" cy="658528"/>
    <xdr:pic>
      <xdr:nvPicPr>
        <xdr:cNvPr id="642" name="Picture 641">
          <a:extLst>
            <a:ext uri="{FF2B5EF4-FFF2-40B4-BE49-F238E27FC236}">
              <a16:creationId xmlns:a16="http://schemas.microsoft.com/office/drawing/2014/main" id="{83DCFE1F-97F8-430E-9544-7020B10ED7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731741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39</xdr:row>
      <xdr:rowOff>93406</xdr:rowOff>
    </xdr:from>
    <xdr:ext cx="540448" cy="633846"/>
    <xdr:pic>
      <xdr:nvPicPr>
        <xdr:cNvPr id="643" name="Picture 642">
          <a:extLst>
            <a:ext uri="{FF2B5EF4-FFF2-40B4-BE49-F238E27FC236}">
              <a16:creationId xmlns:a16="http://schemas.microsoft.com/office/drawing/2014/main" id="{5826E851-5F30-413E-A233-9E7C7BEC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734443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39</xdr:row>
      <xdr:rowOff>81035</xdr:rowOff>
    </xdr:from>
    <xdr:ext cx="575501" cy="673806"/>
    <xdr:pic>
      <xdr:nvPicPr>
        <xdr:cNvPr id="644" name="Picture 643">
          <a:extLst>
            <a:ext uri="{FF2B5EF4-FFF2-40B4-BE49-F238E27FC236}">
              <a16:creationId xmlns:a16="http://schemas.microsoft.com/office/drawing/2014/main" id="{32386FE3-B0E9-40E4-98FD-EC850D34F0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7332060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40</xdr:row>
      <xdr:rowOff>66385</xdr:rowOff>
    </xdr:from>
    <xdr:ext cx="545064" cy="658528"/>
    <xdr:pic>
      <xdr:nvPicPr>
        <xdr:cNvPr id="645" name="Picture 644">
          <a:extLst>
            <a:ext uri="{FF2B5EF4-FFF2-40B4-BE49-F238E27FC236}">
              <a16:creationId xmlns:a16="http://schemas.microsoft.com/office/drawing/2014/main" id="{C17F4E15-20E9-491A-B037-26EE9D1FE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8165135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40</xdr:row>
      <xdr:rowOff>93406</xdr:rowOff>
    </xdr:from>
    <xdr:ext cx="540448" cy="633846"/>
    <xdr:pic>
      <xdr:nvPicPr>
        <xdr:cNvPr id="646" name="Picture 645">
          <a:extLst>
            <a:ext uri="{FF2B5EF4-FFF2-40B4-BE49-F238E27FC236}">
              <a16:creationId xmlns:a16="http://schemas.microsoft.com/office/drawing/2014/main" id="{E11A273E-6454-4A57-95A9-FEB1F955B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8192156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40</xdr:row>
      <xdr:rowOff>81035</xdr:rowOff>
    </xdr:from>
    <xdr:ext cx="575501" cy="673806"/>
    <xdr:pic>
      <xdr:nvPicPr>
        <xdr:cNvPr id="647" name="Picture 646">
          <a:extLst>
            <a:ext uri="{FF2B5EF4-FFF2-40B4-BE49-F238E27FC236}">
              <a16:creationId xmlns:a16="http://schemas.microsoft.com/office/drawing/2014/main" id="{136C8746-8F6E-483F-83F8-5B6D3E198A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8179785"/>
          <a:ext cx="575501" cy="673806"/>
        </a:xfrm>
        <a:prstGeom prst="rect">
          <a:avLst/>
        </a:prstGeom>
      </xdr:spPr>
    </xdr:pic>
    <xdr:clientData/>
  </xdr:oneCellAnchor>
  <xdr:oneCellAnchor>
    <xdr:from>
      <xdr:col>4</xdr:col>
      <xdr:colOff>1341676</xdr:colOff>
      <xdr:row>41</xdr:row>
      <xdr:rowOff>66385</xdr:rowOff>
    </xdr:from>
    <xdr:ext cx="545064" cy="658528"/>
    <xdr:pic>
      <xdr:nvPicPr>
        <xdr:cNvPr id="648" name="Picture 647">
          <a:extLst>
            <a:ext uri="{FF2B5EF4-FFF2-40B4-BE49-F238E27FC236}">
              <a16:creationId xmlns:a16="http://schemas.microsoft.com/office/drawing/2014/main" id="{D50F76BB-A227-436B-A4E1-4E1E43DBA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4201" y="28936660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110436</xdr:colOff>
      <xdr:row>41</xdr:row>
      <xdr:rowOff>93406</xdr:rowOff>
    </xdr:from>
    <xdr:ext cx="540448" cy="633846"/>
    <xdr:pic>
      <xdr:nvPicPr>
        <xdr:cNvPr id="649" name="Picture 648">
          <a:extLst>
            <a:ext uri="{FF2B5EF4-FFF2-40B4-BE49-F238E27FC236}">
              <a16:creationId xmlns:a16="http://schemas.microsoft.com/office/drawing/2014/main" id="{6EA4FC75-C5ED-4C55-AB41-8872F8CCA9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61" y="28963681"/>
          <a:ext cx="540448" cy="633846"/>
        </a:xfrm>
        <a:prstGeom prst="rect">
          <a:avLst/>
        </a:prstGeom>
      </xdr:spPr>
    </xdr:pic>
    <xdr:clientData/>
  </xdr:oneCellAnchor>
  <xdr:oneCellAnchor>
    <xdr:from>
      <xdr:col>4</xdr:col>
      <xdr:colOff>704022</xdr:colOff>
      <xdr:row>41</xdr:row>
      <xdr:rowOff>81035</xdr:rowOff>
    </xdr:from>
    <xdr:ext cx="575501" cy="673806"/>
    <xdr:pic>
      <xdr:nvPicPr>
        <xdr:cNvPr id="650" name="Picture 649">
          <a:extLst>
            <a:ext uri="{FF2B5EF4-FFF2-40B4-BE49-F238E27FC236}">
              <a16:creationId xmlns:a16="http://schemas.microsoft.com/office/drawing/2014/main" id="{2507A429-4440-4645-B309-CB47D5967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66547" y="28951310"/>
          <a:ext cx="575501" cy="673806"/>
        </a:xfrm>
        <a:prstGeom prst="rect">
          <a:avLst/>
        </a:prstGeom>
      </xdr:spPr>
    </xdr:pic>
    <xdr:clientData/>
  </xdr:oneCellAnchor>
  <xdr:twoCellAnchor editAs="oneCell">
    <xdr:from>
      <xdr:col>4</xdr:col>
      <xdr:colOff>85066</xdr:colOff>
      <xdr:row>47</xdr:row>
      <xdr:rowOff>314457</xdr:rowOff>
    </xdr:from>
    <xdr:to>
      <xdr:col>4</xdr:col>
      <xdr:colOff>640168</xdr:colOff>
      <xdr:row>47</xdr:row>
      <xdr:rowOff>927905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10203C6C-415A-4537-B0F1-5F77D7985B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591" y="32232732"/>
          <a:ext cx="555102" cy="613448"/>
        </a:xfrm>
        <a:prstGeom prst="rect">
          <a:avLst/>
        </a:prstGeom>
      </xdr:spPr>
    </xdr:pic>
    <xdr:clientData/>
  </xdr:twoCellAnchor>
  <xdr:twoCellAnchor editAs="oneCell">
    <xdr:from>
      <xdr:col>4</xdr:col>
      <xdr:colOff>680660</xdr:colOff>
      <xdr:row>47</xdr:row>
      <xdr:rowOff>309006</xdr:rowOff>
    </xdr:from>
    <xdr:to>
      <xdr:col>4</xdr:col>
      <xdr:colOff>1240781</xdr:colOff>
      <xdr:row>47</xdr:row>
      <xdr:rowOff>956828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94630BE5-9FAD-4CCF-8446-EFA4C6E22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185" y="32227281"/>
          <a:ext cx="560121" cy="647822"/>
        </a:xfrm>
        <a:prstGeom prst="rect">
          <a:avLst/>
        </a:prstGeom>
      </xdr:spPr>
    </xdr:pic>
    <xdr:clientData/>
  </xdr:twoCellAnchor>
  <xdr:oneCellAnchor>
    <xdr:from>
      <xdr:col>4</xdr:col>
      <xdr:colOff>85066</xdr:colOff>
      <xdr:row>48</xdr:row>
      <xdr:rowOff>314457</xdr:rowOff>
    </xdr:from>
    <xdr:ext cx="555102" cy="613448"/>
    <xdr:pic>
      <xdr:nvPicPr>
        <xdr:cNvPr id="703" name="Picture 702">
          <a:extLst>
            <a:ext uri="{FF2B5EF4-FFF2-40B4-BE49-F238E27FC236}">
              <a16:creationId xmlns:a16="http://schemas.microsoft.com/office/drawing/2014/main" id="{1B33BBD4-69BF-4D41-BF76-A0C518836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591" y="33509082"/>
          <a:ext cx="555102" cy="613448"/>
        </a:xfrm>
        <a:prstGeom prst="rect">
          <a:avLst/>
        </a:prstGeom>
      </xdr:spPr>
    </xdr:pic>
    <xdr:clientData/>
  </xdr:oneCellAnchor>
  <xdr:oneCellAnchor>
    <xdr:from>
      <xdr:col>4</xdr:col>
      <xdr:colOff>680660</xdr:colOff>
      <xdr:row>48</xdr:row>
      <xdr:rowOff>309006</xdr:rowOff>
    </xdr:from>
    <xdr:ext cx="560121" cy="647822"/>
    <xdr:pic>
      <xdr:nvPicPr>
        <xdr:cNvPr id="704" name="Picture 703">
          <a:extLst>
            <a:ext uri="{FF2B5EF4-FFF2-40B4-BE49-F238E27FC236}">
              <a16:creationId xmlns:a16="http://schemas.microsoft.com/office/drawing/2014/main" id="{BEDA5B52-4E7F-4FFE-9F46-0B5C11D20F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185" y="33503631"/>
          <a:ext cx="560121" cy="647822"/>
        </a:xfrm>
        <a:prstGeom prst="rect">
          <a:avLst/>
        </a:prstGeom>
      </xdr:spPr>
    </xdr:pic>
    <xdr:clientData/>
  </xdr:oneCellAnchor>
  <xdr:oneCellAnchor>
    <xdr:from>
      <xdr:col>4</xdr:col>
      <xdr:colOff>85066</xdr:colOff>
      <xdr:row>49</xdr:row>
      <xdr:rowOff>314457</xdr:rowOff>
    </xdr:from>
    <xdr:ext cx="555102" cy="613448"/>
    <xdr:pic>
      <xdr:nvPicPr>
        <xdr:cNvPr id="705" name="Picture 704">
          <a:extLst>
            <a:ext uri="{FF2B5EF4-FFF2-40B4-BE49-F238E27FC236}">
              <a16:creationId xmlns:a16="http://schemas.microsoft.com/office/drawing/2014/main" id="{F338C63B-8F05-444C-B6FD-B85048861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591" y="34785432"/>
          <a:ext cx="555102" cy="613448"/>
        </a:xfrm>
        <a:prstGeom prst="rect">
          <a:avLst/>
        </a:prstGeom>
      </xdr:spPr>
    </xdr:pic>
    <xdr:clientData/>
  </xdr:oneCellAnchor>
  <xdr:oneCellAnchor>
    <xdr:from>
      <xdr:col>4</xdr:col>
      <xdr:colOff>680660</xdr:colOff>
      <xdr:row>49</xdr:row>
      <xdr:rowOff>309006</xdr:rowOff>
    </xdr:from>
    <xdr:ext cx="560121" cy="647822"/>
    <xdr:pic>
      <xdr:nvPicPr>
        <xdr:cNvPr id="706" name="Picture 705">
          <a:extLst>
            <a:ext uri="{FF2B5EF4-FFF2-40B4-BE49-F238E27FC236}">
              <a16:creationId xmlns:a16="http://schemas.microsoft.com/office/drawing/2014/main" id="{C288433D-2F97-475B-B6A3-190CD360CE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43185" y="34779981"/>
          <a:ext cx="560121" cy="647822"/>
        </a:xfrm>
        <a:prstGeom prst="rect">
          <a:avLst/>
        </a:prstGeom>
      </xdr:spPr>
    </xdr:pic>
    <xdr:clientData/>
  </xdr:oneCellAnchor>
  <xdr:twoCellAnchor editAs="oneCell">
    <xdr:from>
      <xdr:col>4</xdr:col>
      <xdr:colOff>109261</xdr:colOff>
      <xdr:row>50</xdr:row>
      <xdr:rowOff>68889</xdr:rowOff>
    </xdr:from>
    <xdr:to>
      <xdr:col>4</xdr:col>
      <xdr:colOff>664363</xdr:colOff>
      <xdr:row>50</xdr:row>
      <xdr:rowOff>733920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916140AB-F020-4D4E-ADAD-D855EA9D9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35816214"/>
          <a:ext cx="555102" cy="665031"/>
        </a:xfrm>
        <a:prstGeom prst="rect">
          <a:avLst/>
        </a:prstGeom>
      </xdr:spPr>
    </xdr:pic>
    <xdr:clientData/>
  </xdr:twoCellAnchor>
  <xdr:twoCellAnchor editAs="oneCell">
    <xdr:from>
      <xdr:col>4</xdr:col>
      <xdr:colOff>121631</xdr:colOff>
      <xdr:row>51</xdr:row>
      <xdr:rowOff>130739</xdr:rowOff>
    </xdr:from>
    <xdr:to>
      <xdr:col>4</xdr:col>
      <xdr:colOff>676733</xdr:colOff>
      <xdr:row>51</xdr:row>
      <xdr:rowOff>791812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F6A2BEB8-5E72-45D1-8A5F-05F2E658BD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4156" y="36678164"/>
          <a:ext cx="555102" cy="661073"/>
        </a:xfrm>
        <a:prstGeom prst="rect">
          <a:avLst/>
        </a:prstGeom>
      </xdr:spPr>
    </xdr:pic>
    <xdr:clientData/>
  </xdr:twoCellAnchor>
  <xdr:oneCellAnchor>
    <xdr:from>
      <xdr:col>4</xdr:col>
      <xdr:colOff>109261</xdr:colOff>
      <xdr:row>52</xdr:row>
      <xdr:rowOff>68889</xdr:rowOff>
    </xdr:from>
    <xdr:ext cx="555102" cy="665031"/>
    <xdr:pic>
      <xdr:nvPicPr>
        <xdr:cNvPr id="709" name="Picture 708">
          <a:extLst>
            <a:ext uri="{FF2B5EF4-FFF2-40B4-BE49-F238E27FC236}">
              <a16:creationId xmlns:a16="http://schemas.microsoft.com/office/drawing/2014/main" id="{A3E23529-AD65-4528-9A1A-5899554555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375402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53</xdr:row>
      <xdr:rowOff>68889</xdr:rowOff>
    </xdr:from>
    <xdr:ext cx="555102" cy="665031"/>
    <xdr:pic>
      <xdr:nvPicPr>
        <xdr:cNvPr id="710" name="Picture 709">
          <a:extLst>
            <a:ext uri="{FF2B5EF4-FFF2-40B4-BE49-F238E27FC236}">
              <a16:creationId xmlns:a16="http://schemas.microsoft.com/office/drawing/2014/main" id="{02D49AD3-82D2-4441-BF11-CCBC592E3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3836891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54</xdr:row>
      <xdr:rowOff>68889</xdr:rowOff>
    </xdr:from>
    <xdr:ext cx="555102" cy="665031"/>
    <xdr:pic>
      <xdr:nvPicPr>
        <xdr:cNvPr id="711" name="Picture 710">
          <a:extLst>
            <a:ext uri="{FF2B5EF4-FFF2-40B4-BE49-F238E27FC236}">
              <a16:creationId xmlns:a16="http://schemas.microsoft.com/office/drawing/2014/main" id="{C10948A1-D793-416E-976E-E06396780F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3916901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55</xdr:row>
      <xdr:rowOff>68889</xdr:rowOff>
    </xdr:from>
    <xdr:ext cx="555102" cy="665031"/>
    <xdr:pic>
      <xdr:nvPicPr>
        <xdr:cNvPr id="712" name="Picture 711">
          <a:extLst>
            <a:ext uri="{FF2B5EF4-FFF2-40B4-BE49-F238E27FC236}">
              <a16:creationId xmlns:a16="http://schemas.microsoft.com/office/drawing/2014/main" id="{371766EF-45DC-415E-9637-24D578299D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3996911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56</xdr:row>
      <xdr:rowOff>68889</xdr:rowOff>
    </xdr:from>
    <xdr:ext cx="555102" cy="665031"/>
    <xdr:pic>
      <xdr:nvPicPr>
        <xdr:cNvPr id="713" name="Picture 712">
          <a:extLst>
            <a:ext uri="{FF2B5EF4-FFF2-40B4-BE49-F238E27FC236}">
              <a16:creationId xmlns:a16="http://schemas.microsoft.com/office/drawing/2014/main" id="{B39D596D-1C45-4FD7-A9D3-60A6DD2135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076921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58</xdr:row>
      <xdr:rowOff>68889</xdr:rowOff>
    </xdr:from>
    <xdr:ext cx="555102" cy="665031"/>
    <xdr:pic>
      <xdr:nvPicPr>
        <xdr:cNvPr id="714" name="Picture 713">
          <a:extLst>
            <a:ext uri="{FF2B5EF4-FFF2-40B4-BE49-F238E27FC236}">
              <a16:creationId xmlns:a16="http://schemas.microsoft.com/office/drawing/2014/main" id="{A9EAB1DA-1181-4BA7-9CD9-694432CE8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18074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59</xdr:row>
      <xdr:rowOff>68889</xdr:rowOff>
    </xdr:from>
    <xdr:ext cx="555102" cy="665031"/>
    <xdr:pic>
      <xdr:nvPicPr>
        <xdr:cNvPr id="715" name="Picture 714">
          <a:extLst>
            <a:ext uri="{FF2B5EF4-FFF2-40B4-BE49-F238E27FC236}">
              <a16:creationId xmlns:a16="http://schemas.microsoft.com/office/drawing/2014/main" id="{35969E10-9A43-41C6-8C55-908F9A2926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281708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60</xdr:row>
      <xdr:rowOff>254439</xdr:rowOff>
    </xdr:from>
    <xdr:ext cx="555102" cy="665031"/>
    <xdr:pic>
      <xdr:nvPicPr>
        <xdr:cNvPr id="716" name="Picture 715">
          <a:extLst>
            <a:ext uri="{FF2B5EF4-FFF2-40B4-BE49-F238E27FC236}">
              <a16:creationId xmlns:a16="http://schemas.microsoft.com/office/drawing/2014/main" id="{72874405-9497-4078-A574-D7B0965DC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382178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61</xdr:row>
      <xdr:rowOff>204959</xdr:rowOff>
    </xdr:from>
    <xdr:ext cx="555102" cy="665031"/>
    <xdr:pic>
      <xdr:nvPicPr>
        <xdr:cNvPr id="717" name="Picture 716">
          <a:extLst>
            <a:ext uri="{FF2B5EF4-FFF2-40B4-BE49-F238E27FC236}">
              <a16:creationId xmlns:a16="http://schemas.microsoft.com/office/drawing/2014/main" id="{F33A6823-E688-41A0-90F8-93A85A07B2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484863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62</xdr:row>
      <xdr:rowOff>229699</xdr:rowOff>
    </xdr:from>
    <xdr:ext cx="555102" cy="665031"/>
    <xdr:pic>
      <xdr:nvPicPr>
        <xdr:cNvPr id="718" name="Picture 717">
          <a:extLst>
            <a:ext uri="{FF2B5EF4-FFF2-40B4-BE49-F238E27FC236}">
              <a16:creationId xmlns:a16="http://schemas.microsoft.com/office/drawing/2014/main" id="{E835E0C4-A5A1-46FC-AEDC-A8B1EF0F10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607352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63</xdr:row>
      <xdr:rowOff>68889</xdr:rowOff>
    </xdr:from>
    <xdr:ext cx="555102" cy="665031"/>
    <xdr:pic>
      <xdr:nvPicPr>
        <xdr:cNvPr id="719" name="Picture 718">
          <a:extLst>
            <a:ext uri="{FF2B5EF4-FFF2-40B4-BE49-F238E27FC236}">
              <a16:creationId xmlns:a16="http://schemas.microsoft.com/office/drawing/2014/main" id="{E703C9D1-D91E-46CA-87F0-E52E06B10C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711286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64</xdr:row>
      <xdr:rowOff>68889</xdr:rowOff>
    </xdr:from>
    <xdr:ext cx="555102" cy="665031"/>
    <xdr:pic>
      <xdr:nvPicPr>
        <xdr:cNvPr id="720" name="Picture 719">
          <a:extLst>
            <a:ext uri="{FF2B5EF4-FFF2-40B4-BE49-F238E27FC236}">
              <a16:creationId xmlns:a16="http://schemas.microsoft.com/office/drawing/2014/main" id="{56670DAC-B46D-4C58-A54D-8DC09CFF12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791296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65</xdr:row>
      <xdr:rowOff>68889</xdr:rowOff>
    </xdr:from>
    <xdr:ext cx="555102" cy="665031"/>
    <xdr:pic>
      <xdr:nvPicPr>
        <xdr:cNvPr id="721" name="Picture 720">
          <a:extLst>
            <a:ext uri="{FF2B5EF4-FFF2-40B4-BE49-F238E27FC236}">
              <a16:creationId xmlns:a16="http://schemas.microsoft.com/office/drawing/2014/main" id="{55B26C96-AB46-4C74-9928-4163ED0B8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48713064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108857</xdr:colOff>
      <xdr:row>66</xdr:row>
      <xdr:rowOff>122464</xdr:rowOff>
    </xdr:from>
    <xdr:ext cx="555102" cy="665031"/>
    <xdr:pic>
      <xdr:nvPicPr>
        <xdr:cNvPr id="722" name="Picture 721">
          <a:extLst>
            <a:ext uri="{FF2B5EF4-FFF2-40B4-BE49-F238E27FC236}">
              <a16:creationId xmlns:a16="http://schemas.microsoft.com/office/drawing/2014/main" id="{6737B3F5-38D6-4364-B10F-76DCBB5C5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382" y="495667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69</xdr:row>
      <xdr:rowOff>68889</xdr:rowOff>
    </xdr:from>
    <xdr:ext cx="555102" cy="665031"/>
    <xdr:pic>
      <xdr:nvPicPr>
        <xdr:cNvPr id="726" name="Picture 725">
          <a:extLst>
            <a:ext uri="{FF2B5EF4-FFF2-40B4-BE49-F238E27FC236}">
              <a16:creationId xmlns:a16="http://schemas.microsoft.com/office/drawing/2014/main" id="{158C7E92-EBE6-47ED-9C5E-8528DAA7D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527802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68</xdr:row>
      <xdr:rowOff>68889</xdr:rowOff>
    </xdr:from>
    <xdr:ext cx="555102" cy="665031"/>
    <xdr:pic>
      <xdr:nvPicPr>
        <xdr:cNvPr id="727" name="Picture 726">
          <a:extLst>
            <a:ext uri="{FF2B5EF4-FFF2-40B4-BE49-F238E27FC236}">
              <a16:creationId xmlns:a16="http://schemas.microsoft.com/office/drawing/2014/main" id="{35DC1D98-A33F-4A4F-8587-524D17A735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519801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67</xdr:row>
      <xdr:rowOff>68889</xdr:rowOff>
    </xdr:from>
    <xdr:ext cx="555102" cy="665031"/>
    <xdr:pic>
      <xdr:nvPicPr>
        <xdr:cNvPr id="728" name="Picture 727">
          <a:extLst>
            <a:ext uri="{FF2B5EF4-FFF2-40B4-BE49-F238E27FC236}">
              <a16:creationId xmlns:a16="http://schemas.microsoft.com/office/drawing/2014/main" id="{FA11685D-CFD8-4959-A421-E3B63A70F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51180039"/>
          <a:ext cx="555102" cy="665031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70</xdr:row>
      <xdr:rowOff>150953</xdr:rowOff>
    </xdr:from>
    <xdr:ext cx="551827" cy="669012"/>
    <xdr:pic>
      <xdr:nvPicPr>
        <xdr:cNvPr id="751" name="Picture 750">
          <a:extLst>
            <a:ext uri="{FF2B5EF4-FFF2-40B4-BE49-F238E27FC236}">
              <a16:creationId xmlns:a16="http://schemas.microsoft.com/office/drawing/2014/main" id="{300066D3-05FD-40D1-8D5C-050697B67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9806028"/>
          <a:ext cx="551827" cy="669012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71</xdr:row>
      <xdr:rowOff>64363</xdr:rowOff>
    </xdr:from>
    <xdr:ext cx="551827" cy="669012"/>
    <xdr:pic>
      <xdr:nvPicPr>
        <xdr:cNvPr id="752" name="Picture 751">
          <a:extLst>
            <a:ext uri="{FF2B5EF4-FFF2-40B4-BE49-F238E27FC236}">
              <a16:creationId xmlns:a16="http://schemas.microsoft.com/office/drawing/2014/main" id="{08D7842B-0180-4282-BD99-ADE807C9F5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60786238"/>
          <a:ext cx="551827" cy="669012"/>
        </a:xfrm>
        <a:prstGeom prst="rect">
          <a:avLst/>
        </a:prstGeom>
      </xdr:spPr>
    </xdr:pic>
    <xdr:clientData/>
  </xdr:oneCellAnchor>
  <xdr:twoCellAnchor editAs="oneCell">
    <xdr:from>
      <xdr:col>4</xdr:col>
      <xdr:colOff>48844</xdr:colOff>
      <xdr:row>72</xdr:row>
      <xdr:rowOff>73921</xdr:rowOff>
    </xdr:from>
    <xdr:to>
      <xdr:col>4</xdr:col>
      <xdr:colOff>603946</xdr:colOff>
      <xdr:row>72</xdr:row>
      <xdr:rowOff>734994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CA60DC7F-1F61-465E-A0B4-50D5B29CE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369" y="61719721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648805</xdr:colOff>
      <xdr:row>72</xdr:row>
      <xdr:rowOff>55217</xdr:rowOff>
    </xdr:from>
    <xdr:to>
      <xdr:col>4</xdr:col>
      <xdr:colOff>1205650</xdr:colOff>
      <xdr:row>72</xdr:row>
      <xdr:rowOff>713078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01EBC7AF-15CD-4A4E-8015-7BBE871EE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30" y="61701017"/>
          <a:ext cx="556845" cy="657861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1270001</xdr:colOff>
      <xdr:row>72</xdr:row>
      <xdr:rowOff>55218</xdr:rowOff>
    </xdr:from>
    <xdr:to>
      <xdr:col>4</xdr:col>
      <xdr:colOff>1827431</xdr:colOff>
      <xdr:row>72</xdr:row>
      <xdr:rowOff>728609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561DE355-F567-41C8-8700-F58E5C18D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6" y="61701018"/>
          <a:ext cx="557430" cy="673391"/>
        </a:xfrm>
        <a:prstGeom prst="rect">
          <a:avLst/>
        </a:prstGeom>
      </xdr:spPr>
    </xdr:pic>
    <xdr:clientData/>
  </xdr:twoCellAnchor>
  <xdr:oneCellAnchor>
    <xdr:from>
      <xdr:col>4</xdr:col>
      <xdr:colOff>48844</xdr:colOff>
      <xdr:row>73</xdr:row>
      <xdr:rowOff>73921</xdr:rowOff>
    </xdr:from>
    <xdr:ext cx="555102" cy="661073"/>
    <xdr:pic>
      <xdr:nvPicPr>
        <xdr:cNvPr id="756" name="Picture 755">
          <a:extLst>
            <a:ext uri="{FF2B5EF4-FFF2-40B4-BE49-F238E27FC236}">
              <a16:creationId xmlns:a16="http://schemas.microsoft.com/office/drawing/2014/main" id="{82BC0903-37CA-4763-B608-A5333946C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369" y="62719846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648805</xdr:colOff>
      <xdr:row>73</xdr:row>
      <xdr:rowOff>55217</xdr:rowOff>
    </xdr:from>
    <xdr:ext cx="556845" cy="657861"/>
    <xdr:pic>
      <xdr:nvPicPr>
        <xdr:cNvPr id="757" name="Picture 756">
          <a:extLst>
            <a:ext uri="{FF2B5EF4-FFF2-40B4-BE49-F238E27FC236}">
              <a16:creationId xmlns:a16="http://schemas.microsoft.com/office/drawing/2014/main" id="{5360B89A-D89C-4FAD-8B58-0B0EFAF0B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30" y="62701142"/>
          <a:ext cx="556845" cy="657861"/>
        </a:xfrm>
        <a:prstGeom prst="rect">
          <a:avLst/>
        </a:prstGeom>
      </xdr:spPr>
    </xdr:pic>
    <xdr:clientData/>
  </xdr:oneCellAnchor>
  <xdr:oneCellAnchor>
    <xdr:from>
      <xdr:col>4</xdr:col>
      <xdr:colOff>1270001</xdr:colOff>
      <xdr:row>73</xdr:row>
      <xdr:rowOff>55218</xdr:rowOff>
    </xdr:from>
    <xdr:ext cx="557430" cy="673391"/>
    <xdr:pic>
      <xdr:nvPicPr>
        <xdr:cNvPr id="758" name="Picture 757">
          <a:extLst>
            <a:ext uri="{FF2B5EF4-FFF2-40B4-BE49-F238E27FC236}">
              <a16:creationId xmlns:a16="http://schemas.microsoft.com/office/drawing/2014/main" id="{C40D7F7E-A3AE-4E3E-8F40-6188E4953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6" y="62701143"/>
          <a:ext cx="557430" cy="673391"/>
        </a:xfrm>
        <a:prstGeom prst="rect">
          <a:avLst/>
        </a:prstGeom>
      </xdr:spPr>
    </xdr:pic>
    <xdr:clientData/>
  </xdr:oneCellAnchor>
  <xdr:oneCellAnchor>
    <xdr:from>
      <xdr:col>4</xdr:col>
      <xdr:colOff>48844</xdr:colOff>
      <xdr:row>74</xdr:row>
      <xdr:rowOff>185251</xdr:rowOff>
    </xdr:from>
    <xdr:ext cx="555102" cy="661073"/>
    <xdr:pic>
      <xdr:nvPicPr>
        <xdr:cNvPr id="759" name="Picture 758">
          <a:extLst>
            <a:ext uri="{FF2B5EF4-FFF2-40B4-BE49-F238E27FC236}">
              <a16:creationId xmlns:a16="http://schemas.microsoft.com/office/drawing/2014/main" id="{75E29ECD-9F37-4099-AE43-F40AA238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369" y="63831301"/>
          <a:ext cx="555102" cy="661073"/>
        </a:xfrm>
        <a:prstGeom prst="rect">
          <a:avLst/>
        </a:prstGeom>
      </xdr:spPr>
    </xdr:pic>
    <xdr:clientData/>
  </xdr:oneCellAnchor>
  <xdr:oneCellAnchor>
    <xdr:from>
      <xdr:col>4</xdr:col>
      <xdr:colOff>648805</xdr:colOff>
      <xdr:row>74</xdr:row>
      <xdr:rowOff>166547</xdr:rowOff>
    </xdr:from>
    <xdr:ext cx="556845" cy="657861"/>
    <xdr:pic>
      <xdr:nvPicPr>
        <xdr:cNvPr id="760" name="Picture 759">
          <a:extLst>
            <a:ext uri="{FF2B5EF4-FFF2-40B4-BE49-F238E27FC236}">
              <a16:creationId xmlns:a16="http://schemas.microsoft.com/office/drawing/2014/main" id="{0E238003-D035-4DA0-B6B0-28AB0C504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30" y="63812597"/>
          <a:ext cx="556845" cy="657861"/>
        </a:xfrm>
        <a:prstGeom prst="rect">
          <a:avLst/>
        </a:prstGeom>
      </xdr:spPr>
    </xdr:pic>
    <xdr:clientData/>
  </xdr:oneCellAnchor>
  <xdr:oneCellAnchor>
    <xdr:from>
      <xdr:col>4</xdr:col>
      <xdr:colOff>1270001</xdr:colOff>
      <xdr:row>74</xdr:row>
      <xdr:rowOff>178918</xdr:rowOff>
    </xdr:from>
    <xdr:ext cx="557430" cy="673391"/>
    <xdr:pic>
      <xdr:nvPicPr>
        <xdr:cNvPr id="761" name="Picture 760">
          <a:extLst>
            <a:ext uri="{FF2B5EF4-FFF2-40B4-BE49-F238E27FC236}">
              <a16:creationId xmlns:a16="http://schemas.microsoft.com/office/drawing/2014/main" id="{5FA217BD-93B3-49BB-A6F5-F7E35713D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6" y="63824968"/>
          <a:ext cx="557430" cy="673391"/>
        </a:xfrm>
        <a:prstGeom prst="rect">
          <a:avLst/>
        </a:prstGeom>
      </xdr:spPr>
    </xdr:pic>
    <xdr:clientData/>
  </xdr:oneCellAnchor>
  <xdr:twoCellAnchor editAs="oneCell">
    <xdr:from>
      <xdr:col>4</xdr:col>
      <xdr:colOff>98960</xdr:colOff>
      <xdr:row>75</xdr:row>
      <xdr:rowOff>222660</xdr:rowOff>
    </xdr:from>
    <xdr:to>
      <xdr:col>4</xdr:col>
      <xdr:colOff>660824</xdr:colOff>
      <xdr:row>75</xdr:row>
      <xdr:rowOff>877329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26F55E48-A774-4D0E-AEDB-050630B929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485" y="64983135"/>
          <a:ext cx="561864" cy="654669"/>
        </a:xfrm>
        <a:prstGeom prst="rect">
          <a:avLst/>
        </a:prstGeom>
      </xdr:spPr>
    </xdr:pic>
    <xdr:clientData/>
  </xdr:twoCellAnchor>
  <xdr:oneCellAnchor>
    <xdr:from>
      <xdr:col>4</xdr:col>
      <xdr:colOff>98960</xdr:colOff>
      <xdr:row>76</xdr:row>
      <xdr:rowOff>222660</xdr:rowOff>
    </xdr:from>
    <xdr:ext cx="561864" cy="654669"/>
    <xdr:pic>
      <xdr:nvPicPr>
        <xdr:cNvPr id="763" name="Picture 762">
          <a:extLst>
            <a:ext uri="{FF2B5EF4-FFF2-40B4-BE49-F238E27FC236}">
              <a16:creationId xmlns:a16="http://schemas.microsoft.com/office/drawing/2014/main" id="{E23BB0BB-B7D6-46B5-9141-30BA4DC37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485" y="66097560"/>
          <a:ext cx="561864" cy="654669"/>
        </a:xfrm>
        <a:prstGeom prst="rect">
          <a:avLst/>
        </a:prstGeom>
      </xdr:spPr>
    </xdr:pic>
    <xdr:clientData/>
  </xdr:oneCellAnchor>
  <xdr:oneCellAnchor>
    <xdr:from>
      <xdr:col>4</xdr:col>
      <xdr:colOff>98960</xdr:colOff>
      <xdr:row>77</xdr:row>
      <xdr:rowOff>222660</xdr:rowOff>
    </xdr:from>
    <xdr:ext cx="561864" cy="654669"/>
    <xdr:pic>
      <xdr:nvPicPr>
        <xdr:cNvPr id="764" name="Picture 763">
          <a:extLst>
            <a:ext uri="{FF2B5EF4-FFF2-40B4-BE49-F238E27FC236}">
              <a16:creationId xmlns:a16="http://schemas.microsoft.com/office/drawing/2014/main" id="{506D2F66-C297-4EEF-AB42-90B8C49F9D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1485" y="67211985"/>
          <a:ext cx="561864" cy="654669"/>
        </a:xfrm>
        <a:prstGeom prst="rect">
          <a:avLst/>
        </a:prstGeom>
      </xdr:spPr>
    </xdr:pic>
    <xdr:clientData/>
  </xdr:oneCellAnchor>
  <xdr:oneCellAnchor>
    <xdr:from>
      <xdr:col>4</xdr:col>
      <xdr:colOff>754570</xdr:colOff>
      <xdr:row>77</xdr:row>
      <xdr:rowOff>235030</xdr:rowOff>
    </xdr:from>
    <xdr:ext cx="557430" cy="673391"/>
    <xdr:pic>
      <xdr:nvPicPr>
        <xdr:cNvPr id="765" name="Picture 764">
          <a:extLst>
            <a:ext uri="{FF2B5EF4-FFF2-40B4-BE49-F238E27FC236}">
              <a16:creationId xmlns:a16="http://schemas.microsoft.com/office/drawing/2014/main" id="{09C03293-752F-48E3-AFC6-52518C86DA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7095" y="67224355"/>
          <a:ext cx="557430" cy="673391"/>
        </a:xfrm>
        <a:prstGeom prst="rect">
          <a:avLst/>
        </a:prstGeom>
      </xdr:spPr>
    </xdr:pic>
    <xdr:clientData/>
  </xdr:oneCellAnchor>
  <xdr:twoCellAnchor editAs="oneCell">
    <xdr:from>
      <xdr:col>4</xdr:col>
      <xdr:colOff>48844</xdr:colOff>
      <xdr:row>79</xdr:row>
      <xdr:rowOff>201568</xdr:rowOff>
    </xdr:from>
    <xdr:to>
      <xdr:col>4</xdr:col>
      <xdr:colOff>603946</xdr:colOff>
      <xdr:row>79</xdr:row>
      <xdr:rowOff>867342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25722175-5FAD-46C5-9AD1-623A7396C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369" y="69419743"/>
          <a:ext cx="555102" cy="665774"/>
        </a:xfrm>
        <a:prstGeom prst="rect">
          <a:avLst/>
        </a:prstGeom>
      </xdr:spPr>
    </xdr:pic>
    <xdr:clientData/>
  </xdr:twoCellAnchor>
  <xdr:twoCellAnchor editAs="oneCell">
    <xdr:from>
      <xdr:col>4</xdr:col>
      <xdr:colOff>648805</xdr:colOff>
      <xdr:row>79</xdr:row>
      <xdr:rowOff>195234</xdr:rowOff>
    </xdr:from>
    <xdr:to>
      <xdr:col>4</xdr:col>
      <xdr:colOff>1205650</xdr:colOff>
      <xdr:row>79</xdr:row>
      <xdr:rowOff>853095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B056CB03-3016-4FD5-9E26-5177B7F3F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30" y="69413409"/>
          <a:ext cx="556845" cy="657861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1270001</xdr:colOff>
      <xdr:row>79</xdr:row>
      <xdr:rowOff>193801</xdr:rowOff>
    </xdr:from>
    <xdr:to>
      <xdr:col>4</xdr:col>
      <xdr:colOff>1827431</xdr:colOff>
      <xdr:row>79</xdr:row>
      <xdr:rowOff>867192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30F328CB-1D0E-4464-B7F1-0C92778057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6" y="69411976"/>
          <a:ext cx="557430" cy="673391"/>
        </a:xfrm>
        <a:prstGeom prst="rect">
          <a:avLst/>
        </a:prstGeom>
      </xdr:spPr>
    </xdr:pic>
    <xdr:clientData/>
  </xdr:twoCellAnchor>
  <xdr:twoCellAnchor editAs="oneCell">
    <xdr:from>
      <xdr:col>4</xdr:col>
      <xdr:colOff>98326</xdr:colOff>
      <xdr:row>80</xdr:row>
      <xdr:rowOff>55512</xdr:rowOff>
    </xdr:from>
    <xdr:to>
      <xdr:col>4</xdr:col>
      <xdr:colOff>673827</xdr:colOff>
      <xdr:row>80</xdr:row>
      <xdr:rowOff>729318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4B8F0711-EEBE-4DB3-B5CD-8E75B7046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0851" y="70283337"/>
          <a:ext cx="575501" cy="673806"/>
        </a:xfrm>
        <a:prstGeom prst="rect">
          <a:avLst/>
        </a:prstGeom>
      </xdr:spPr>
    </xdr:pic>
    <xdr:clientData/>
  </xdr:twoCellAnchor>
  <xdr:oneCellAnchor>
    <xdr:from>
      <xdr:col>4</xdr:col>
      <xdr:colOff>48844</xdr:colOff>
      <xdr:row>78</xdr:row>
      <xdr:rowOff>201568</xdr:rowOff>
    </xdr:from>
    <xdr:ext cx="555102" cy="665774"/>
    <xdr:pic>
      <xdr:nvPicPr>
        <xdr:cNvPr id="770" name="Picture 769">
          <a:extLst>
            <a:ext uri="{FF2B5EF4-FFF2-40B4-BE49-F238E27FC236}">
              <a16:creationId xmlns:a16="http://schemas.microsoft.com/office/drawing/2014/main" id="{D58936BF-B421-4A89-829B-570EBE43BA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1369" y="68305318"/>
          <a:ext cx="555102" cy="665774"/>
        </a:xfrm>
        <a:prstGeom prst="rect">
          <a:avLst/>
        </a:prstGeom>
      </xdr:spPr>
    </xdr:pic>
    <xdr:clientData/>
  </xdr:oneCellAnchor>
  <xdr:oneCellAnchor>
    <xdr:from>
      <xdr:col>4</xdr:col>
      <xdr:colOff>648805</xdr:colOff>
      <xdr:row>78</xdr:row>
      <xdr:rowOff>195234</xdr:rowOff>
    </xdr:from>
    <xdr:ext cx="556845" cy="657861"/>
    <xdr:pic>
      <xdr:nvPicPr>
        <xdr:cNvPr id="771" name="Picture 770">
          <a:extLst>
            <a:ext uri="{FF2B5EF4-FFF2-40B4-BE49-F238E27FC236}">
              <a16:creationId xmlns:a16="http://schemas.microsoft.com/office/drawing/2014/main" id="{A56BD434-13E5-435F-B1D2-F56FF3A41E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30" y="68298984"/>
          <a:ext cx="556845" cy="657861"/>
        </a:xfrm>
        <a:prstGeom prst="rect">
          <a:avLst/>
        </a:prstGeom>
      </xdr:spPr>
    </xdr:pic>
    <xdr:clientData/>
  </xdr:oneCellAnchor>
  <xdr:oneCellAnchor>
    <xdr:from>
      <xdr:col>4</xdr:col>
      <xdr:colOff>1270001</xdr:colOff>
      <xdr:row>78</xdr:row>
      <xdr:rowOff>193801</xdr:rowOff>
    </xdr:from>
    <xdr:ext cx="557430" cy="673391"/>
    <xdr:pic>
      <xdr:nvPicPr>
        <xdr:cNvPr id="772" name="Picture 771">
          <a:extLst>
            <a:ext uri="{FF2B5EF4-FFF2-40B4-BE49-F238E27FC236}">
              <a16:creationId xmlns:a16="http://schemas.microsoft.com/office/drawing/2014/main" id="{A1A3CBF8-B3FB-49FC-9794-9414727099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6" y="68297551"/>
          <a:ext cx="557430" cy="673391"/>
        </a:xfrm>
        <a:prstGeom prst="rect">
          <a:avLst/>
        </a:prstGeom>
      </xdr:spPr>
    </xdr:pic>
    <xdr:clientData/>
  </xdr:oneCellAnchor>
  <xdr:oneCellAnchor>
    <xdr:from>
      <xdr:col>4</xdr:col>
      <xdr:colOff>109261</xdr:colOff>
      <xdr:row>81</xdr:row>
      <xdr:rowOff>68889</xdr:rowOff>
    </xdr:from>
    <xdr:ext cx="555102" cy="665031"/>
    <xdr:pic>
      <xdr:nvPicPr>
        <xdr:cNvPr id="773" name="Picture 772">
          <a:extLst>
            <a:ext uri="{FF2B5EF4-FFF2-40B4-BE49-F238E27FC236}">
              <a16:creationId xmlns:a16="http://schemas.microsoft.com/office/drawing/2014/main" id="{371C5697-B228-4F70-9BAA-5C7478DFA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1786" y="50408514"/>
          <a:ext cx="555102" cy="665031"/>
        </a:xfrm>
        <a:prstGeom prst="rect">
          <a:avLst/>
        </a:prstGeom>
      </xdr:spPr>
    </xdr:pic>
    <xdr:clientData/>
  </xdr:oneCellAnchor>
  <xdr:twoCellAnchor editAs="oneCell">
    <xdr:from>
      <xdr:col>4</xdr:col>
      <xdr:colOff>84521</xdr:colOff>
      <xdr:row>82</xdr:row>
      <xdr:rowOff>104563</xdr:rowOff>
    </xdr:from>
    <xdr:to>
      <xdr:col>4</xdr:col>
      <xdr:colOff>639623</xdr:colOff>
      <xdr:row>82</xdr:row>
      <xdr:rowOff>761059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84F4D36F-7901-4F16-B8CC-C6900E040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7046" y="53816038"/>
          <a:ext cx="555102" cy="656496"/>
        </a:xfrm>
        <a:prstGeom prst="rect">
          <a:avLst/>
        </a:prstGeom>
      </xdr:spPr>
    </xdr:pic>
    <xdr:clientData/>
  </xdr:twoCellAnchor>
  <xdr:twoCellAnchor editAs="oneCell">
    <xdr:from>
      <xdr:col>4</xdr:col>
      <xdr:colOff>720156</xdr:colOff>
      <xdr:row>82</xdr:row>
      <xdr:rowOff>121910</xdr:rowOff>
    </xdr:from>
    <xdr:to>
      <xdr:col>4</xdr:col>
      <xdr:colOff>1282020</xdr:colOff>
      <xdr:row>82</xdr:row>
      <xdr:rowOff>776579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DE6CE4BF-9443-451A-A1D2-698378784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82681" y="53833385"/>
          <a:ext cx="561864" cy="654669"/>
        </a:xfrm>
        <a:prstGeom prst="rect">
          <a:avLst/>
        </a:prstGeom>
      </xdr:spPr>
    </xdr:pic>
    <xdr:clientData/>
  </xdr:twoCellAnchor>
  <xdr:twoCellAnchor editAs="oneCell">
    <xdr:from>
      <xdr:col>4</xdr:col>
      <xdr:colOff>118502</xdr:colOff>
      <xdr:row>83</xdr:row>
      <xdr:rowOff>64363</xdr:rowOff>
    </xdr:from>
    <xdr:to>
      <xdr:col>4</xdr:col>
      <xdr:colOff>670329</xdr:colOff>
      <xdr:row>83</xdr:row>
      <xdr:rowOff>733375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924FF55B-C60C-49E5-848D-C7D6D1C782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4699763"/>
          <a:ext cx="551827" cy="669012"/>
        </a:xfrm>
        <a:prstGeom prst="rect">
          <a:avLst/>
        </a:prstGeom>
      </xdr:spPr>
    </xdr:pic>
    <xdr:clientData/>
  </xdr:twoCellAnchor>
  <xdr:oneCellAnchor>
    <xdr:from>
      <xdr:col>4</xdr:col>
      <xdr:colOff>118502</xdr:colOff>
      <xdr:row>84</xdr:row>
      <xdr:rowOff>64363</xdr:rowOff>
    </xdr:from>
    <xdr:ext cx="551827" cy="669012"/>
    <xdr:pic>
      <xdr:nvPicPr>
        <xdr:cNvPr id="777" name="Picture 776">
          <a:extLst>
            <a:ext uri="{FF2B5EF4-FFF2-40B4-BE49-F238E27FC236}">
              <a16:creationId xmlns:a16="http://schemas.microsoft.com/office/drawing/2014/main" id="{D9736D69-7498-490D-9848-0DF30CBBB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5490338"/>
          <a:ext cx="551827" cy="669012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85</xdr:row>
      <xdr:rowOff>64363</xdr:rowOff>
    </xdr:from>
    <xdr:ext cx="551827" cy="669012"/>
    <xdr:pic>
      <xdr:nvPicPr>
        <xdr:cNvPr id="778" name="Picture 777">
          <a:extLst>
            <a:ext uri="{FF2B5EF4-FFF2-40B4-BE49-F238E27FC236}">
              <a16:creationId xmlns:a16="http://schemas.microsoft.com/office/drawing/2014/main" id="{E2713CC4-0499-4AB6-936D-BF593C0B9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6242813"/>
          <a:ext cx="551827" cy="669012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86</xdr:row>
      <xdr:rowOff>64363</xdr:rowOff>
    </xdr:from>
    <xdr:ext cx="551827" cy="669012"/>
    <xdr:pic>
      <xdr:nvPicPr>
        <xdr:cNvPr id="779" name="Picture 778">
          <a:extLst>
            <a:ext uri="{FF2B5EF4-FFF2-40B4-BE49-F238E27FC236}">
              <a16:creationId xmlns:a16="http://schemas.microsoft.com/office/drawing/2014/main" id="{E589581E-DCE0-49E0-BB6E-EE3C4BB2AF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7119113"/>
          <a:ext cx="551827" cy="669012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87</xdr:row>
      <xdr:rowOff>64363</xdr:rowOff>
    </xdr:from>
    <xdr:ext cx="551827" cy="669012"/>
    <xdr:pic>
      <xdr:nvPicPr>
        <xdr:cNvPr id="780" name="Picture 779">
          <a:extLst>
            <a:ext uri="{FF2B5EF4-FFF2-40B4-BE49-F238E27FC236}">
              <a16:creationId xmlns:a16="http://schemas.microsoft.com/office/drawing/2014/main" id="{14B85660-2A60-4FDB-B163-97A792923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7871588"/>
          <a:ext cx="551827" cy="669012"/>
        </a:xfrm>
        <a:prstGeom prst="rect">
          <a:avLst/>
        </a:prstGeom>
      </xdr:spPr>
    </xdr:pic>
    <xdr:clientData/>
  </xdr:oneCellAnchor>
  <xdr:oneCellAnchor>
    <xdr:from>
      <xdr:col>4</xdr:col>
      <xdr:colOff>118502</xdr:colOff>
      <xdr:row>88</xdr:row>
      <xdr:rowOff>64363</xdr:rowOff>
    </xdr:from>
    <xdr:ext cx="551827" cy="669012"/>
    <xdr:pic>
      <xdr:nvPicPr>
        <xdr:cNvPr id="781" name="Picture 780">
          <a:extLst>
            <a:ext uri="{FF2B5EF4-FFF2-40B4-BE49-F238E27FC236}">
              <a16:creationId xmlns:a16="http://schemas.microsoft.com/office/drawing/2014/main" id="{27ECB228-11C3-46AE-9C9B-3ACE866A90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81027" y="58776463"/>
          <a:ext cx="551827" cy="669012"/>
        </a:xfrm>
        <a:prstGeom prst="rect">
          <a:avLst/>
        </a:prstGeom>
      </xdr:spPr>
    </xdr:pic>
    <xdr:clientData/>
  </xdr:oneCellAnchor>
  <xdr:twoCellAnchor editAs="oneCell">
    <xdr:from>
      <xdr:col>4</xdr:col>
      <xdr:colOff>55218</xdr:colOff>
      <xdr:row>93</xdr:row>
      <xdr:rowOff>210293</xdr:rowOff>
    </xdr:from>
    <xdr:to>
      <xdr:col>4</xdr:col>
      <xdr:colOff>610320</xdr:colOff>
      <xdr:row>93</xdr:row>
      <xdr:rowOff>937161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C6C9DC7B-C386-4EE3-889F-DAA55024F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73057493"/>
          <a:ext cx="555102" cy="726868"/>
        </a:xfrm>
        <a:prstGeom prst="rect">
          <a:avLst/>
        </a:prstGeom>
      </xdr:spPr>
    </xdr:pic>
    <xdr:clientData/>
  </xdr:twoCellAnchor>
  <xdr:twoCellAnchor editAs="oneCell">
    <xdr:from>
      <xdr:col>4</xdr:col>
      <xdr:colOff>676413</xdr:colOff>
      <xdr:row>93</xdr:row>
      <xdr:rowOff>210292</xdr:rowOff>
    </xdr:from>
    <xdr:to>
      <xdr:col>4</xdr:col>
      <xdr:colOff>1216861</xdr:colOff>
      <xdr:row>93</xdr:row>
      <xdr:rowOff>919779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4DE1281F-6F0F-415E-9FBF-2234DFACC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938" y="73057492"/>
          <a:ext cx="540448" cy="709487"/>
        </a:xfrm>
        <a:prstGeom prst="rect">
          <a:avLst/>
        </a:prstGeom>
      </xdr:spPr>
    </xdr:pic>
    <xdr:clientData/>
  </xdr:twoCellAnchor>
  <xdr:twoCellAnchor editAs="oneCell">
    <xdr:from>
      <xdr:col>4</xdr:col>
      <xdr:colOff>1269999</xdr:colOff>
      <xdr:row>93</xdr:row>
      <xdr:rowOff>234674</xdr:rowOff>
    </xdr:from>
    <xdr:to>
      <xdr:col>4</xdr:col>
      <xdr:colOff>1845500</xdr:colOff>
      <xdr:row>93</xdr:row>
      <xdr:rowOff>904522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BA82CF8C-5B25-45FC-B405-47BB08BE3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4" y="73081874"/>
          <a:ext cx="575501" cy="669848"/>
        </a:xfrm>
        <a:prstGeom prst="rect">
          <a:avLst/>
        </a:prstGeom>
      </xdr:spPr>
    </xdr:pic>
    <xdr:clientData/>
  </xdr:twoCellAnchor>
  <xdr:twoCellAnchor editAs="oneCell">
    <xdr:from>
      <xdr:col>4</xdr:col>
      <xdr:colOff>1918804</xdr:colOff>
      <xdr:row>93</xdr:row>
      <xdr:rowOff>234673</xdr:rowOff>
    </xdr:from>
    <xdr:to>
      <xdr:col>4</xdr:col>
      <xdr:colOff>2463868</xdr:colOff>
      <xdr:row>93</xdr:row>
      <xdr:rowOff>889243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27D5922A-B2BE-47F5-96F2-DAE2EC70E9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329" y="73081873"/>
          <a:ext cx="545064" cy="654570"/>
        </a:xfrm>
        <a:prstGeom prst="rect">
          <a:avLst/>
        </a:prstGeom>
      </xdr:spPr>
    </xdr:pic>
    <xdr:clientData/>
  </xdr:twoCellAnchor>
  <xdr:oneCellAnchor>
    <xdr:from>
      <xdr:col>4</xdr:col>
      <xdr:colOff>55218</xdr:colOff>
      <xdr:row>94</xdr:row>
      <xdr:rowOff>49483</xdr:rowOff>
    </xdr:from>
    <xdr:ext cx="555102" cy="726868"/>
    <xdr:pic>
      <xdr:nvPicPr>
        <xdr:cNvPr id="874" name="Picture 873">
          <a:extLst>
            <a:ext uri="{FF2B5EF4-FFF2-40B4-BE49-F238E27FC236}">
              <a16:creationId xmlns:a16="http://schemas.microsoft.com/office/drawing/2014/main" id="{1745DDEC-F59B-4C4A-9D0E-CEDB09FBD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73982533"/>
          <a:ext cx="555102" cy="726868"/>
        </a:xfrm>
        <a:prstGeom prst="rect">
          <a:avLst/>
        </a:prstGeom>
      </xdr:spPr>
    </xdr:pic>
    <xdr:clientData/>
  </xdr:oneCellAnchor>
  <xdr:oneCellAnchor>
    <xdr:from>
      <xdr:col>4</xdr:col>
      <xdr:colOff>676413</xdr:colOff>
      <xdr:row>94</xdr:row>
      <xdr:rowOff>74222</xdr:rowOff>
    </xdr:from>
    <xdr:ext cx="540448" cy="709487"/>
    <xdr:pic>
      <xdr:nvPicPr>
        <xdr:cNvPr id="875" name="Picture 874">
          <a:extLst>
            <a:ext uri="{FF2B5EF4-FFF2-40B4-BE49-F238E27FC236}">
              <a16:creationId xmlns:a16="http://schemas.microsoft.com/office/drawing/2014/main" id="{7F1B577E-0666-495E-8255-C9BE8A032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938" y="74007272"/>
          <a:ext cx="540448" cy="709487"/>
        </a:xfrm>
        <a:prstGeom prst="rect">
          <a:avLst/>
        </a:prstGeom>
      </xdr:spPr>
    </xdr:pic>
    <xdr:clientData/>
  </xdr:oneCellAnchor>
  <xdr:oneCellAnchor>
    <xdr:from>
      <xdr:col>4</xdr:col>
      <xdr:colOff>1269999</xdr:colOff>
      <xdr:row>94</xdr:row>
      <xdr:rowOff>73864</xdr:rowOff>
    </xdr:from>
    <xdr:ext cx="575501" cy="669848"/>
    <xdr:pic>
      <xdr:nvPicPr>
        <xdr:cNvPr id="876" name="Picture 875">
          <a:extLst>
            <a:ext uri="{FF2B5EF4-FFF2-40B4-BE49-F238E27FC236}">
              <a16:creationId xmlns:a16="http://schemas.microsoft.com/office/drawing/2014/main" id="{48C2C472-D859-413F-BFCF-6355BF3FDB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4" y="74006914"/>
          <a:ext cx="575501" cy="669848"/>
        </a:xfrm>
        <a:prstGeom prst="rect">
          <a:avLst/>
        </a:prstGeom>
      </xdr:spPr>
    </xdr:pic>
    <xdr:clientData/>
  </xdr:oneCellAnchor>
  <xdr:oneCellAnchor>
    <xdr:from>
      <xdr:col>4</xdr:col>
      <xdr:colOff>1918804</xdr:colOff>
      <xdr:row>94</xdr:row>
      <xdr:rowOff>61493</xdr:rowOff>
    </xdr:from>
    <xdr:ext cx="545064" cy="654570"/>
    <xdr:pic>
      <xdr:nvPicPr>
        <xdr:cNvPr id="877" name="Picture 876">
          <a:extLst>
            <a:ext uri="{FF2B5EF4-FFF2-40B4-BE49-F238E27FC236}">
              <a16:creationId xmlns:a16="http://schemas.microsoft.com/office/drawing/2014/main" id="{E929F59C-31FB-44DC-A8D9-13A1B4CA5F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329" y="73994543"/>
          <a:ext cx="545064" cy="654570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95</xdr:row>
      <xdr:rowOff>49483</xdr:rowOff>
    </xdr:from>
    <xdr:ext cx="555102" cy="726868"/>
    <xdr:pic>
      <xdr:nvPicPr>
        <xdr:cNvPr id="878" name="Picture 877">
          <a:extLst>
            <a:ext uri="{FF2B5EF4-FFF2-40B4-BE49-F238E27FC236}">
              <a16:creationId xmlns:a16="http://schemas.microsoft.com/office/drawing/2014/main" id="{3CD7312F-A789-4E9C-B959-19D9B0C422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74782633"/>
          <a:ext cx="555102" cy="726868"/>
        </a:xfrm>
        <a:prstGeom prst="rect">
          <a:avLst/>
        </a:prstGeom>
      </xdr:spPr>
    </xdr:pic>
    <xdr:clientData/>
  </xdr:oneCellAnchor>
  <xdr:oneCellAnchor>
    <xdr:from>
      <xdr:col>4</xdr:col>
      <xdr:colOff>676413</xdr:colOff>
      <xdr:row>95</xdr:row>
      <xdr:rowOff>74222</xdr:rowOff>
    </xdr:from>
    <xdr:ext cx="540448" cy="709487"/>
    <xdr:pic>
      <xdr:nvPicPr>
        <xdr:cNvPr id="879" name="Picture 878">
          <a:extLst>
            <a:ext uri="{FF2B5EF4-FFF2-40B4-BE49-F238E27FC236}">
              <a16:creationId xmlns:a16="http://schemas.microsoft.com/office/drawing/2014/main" id="{5AEC16D3-DB3B-4842-9194-09F0C94168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938" y="74807372"/>
          <a:ext cx="540448" cy="709487"/>
        </a:xfrm>
        <a:prstGeom prst="rect">
          <a:avLst/>
        </a:prstGeom>
      </xdr:spPr>
    </xdr:pic>
    <xdr:clientData/>
  </xdr:oneCellAnchor>
  <xdr:oneCellAnchor>
    <xdr:from>
      <xdr:col>4</xdr:col>
      <xdr:colOff>1269999</xdr:colOff>
      <xdr:row>95</xdr:row>
      <xdr:rowOff>73864</xdr:rowOff>
    </xdr:from>
    <xdr:ext cx="575501" cy="669848"/>
    <xdr:pic>
      <xdr:nvPicPr>
        <xdr:cNvPr id="880" name="Picture 879">
          <a:extLst>
            <a:ext uri="{FF2B5EF4-FFF2-40B4-BE49-F238E27FC236}">
              <a16:creationId xmlns:a16="http://schemas.microsoft.com/office/drawing/2014/main" id="{BA2F73C2-29BF-4C4A-B6C1-5D9B4BFF0F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4" y="74807014"/>
          <a:ext cx="575501" cy="669848"/>
        </a:xfrm>
        <a:prstGeom prst="rect">
          <a:avLst/>
        </a:prstGeom>
      </xdr:spPr>
    </xdr:pic>
    <xdr:clientData/>
  </xdr:oneCellAnchor>
  <xdr:oneCellAnchor>
    <xdr:from>
      <xdr:col>4</xdr:col>
      <xdr:colOff>1918804</xdr:colOff>
      <xdr:row>95</xdr:row>
      <xdr:rowOff>61493</xdr:rowOff>
    </xdr:from>
    <xdr:ext cx="545064" cy="654570"/>
    <xdr:pic>
      <xdr:nvPicPr>
        <xdr:cNvPr id="881" name="Picture 880">
          <a:extLst>
            <a:ext uri="{FF2B5EF4-FFF2-40B4-BE49-F238E27FC236}">
              <a16:creationId xmlns:a16="http://schemas.microsoft.com/office/drawing/2014/main" id="{A8D090F5-5427-4F47-8D78-F6E74E21A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329" y="74794643"/>
          <a:ext cx="545064" cy="654570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96</xdr:row>
      <xdr:rowOff>210293</xdr:rowOff>
    </xdr:from>
    <xdr:ext cx="555102" cy="726868"/>
    <xdr:pic>
      <xdr:nvPicPr>
        <xdr:cNvPr id="882" name="Picture 881">
          <a:extLst>
            <a:ext uri="{FF2B5EF4-FFF2-40B4-BE49-F238E27FC236}">
              <a16:creationId xmlns:a16="http://schemas.microsoft.com/office/drawing/2014/main" id="{24FD757F-C104-4DA2-AA01-1ED08A094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75743543"/>
          <a:ext cx="555102" cy="726868"/>
        </a:xfrm>
        <a:prstGeom prst="rect">
          <a:avLst/>
        </a:prstGeom>
      </xdr:spPr>
    </xdr:pic>
    <xdr:clientData/>
  </xdr:oneCellAnchor>
  <xdr:oneCellAnchor>
    <xdr:from>
      <xdr:col>4</xdr:col>
      <xdr:colOff>676413</xdr:colOff>
      <xdr:row>96</xdr:row>
      <xdr:rowOff>222662</xdr:rowOff>
    </xdr:from>
    <xdr:ext cx="540448" cy="709487"/>
    <xdr:pic>
      <xdr:nvPicPr>
        <xdr:cNvPr id="883" name="Picture 882">
          <a:extLst>
            <a:ext uri="{FF2B5EF4-FFF2-40B4-BE49-F238E27FC236}">
              <a16:creationId xmlns:a16="http://schemas.microsoft.com/office/drawing/2014/main" id="{A96E16D4-8B49-4D00-A2D7-8587416D6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38938" y="75755912"/>
          <a:ext cx="540448" cy="709487"/>
        </a:xfrm>
        <a:prstGeom prst="rect">
          <a:avLst/>
        </a:prstGeom>
      </xdr:spPr>
    </xdr:pic>
    <xdr:clientData/>
  </xdr:oneCellAnchor>
  <xdr:oneCellAnchor>
    <xdr:from>
      <xdr:col>4</xdr:col>
      <xdr:colOff>1269999</xdr:colOff>
      <xdr:row>96</xdr:row>
      <xdr:rowOff>222304</xdr:rowOff>
    </xdr:from>
    <xdr:ext cx="575501" cy="669848"/>
    <xdr:pic>
      <xdr:nvPicPr>
        <xdr:cNvPr id="884" name="Picture 883">
          <a:extLst>
            <a:ext uri="{FF2B5EF4-FFF2-40B4-BE49-F238E27FC236}">
              <a16:creationId xmlns:a16="http://schemas.microsoft.com/office/drawing/2014/main" id="{20C15A10-E9CF-485D-B336-E978620C4C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4" y="75755554"/>
          <a:ext cx="575501" cy="669848"/>
        </a:xfrm>
        <a:prstGeom prst="rect">
          <a:avLst/>
        </a:prstGeom>
      </xdr:spPr>
    </xdr:pic>
    <xdr:clientData/>
  </xdr:oneCellAnchor>
  <xdr:oneCellAnchor>
    <xdr:from>
      <xdr:col>4</xdr:col>
      <xdr:colOff>1918804</xdr:colOff>
      <xdr:row>96</xdr:row>
      <xdr:rowOff>222303</xdr:rowOff>
    </xdr:from>
    <xdr:ext cx="545064" cy="654570"/>
    <xdr:pic>
      <xdr:nvPicPr>
        <xdr:cNvPr id="885" name="Picture 884">
          <a:extLst>
            <a:ext uri="{FF2B5EF4-FFF2-40B4-BE49-F238E27FC236}">
              <a16:creationId xmlns:a16="http://schemas.microsoft.com/office/drawing/2014/main" id="{522EFA6B-83AE-47FF-AE13-624577B2F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81329" y="75755553"/>
          <a:ext cx="545064" cy="654570"/>
        </a:xfrm>
        <a:prstGeom prst="rect">
          <a:avLst/>
        </a:prstGeom>
      </xdr:spPr>
    </xdr:pic>
    <xdr:clientData/>
  </xdr:oneCellAnchor>
  <xdr:oneCellAnchor>
    <xdr:from>
      <xdr:col>4</xdr:col>
      <xdr:colOff>729844</xdr:colOff>
      <xdr:row>97</xdr:row>
      <xdr:rowOff>247400</xdr:rowOff>
    </xdr:from>
    <xdr:ext cx="575501" cy="669848"/>
    <xdr:pic>
      <xdr:nvPicPr>
        <xdr:cNvPr id="886" name="Picture 885">
          <a:extLst>
            <a:ext uri="{FF2B5EF4-FFF2-40B4-BE49-F238E27FC236}">
              <a16:creationId xmlns:a16="http://schemas.microsoft.com/office/drawing/2014/main" id="{8A1120BE-6674-4AC2-B40F-29C7B90290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2369" y="77057000"/>
          <a:ext cx="575501" cy="669848"/>
        </a:xfrm>
        <a:prstGeom prst="rect">
          <a:avLst/>
        </a:prstGeom>
      </xdr:spPr>
    </xdr:pic>
    <xdr:clientData/>
  </xdr:oneCellAnchor>
  <xdr:twoCellAnchor editAs="oneCell">
    <xdr:from>
      <xdr:col>4</xdr:col>
      <xdr:colOff>98961</xdr:colOff>
      <xdr:row>97</xdr:row>
      <xdr:rowOff>247401</xdr:rowOff>
    </xdr:from>
    <xdr:to>
      <xdr:col>4</xdr:col>
      <xdr:colOff>677957</xdr:colOff>
      <xdr:row>97</xdr:row>
      <xdr:rowOff>940129</xdr:rowOff>
    </xdr:to>
    <xdr:pic>
      <xdr:nvPicPr>
        <xdr:cNvPr id="887" name="Picture 886" descr="SDGs Tujuan 5 – Kesetaraan Gender (Gender Equality) – Badan ...">
          <a:extLst>
            <a:ext uri="{FF2B5EF4-FFF2-40B4-BE49-F238E27FC236}">
              <a16:creationId xmlns:a16="http://schemas.microsoft.com/office/drawing/2014/main" id="{41A7C69B-C53C-4F43-9047-15D3E595AC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1486" y="77057001"/>
          <a:ext cx="578996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41414</xdr:colOff>
      <xdr:row>98</xdr:row>
      <xdr:rowOff>110434</xdr:rowOff>
    </xdr:from>
    <xdr:to>
      <xdr:col>4</xdr:col>
      <xdr:colOff>596516</xdr:colOff>
      <xdr:row>98</xdr:row>
      <xdr:rowOff>714357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70A090F0-B766-4A2F-86A2-64CCFB912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78234484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98</xdr:row>
      <xdr:rowOff>110434</xdr:rowOff>
    </xdr:from>
    <xdr:to>
      <xdr:col>4</xdr:col>
      <xdr:colOff>1175448</xdr:colOff>
      <xdr:row>98</xdr:row>
      <xdr:rowOff>692697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7C552571-B05F-4BB7-A5A2-91A5C253CF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8234484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98</xdr:row>
      <xdr:rowOff>96630</xdr:rowOff>
    </xdr:from>
    <xdr:to>
      <xdr:col>4</xdr:col>
      <xdr:colOff>1790283</xdr:colOff>
      <xdr:row>98</xdr:row>
      <xdr:rowOff>737903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BDB078F3-F232-4660-B5BD-656750319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78220680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98</xdr:row>
      <xdr:rowOff>110434</xdr:rowOff>
    </xdr:from>
    <xdr:to>
      <xdr:col>4</xdr:col>
      <xdr:colOff>2381042</xdr:colOff>
      <xdr:row>98</xdr:row>
      <xdr:rowOff>736429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B4C254C6-EA28-49E1-B5FC-967EAD66D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78234484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99</xdr:row>
      <xdr:rowOff>110434</xdr:rowOff>
    </xdr:from>
    <xdr:to>
      <xdr:col>4</xdr:col>
      <xdr:colOff>596516</xdr:colOff>
      <xdr:row>99</xdr:row>
      <xdr:rowOff>714357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58B5CA88-823F-4A95-BA71-AF5C1C7805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79044109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99</xdr:row>
      <xdr:rowOff>124238</xdr:rowOff>
    </xdr:from>
    <xdr:to>
      <xdr:col>4</xdr:col>
      <xdr:colOff>1175448</xdr:colOff>
      <xdr:row>99</xdr:row>
      <xdr:rowOff>706501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3F980760-D482-4DC8-BC7E-3BB7F95F54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9057913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99</xdr:row>
      <xdr:rowOff>96630</xdr:rowOff>
    </xdr:from>
    <xdr:to>
      <xdr:col>4</xdr:col>
      <xdr:colOff>1790283</xdr:colOff>
      <xdr:row>99</xdr:row>
      <xdr:rowOff>737903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E3BFE091-3166-48F5-BBC4-A64EA969D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79030305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99</xdr:row>
      <xdr:rowOff>110434</xdr:rowOff>
    </xdr:from>
    <xdr:to>
      <xdr:col>4</xdr:col>
      <xdr:colOff>2381042</xdr:colOff>
      <xdr:row>99</xdr:row>
      <xdr:rowOff>736429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BB54F102-FA25-4162-9208-34EA2C129A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79044109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100</xdr:row>
      <xdr:rowOff>110434</xdr:rowOff>
    </xdr:from>
    <xdr:to>
      <xdr:col>4</xdr:col>
      <xdr:colOff>596516</xdr:colOff>
      <xdr:row>100</xdr:row>
      <xdr:rowOff>714357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444F25BD-3FF6-4002-B6FF-84111BF2FA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79891834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100</xdr:row>
      <xdr:rowOff>124238</xdr:rowOff>
    </xdr:from>
    <xdr:to>
      <xdr:col>4</xdr:col>
      <xdr:colOff>1175448</xdr:colOff>
      <xdr:row>100</xdr:row>
      <xdr:rowOff>706501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50A876EA-C2C4-46AA-9ADE-A4E6406941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79905638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100</xdr:row>
      <xdr:rowOff>96630</xdr:rowOff>
    </xdr:from>
    <xdr:to>
      <xdr:col>4</xdr:col>
      <xdr:colOff>1790283</xdr:colOff>
      <xdr:row>100</xdr:row>
      <xdr:rowOff>737903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319CED94-9695-412A-A88E-85B088CC83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79878030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100</xdr:row>
      <xdr:rowOff>110434</xdr:rowOff>
    </xdr:from>
    <xdr:to>
      <xdr:col>4</xdr:col>
      <xdr:colOff>2381042</xdr:colOff>
      <xdr:row>100</xdr:row>
      <xdr:rowOff>736429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59181F2B-9248-4C1A-BA1A-82AA0DBF51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79891834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101</xdr:row>
      <xdr:rowOff>110434</xdr:rowOff>
    </xdr:from>
    <xdr:to>
      <xdr:col>4</xdr:col>
      <xdr:colOff>596516</xdr:colOff>
      <xdr:row>101</xdr:row>
      <xdr:rowOff>714357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C20D49EE-7520-43B3-ACAF-AD474916CE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0815759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101</xdr:row>
      <xdr:rowOff>124238</xdr:rowOff>
    </xdr:from>
    <xdr:to>
      <xdr:col>4</xdr:col>
      <xdr:colOff>1175448</xdr:colOff>
      <xdr:row>101</xdr:row>
      <xdr:rowOff>706501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99F6BB1D-48FE-4215-ADD9-1CFE018AC1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0829563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101</xdr:row>
      <xdr:rowOff>96630</xdr:rowOff>
    </xdr:from>
    <xdr:to>
      <xdr:col>4</xdr:col>
      <xdr:colOff>1790283</xdr:colOff>
      <xdr:row>101</xdr:row>
      <xdr:rowOff>737903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05A2297-CC22-4E3F-8190-45A9BE1C2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0801955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101</xdr:row>
      <xdr:rowOff>110434</xdr:rowOff>
    </xdr:from>
    <xdr:to>
      <xdr:col>4</xdr:col>
      <xdr:colOff>2381042</xdr:colOff>
      <xdr:row>101</xdr:row>
      <xdr:rowOff>736429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CADE429-5B39-40E6-8EB5-89557C247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0815759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102</xdr:row>
      <xdr:rowOff>110434</xdr:rowOff>
    </xdr:from>
    <xdr:to>
      <xdr:col>4</xdr:col>
      <xdr:colOff>596516</xdr:colOff>
      <xdr:row>102</xdr:row>
      <xdr:rowOff>714357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A3BAC776-F246-41D9-AB7D-0B89E1972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1720634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102</xdr:row>
      <xdr:rowOff>124238</xdr:rowOff>
    </xdr:from>
    <xdr:to>
      <xdr:col>4</xdr:col>
      <xdr:colOff>1175448</xdr:colOff>
      <xdr:row>102</xdr:row>
      <xdr:rowOff>706501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43214A83-8B09-41FA-A5A8-93F24030B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1734438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102</xdr:row>
      <xdr:rowOff>96630</xdr:rowOff>
    </xdr:from>
    <xdr:to>
      <xdr:col>4</xdr:col>
      <xdr:colOff>1790283</xdr:colOff>
      <xdr:row>102</xdr:row>
      <xdr:rowOff>737903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B0CD33F5-B3D1-48F4-B439-791BEFDE36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1706830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102</xdr:row>
      <xdr:rowOff>110434</xdr:rowOff>
    </xdr:from>
    <xdr:to>
      <xdr:col>4</xdr:col>
      <xdr:colOff>2381042</xdr:colOff>
      <xdr:row>102</xdr:row>
      <xdr:rowOff>736429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4F13E5F4-174F-4893-8E7F-C826F7CCD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1720634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103</xdr:row>
      <xdr:rowOff>110434</xdr:rowOff>
    </xdr:from>
    <xdr:to>
      <xdr:col>4</xdr:col>
      <xdr:colOff>596516</xdr:colOff>
      <xdr:row>103</xdr:row>
      <xdr:rowOff>714357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15B1D5ED-6544-4C0C-95A6-D93E6C336D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2635034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103</xdr:row>
      <xdr:rowOff>110434</xdr:rowOff>
    </xdr:from>
    <xdr:to>
      <xdr:col>4</xdr:col>
      <xdr:colOff>1175448</xdr:colOff>
      <xdr:row>103</xdr:row>
      <xdr:rowOff>692697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D0E9261F-C32F-4A25-AEDC-4385AECDA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2635034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103</xdr:row>
      <xdr:rowOff>96630</xdr:rowOff>
    </xdr:from>
    <xdr:to>
      <xdr:col>4</xdr:col>
      <xdr:colOff>1790283</xdr:colOff>
      <xdr:row>103</xdr:row>
      <xdr:rowOff>737903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F68DC06E-6C27-4B95-99FB-E20D64210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2621230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103</xdr:row>
      <xdr:rowOff>110434</xdr:rowOff>
    </xdr:from>
    <xdr:to>
      <xdr:col>4</xdr:col>
      <xdr:colOff>2381042</xdr:colOff>
      <xdr:row>103</xdr:row>
      <xdr:rowOff>736429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91B46D60-175D-4984-A4A2-E32FC5F40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2635034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104</xdr:row>
      <xdr:rowOff>110434</xdr:rowOff>
    </xdr:from>
    <xdr:to>
      <xdr:col>4</xdr:col>
      <xdr:colOff>596516</xdr:colOff>
      <xdr:row>104</xdr:row>
      <xdr:rowOff>714357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E635743B-103C-4919-A686-EE3FFE5A89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3558959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104</xdr:row>
      <xdr:rowOff>110434</xdr:rowOff>
    </xdr:from>
    <xdr:to>
      <xdr:col>4</xdr:col>
      <xdr:colOff>1175448</xdr:colOff>
      <xdr:row>104</xdr:row>
      <xdr:rowOff>692697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C553A838-6787-40BA-9CEF-9A3B60D91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3558959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104</xdr:row>
      <xdr:rowOff>96630</xdr:rowOff>
    </xdr:from>
    <xdr:to>
      <xdr:col>4</xdr:col>
      <xdr:colOff>1790283</xdr:colOff>
      <xdr:row>104</xdr:row>
      <xdr:rowOff>737903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B1350DFB-210B-469C-B326-CCD90AE1B8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3545155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104</xdr:row>
      <xdr:rowOff>110434</xdr:rowOff>
    </xdr:from>
    <xdr:to>
      <xdr:col>4</xdr:col>
      <xdr:colOff>2381042</xdr:colOff>
      <xdr:row>104</xdr:row>
      <xdr:rowOff>736429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724BE828-89B8-4515-A691-FA7A9DB90D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3558959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86590</xdr:colOff>
      <xdr:row>105</xdr:row>
      <xdr:rowOff>86590</xdr:rowOff>
    </xdr:from>
    <xdr:to>
      <xdr:col>4</xdr:col>
      <xdr:colOff>641692</xdr:colOff>
      <xdr:row>105</xdr:row>
      <xdr:rowOff>690513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BF882F7B-D219-4FB8-9E17-47115AD5E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9115" y="84382840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136070</xdr:colOff>
      <xdr:row>106</xdr:row>
      <xdr:rowOff>173180</xdr:rowOff>
    </xdr:from>
    <xdr:to>
      <xdr:col>4</xdr:col>
      <xdr:colOff>691172</xdr:colOff>
      <xdr:row>106</xdr:row>
      <xdr:rowOff>777103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688DFF0E-D3FB-4019-A505-58B59D259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8595" y="85269530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635001</xdr:colOff>
      <xdr:row>108</xdr:row>
      <xdr:rowOff>317500</xdr:rowOff>
    </xdr:from>
    <xdr:to>
      <xdr:col>4</xdr:col>
      <xdr:colOff>1195122</xdr:colOff>
      <xdr:row>108</xdr:row>
      <xdr:rowOff>965322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2833D5D1-D518-4808-972F-E3E2045DD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6" y="86413975"/>
          <a:ext cx="560121" cy="647822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108</xdr:row>
      <xdr:rowOff>372716</xdr:rowOff>
    </xdr:from>
    <xdr:to>
      <xdr:col>4</xdr:col>
      <xdr:colOff>596516</xdr:colOff>
      <xdr:row>108</xdr:row>
      <xdr:rowOff>976639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3A6FC492-4791-4E08-8A27-4049BF0F6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6469191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1256196</xdr:colOff>
      <xdr:row>108</xdr:row>
      <xdr:rowOff>358911</xdr:rowOff>
    </xdr:from>
    <xdr:to>
      <xdr:col>4</xdr:col>
      <xdr:colOff>1796644</xdr:colOff>
      <xdr:row>108</xdr:row>
      <xdr:rowOff>941174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9C982034-0D81-4BF5-9975-A11D9BCB5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18721" y="86455386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1822173</xdr:colOff>
      <xdr:row>108</xdr:row>
      <xdr:rowOff>331303</xdr:rowOff>
    </xdr:from>
    <xdr:to>
      <xdr:col>4</xdr:col>
      <xdr:colOff>2397674</xdr:colOff>
      <xdr:row>108</xdr:row>
      <xdr:rowOff>972576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4F0D8895-FBB7-4341-9AE1-C021B57C5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698" y="86427778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2443369</xdr:colOff>
      <xdr:row>108</xdr:row>
      <xdr:rowOff>331303</xdr:rowOff>
    </xdr:from>
    <xdr:to>
      <xdr:col>4</xdr:col>
      <xdr:colOff>2988433</xdr:colOff>
      <xdr:row>108</xdr:row>
      <xdr:rowOff>957298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0935425-2C50-40D2-A310-922D1A764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05894" y="86427778"/>
          <a:ext cx="545064" cy="625995"/>
        </a:xfrm>
        <a:prstGeom prst="rect">
          <a:avLst/>
        </a:prstGeom>
      </xdr:spPr>
    </xdr:pic>
    <xdr:clientData/>
  </xdr:twoCellAnchor>
  <xdr:oneCellAnchor>
    <xdr:from>
      <xdr:col>4</xdr:col>
      <xdr:colOff>41414</xdr:colOff>
      <xdr:row>110</xdr:row>
      <xdr:rowOff>110434</xdr:rowOff>
    </xdr:from>
    <xdr:ext cx="555102" cy="603923"/>
    <xdr:pic>
      <xdr:nvPicPr>
        <xdr:cNvPr id="923" name="Picture 922">
          <a:extLst>
            <a:ext uri="{FF2B5EF4-FFF2-40B4-BE49-F238E27FC236}">
              <a16:creationId xmlns:a16="http://schemas.microsoft.com/office/drawing/2014/main" id="{DD9F48B8-C088-40CF-8035-D8BF1B0D1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8388134"/>
          <a:ext cx="555102" cy="603923"/>
        </a:xfrm>
        <a:prstGeom prst="rect">
          <a:avLst/>
        </a:prstGeom>
      </xdr:spPr>
    </xdr:pic>
    <xdr:clientData/>
  </xdr:oneCellAnchor>
  <xdr:oneCellAnchor>
    <xdr:from>
      <xdr:col>4</xdr:col>
      <xdr:colOff>635000</xdr:colOff>
      <xdr:row>110</xdr:row>
      <xdr:rowOff>110434</xdr:rowOff>
    </xdr:from>
    <xdr:ext cx="540448" cy="582263"/>
    <xdr:pic>
      <xdr:nvPicPr>
        <xdr:cNvPr id="924" name="Picture 923">
          <a:extLst>
            <a:ext uri="{FF2B5EF4-FFF2-40B4-BE49-F238E27FC236}">
              <a16:creationId xmlns:a16="http://schemas.microsoft.com/office/drawing/2014/main" id="{71DFE767-88C7-4800-868C-6F18CFB84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8388134"/>
          <a:ext cx="540448" cy="582263"/>
        </a:xfrm>
        <a:prstGeom prst="rect">
          <a:avLst/>
        </a:prstGeom>
      </xdr:spPr>
    </xdr:pic>
    <xdr:clientData/>
  </xdr:oneCellAnchor>
  <xdr:oneCellAnchor>
    <xdr:from>
      <xdr:col>4</xdr:col>
      <xdr:colOff>1214782</xdr:colOff>
      <xdr:row>110</xdr:row>
      <xdr:rowOff>96630</xdr:rowOff>
    </xdr:from>
    <xdr:ext cx="575501" cy="641273"/>
    <xdr:pic>
      <xdr:nvPicPr>
        <xdr:cNvPr id="925" name="Picture 924">
          <a:extLst>
            <a:ext uri="{FF2B5EF4-FFF2-40B4-BE49-F238E27FC236}">
              <a16:creationId xmlns:a16="http://schemas.microsoft.com/office/drawing/2014/main" id="{11654396-736B-4E4D-9027-616FF7B41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8374330"/>
          <a:ext cx="575501" cy="641273"/>
        </a:xfrm>
        <a:prstGeom prst="rect">
          <a:avLst/>
        </a:prstGeom>
      </xdr:spPr>
    </xdr:pic>
    <xdr:clientData/>
  </xdr:oneCellAnchor>
  <xdr:oneCellAnchor>
    <xdr:from>
      <xdr:col>4</xdr:col>
      <xdr:colOff>1835978</xdr:colOff>
      <xdr:row>110</xdr:row>
      <xdr:rowOff>110434</xdr:rowOff>
    </xdr:from>
    <xdr:ext cx="545064" cy="625995"/>
    <xdr:pic>
      <xdr:nvPicPr>
        <xdr:cNvPr id="926" name="Picture 925">
          <a:extLst>
            <a:ext uri="{FF2B5EF4-FFF2-40B4-BE49-F238E27FC236}">
              <a16:creationId xmlns:a16="http://schemas.microsoft.com/office/drawing/2014/main" id="{454F1171-D99B-4EC6-815D-CF6F0DAD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8388134"/>
          <a:ext cx="545064" cy="625995"/>
        </a:xfrm>
        <a:prstGeom prst="rect">
          <a:avLst/>
        </a:prstGeom>
      </xdr:spPr>
    </xdr:pic>
    <xdr:clientData/>
  </xdr:oneCellAnchor>
  <xdr:twoCellAnchor editAs="oneCell">
    <xdr:from>
      <xdr:col>4</xdr:col>
      <xdr:colOff>41414</xdr:colOff>
      <xdr:row>111</xdr:row>
      <xdr:rowOff>110434</xdr:rowOff>
    </xdr:from>
    <xdr:to>
      <xdr:col>4</xdr:col>
      <xdr:colOff>596516</xdr:colOff>
      <xdr:row>111</xdr:row>
      <xdr:rowOff>714357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54B7D5-2C3C-485A-B746-8D1A27463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89226334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111</xdr:row>
      <xdr:rowOff>110434</xdr:rowOff>
    </xdr:from>
    <xdr:to>
      <xdr:col>4</xdr:col>
      <xdr:colOff>1175448</xdr:colOff>
      <xdr:row>111</xdr:row>
      <xdr:rowOff>692697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0F289AF0-1AD3-4102-9977-0E954F3F4F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89226334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111</xdr:row>
      <xdr:rowOff>96630</xdr:rowOff>
    </xdr:from>
    <xdr:to>
      <xdr:col>4</xdr:col>
      <xdr:colOff>1790283</xdr:colOff>
      <xdr:row>111</xdr:row>
      <xdr:rowOff>737903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BDD2F711-E149-481A-8E8A-ACCD31457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89212530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111</xdr:row>
      <xdr:rowOff>110434</xdr:rowOff>
    </xdr:from>
    <xdr:to>
      <xdr:col>4</xdr:col>
      <xdr:colOff>2381042</xdr:colOff>
      <xdr:row>111</xdr:row>
      <xdr:rowOff>736429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EF1A81E9-6299-4966-B2E1-897168887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89226334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41414</xdr:colOff>
      <xdr:row>112</xdr:row>
      <xdr:rowOff>110434</xdr:rowOff>
    </xdr:from>
    <xdr:to>
      <xdr:col>4</xdr:col>
      <xdr:colOff>596516</xdr:colOff>
      <xdr:row>112</xdr:row>
      <xdr:rowOff>714357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33E27E2E-DD6C-467A-BDB0-63423AB97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3939" y="90131209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112</xdr:row>
      <xdr:rowOff>110434</xdr:rowOff>
    </xdr:from>
    <xdr:to>
      <xdr:col>4</xdr:col>
      <xdr:colOff>1175448</xdr:colOff>
      <xdr:row>112</xdr:row>
      <xdr:rowOff>692697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2C097444-2577-414B-BAF2-981FE9A163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0131209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1214782</xdr:colOff>
      <xdr:row>112</xdr:row>
      <xdr:rowOff>96630</xdr:rowOff>
    </xdr:from>
    <xdr:to>
      <xdr:col>4</xdr:col>
      <xdr:colOff>1790283</xdr:colOff>
      <xdr:row>112</xdr:row>
      <xdr:rowOff>737903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5738E8C-0068-45D0-B609-9FBEBA41AC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77307" y="90117405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112</xdr:row>
      <xdr:rowOff>110434</xdr:rowOff>
    </xdr:from>
    <xdr:to>
      <xdr:col>4</xdr:col>
      <xdr:colOff>2381042</xdr:colOff>
      <xdr:row>112</xdr:row>
      <xdr:rowOff>736429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332FF247-0B7A-419E-84C8-B3C66294E2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90131209"/>
          <a:ext cx="545064" cy="625995"/>
        </a:xfrm>
        <a:prstGeom prst="rect">
          <a:avLst/>
        </a:prstGeom>
      </xdr:spPr>
    </xdr:pic>
    <xdr:clientData/>
  </xdr:twoCellAnchor>
  <xdr:twoCellAnchor editAs="oneCell">
    <xdr:from>
      <xdr:col>4</xdr:col>
      <xdr:colOff>27609</xdr:colOff>
      <xdr:row>113</xdr:row>
      <xdr:rowOff>220869</xdr:rowOff>
    </xdr:from>
    <xdr:to>
      <xdr:col>4</xdr:col>
      <xdr:colOff>582711</xdr:colOff>
      <xdr:row>113</xdr:row>
      <xdr:rowOff>828751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F297EF51-A416-4C93-BCFC-5E8EA45F3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134" y="91127469"/>
          <a:ext cx="555102" cy="607882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635000</xdr:colOff>
      <xdr:row>113</xdr:row>
      <xdr:rowOff>234673</xdr:rowOff>
    </xdr:from>
    <xdr:to>
      <xdr:col>4</xdr:col>
      <xdr:colOff>1175448</xdr:colOff>
      <xdr:row>113</xdr:row>
      <xdr:rowOff>820895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17F0AF99-9BE3-47F8-B78E-6ACBBAF63D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1141273"/>
          <a:ext cx="540448" cy="586222"/>
        </a:xfrm>
        <a:prstGeom prst="rect">
          <a:avLst/>
        </a:prstGeom>
      </xdr:spPr>
    </xdr:pic>
    <xdr:clientData/>
  </xdr:twoCellAnchor>
  <xdr:twoCellAnchor editAs="oneCell">
    <xdr:from>
      <xdr:col>4</xdr:col>
      <xdr:colOff>1228587</xdr:colOff>
      <xdr:row>113</xdr:row>
      <xdr:rowOff>220870</xdr:rowOff>
    </xdr:from>
    <xdr:to>
      <xdr:col>4</xdr:col>
      <xdr:colOff>1804088</xdr:colOff>
      <xdr:row>113</xdr:row>
      <xdr:rowOff>866102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DF8BB9FA-B44B-4C31-8045-B14C183D6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112" y="91127470"/>
          <a:ext cx="575501" cy="645232"/>
        </a:xfrm>
        <a:prstGeom prst="rect">
          <a:avLst/>
        </a:prstGeom>
      </xdr:spPr>
    </xdr:pic>
    <xdr:clientData/>
  </xdr:twoCellAnchor>
  <xdr:twoCellAnchor editAs="oneCell">
    <xdr:from>
      <xdr:col>4</xdr:col>
      <xdr:colOff>1877391</xdr:colOff>
      <xdr:row>113</xdr:row>
      <xdr:rowOff>234674</xdr:rowOff>
    </xdr:from>
    <xdr:to>
      <xdr:col>4</xdr:col>
      <xdr:colOff>2422455</xdr:colOff>
      <xdr:row>113</xdr:row>
      <xdr:rowOff>864628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184A1564-0B76-48BF-913D-FFF351C154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916" y="91141274"/>
          <a:ext cx="545064" cy="629954"/>
        </a:xfrm>
        <a:prstGeom prst="rect">
          <a:avLst/>
        </a:prstGeom>
      </xdr:spPr>
    </xdr:pic>
    <xdr:clientData/>
  </xdr:twoCellAnchor>
  <xdr:twoCellAnchor editAs="oneCell">
    <xdr:from>
      <xdr:col>4</xdr:col>
      <xdr:colOff>27609</xdr:colOff>
      <xdr:row>114</xdr:row>
      <xdr:rowOff>496956</xdr:rowOff>
    </xdr:from>
    <xdr:to>
      <xdr:col>4</xdr:col>
      <xdr:colOff>582711</xdr:colOff>
      <xdr:row>114</xdr:row>
      <xdr:rowOff>1098781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54034629-6A60-4F83-B342-6872F2AD44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0134" y="92365581"/>
          <a:ext cx="555102" cy="603923"/>
        </a:xfrm>
        <a:prstGeom prst="rect">
          <a:avLst/>
        </a:prstGeom>
      </xdr:spPr>
    </xdr:pic>
    <xdr:clientData/>
  </xdr:twoCellAnchor>
  <xdr:twoCellAnchor editAs="oneCell">
    <xdr:from>
      <xdr:col>4</xdr:col>
      <xdr:colOff>621196</xdr:colOff>
      <xdr:row>114</xdr:row>
      <xdr:rowOff>496955</xdr:rowOff>
    </xdr:from>
    <xdr:to>
      <xdr:col>4</xdr:col>
      <xdr:colOff>1161644</xdr:colOff>
      <xdr:row>114</xdr:row>
      <xdr:rowOff>1077120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BE5DA75C-72E4-4F3F-B2D6-EDF94D987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721" y="92365580"/>
          <a:ext cx="540448" cy="582263"/>
        </a:xfrm>
        <a:prstGeom prst="rect">
          <a:avLst/>
        </a:prstGeom>
      </xdr:spPr>
    </xdr:pic>
    <xdr:clientData/>
  </xdr:twoCellAnchor>
  <xdr:twoCellAnchor editAs="oneCell">
    <xdr:from>
      <xdr:col>4</xdr:col>
      <xdr:colOff>1200978</xdr:colOff>
      <xdr:row>114</xdr:row>
      <xdr:rowOff>469348</xdr:rowOff>
    </xdr:from>
    <xdr:to>
      <xdr:col>4</xdr:col>
      <xdr:colOff>1776479</xdr:colOff>
      <xdr:row>114</xdr:row>
      <xdr:rowOff>1108523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78260268-7DD0-4D62-B2F4-70E8A04159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3503" y="92337973"/>
          <a:ext cx="575501" cy="641273"/>
        </a:xfrm>
        <a:prstGeom prst="rect">
          <a:avLst/>
        </a:prstGeom>
      </xdr:spPr>
    </xdr:pic>
    <xdr:clientData/>
  </xdr:twoCellAnchor>
  <xdr:twoCellAnchor editAs="oneCell">
    <xdr:from>
      <xdr:col>4</xdr:col>
      <xdr:colOff>1822174</xdr:colOff>
      <xdr:row>114</xdr:row>
      <xdr:rowOff>483152</xdr:rowOff>
    </xdr:from>
    <xdr:to>
      <xdr:col>4</xdr:col>
      <xdr:colOff>2367238</xdr:colOff>
      <xdr:row>114</xdr:row>
      <xdr:rowOff>1107049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53C94D65-90AE-4A6D-B17B-E8232080A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4699" y="92351777"/>
          <a:ext cx="545064" cy="625995"/>
        </a:xfrm>
        <a:prstGeom prst="rect">
          <a:avLst/>
        </a:prstGeom>
      </xdr:spPr>
    </xdr:pic>
    <xdr:clientData/>
  </xdr:twoCellAnchor>
  <xdr:oneCellAnchor>
    <xdr:from>
      <xdr:col>4</xdr:col>
      <xdr:colOff>39979</xdr:colOff>
      <xdr:row>116</xdr:row>
      <xdr:rowOff>109539</xdr:rowOff>
    </xdr:from>
    <xdr:ext cx="555102" cy="607882"/>
    <xdr:pic>
      <xdr:nvPicPr>
        <xdr:cNvPr id="943" name="Picture 942">
          <a:extLst>
            <a:ext uri="{FF2B5EF4-FFF2-40B4-BE49-F238E27FC236}">
              <a16:creationId xmlns:a16="http://schemas.microsoft.com/office/drawing/2014/main" id="{925F4483-30CE-495F-962C-E8A26F0043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504" y="94064139"/>
          <a:ext cx="555102" cy="607882"/>
        </a:xfrm>
        <a:prstGeom prst="rect">
          <a:avLst/>
        </a:prstGeom>
      </xdr:spPr>
    </xdr:pic>
    <xdr:clientData/>
  </xdr:oneCellAnchor>
  <xdr:oneCellAnchor>
    <xdr:from>
      <xdr:col>4</xdr:col>
      <xdr:colOff>635000</xdr:colOff>
      <xdr:row>116</xdr:row>
      <xdr:rowOff>123343</xdr:rowOff>
    </xdr:from>
    <xdr:ext cx="540448" cy="586222"/>
    <xdr:pic>
      <xdr:nvPicPr>
        <xdr:cNvPr id="944" name="Picture 943">
          <a:extLst>
            <a:ext uri="{FF2B5EF4-FFF2-40B4-BE49-F238E27FC236}">
              <a16:creationId xmlns:a16="http://schemas.microsoft.com/office/drawing/2014/main" id="{683D60A3-C18D-4FEB-94E4-D46D3B9AE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4077943"/>
          <a:ext cx="540448" cy="586222"/>
        </a:xfrm>
        <a:prstGeom prst="rect">
          <a:avLst/>
        </a:prstGeom>
      </xdr:spPr>
    </xdr:pic>
    <xdr:clientData/>
  </xdr:oneCellAnchor>
  <xdr:oneCellAnchor>
    <xdr:from>
      <xdr:col>4</xdr:col>
      <xdr:colOff>1228587</xdr:colOff>
      <xdr:row>116</xdr:row>
      <xdr:rowOff>84800</xdr:rowOff>
    </xdr:from>
    <xdr:ext cx="575501" cy="645232"/>
    <xdr:pic>
      <xdr:nvPicPr>
        <xdr:cNvPr id="945" name="Picture 944">
          <a:extLst>
            <a:ext uri="{FF2B5EF4-FFF2-40B4-BE49-F238E27FC236}">
              <a16:creationId xmlns:a16="http://schemas.microsoft.com/office/drawing/2014/main" id="{15294B07-E13E-4187-90D9-D512D6A48F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112" y="94039400"/>
          <a:ext cx="575501" cy="645232"/>
        </a:xfrm>
        <a:prstGeom prst="rect">
          <a:avLst/>
        </a:prstGeom>
      </xdr:spPr>
    </xdr:pic>
    <xdr:clientData/>
  </xdr:oneCellAnchor>
  <xdr:oneCellAnchor>
    <xdr:from>
      <xdr:col>4</xdr:col>
      <xdr:colOff>1877391</xdr:colOff>
      <xdr:row>116</xdr:row>
      <xdr:rowOff>98604</xdr:rowOff>
    </xdr:from>
    <xdr:ext cx="545064" cy="629954"/>
    <xdr:pic>
      <xdr:nvPicPr>
        <xdr:cNvPr id="946" name="Picture 945">
          <a:extLst>
            <a:ext uri="{FF2B5EF4-FFF2-40B4-BE49-F238E27FC236}">
              <a16:creationId xmlns:a16="http://schemas.microsoft.com/office/drawing/2014/main" id="{D7C0DE5F-4F7D-4F8B-B90B-0E02E54B9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916" y="94053204"/>
          <a:ext cx="545064" cy="629954"/>
        </a:xfrm>
        <a:prstGeom prst="rect">
          <a:avLst/>
        </a:prstGeom>
      </xdr:spPr>
    </xdr:pic>
    <xdr:clientData/>
  </xdr:oneCellAnchor>
  <xdr:twoCellAnchor editAs="oneCell">
    <xdr:from>
      <xdr:col>4</xdr:col>
      <xdr:colOff>74220</xdr:colOff>
      <xdr:row>115</xdr:row>
      <xdr:rowOff>74220</xdr:rowOff>
    </xdr:from>
    <xdr:to>
      <xdr:col>4</xdr:col>
      <xdr:colOff>619284</xdr:colOff>
      <xdr:row>115</xdr:row>
      <xdr:rowOff>700215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52C02648-FE85-44D4-BC29-669DAF606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745" y="93228720"/>
          <a:ext cx="545064" cy="625995"/>
        </a:xfrm>
        <a:prstGeom prst="rect">
          <a:avLst/>
        </a:prstGeom>
      </xdr:spPr>
    </xdr:pic>
    <xdr:clientData/>
  </xdr:twoCellAnchor>
  <xdr:oneCellAnchor>
    <xdr:from>
      <xdr:col>4</xdr:col>
      <xdr:colOff>692730</xdr:colOff>
      <xdr:row>117</xdr:row>
      <xdr:rowOff>160810</xdr:rowOff>
    </xdr:from>
    <xdr:ext cx="545064" cy="629954"/>
    <xdr:pic>
      <xdr:nvPicPr>
        <xdr:cNvPr id="948" name="Picture 947">
          <a:extLst>
            <a:ext uri="{FF2B5EF4-FFF2-40B4-BE49-F238E27FC236}">
              <a16:creationId xmlns:a16="http://schemas.microsoft.com/office/drawing/2014/main" id="{40241F64-B1FD-4DCA-8E5E-ADF77BC402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5255" y="94915510"/>
          <a:ext cx="545064" cy="629954"/>
        </a:xfrm>
        <a:prstGeom prst="rect">
          <a:avLst/>
        </a:prstGeom>
      </xdr:spPr>
    </xdr:pic>
    <xdr:clientData/>
  </xdr:oneCellAnchor>
  <xdr:twoCellAnchor editAs="oneCell">
    <xdr:from>
      <xdr:col>4</xdr:col>
      <xdr:colOff>49480</xdr:colOff>
      <xdr:row>117</xdr:row>
      <xdr:rowOff>136070</xdr:rowOff>
    </xdr:from>
    <xdr:to>
      <xdr:col>4</xdr:col>
      <xdr:colOff>628476</xdr:colOff>
      <xdr:row>117</xdr:row>
      <xdr:rowOff>828798</xdr:rowOff>
    </xdr:to>
    <xdr:pic>
      <xdr:nvPicPr>
        <xdr:cNvPr id="949" name="Picture 948" descr="SDGs Tujuan 5 – Kesetaraan Gender (Gender Equality) – Badan ...">
          <a:extLst>
            <a:ext uri="{FF2B5EF4-FFF2-40B4-BE49-F238E27FC236}">
              <a16:creationId xmlns:a16="http://schemas.microsoft.com/office/drawing/2014/main" id="{C4D37EAB-7C4D-4056-9DF6-0C59A96B82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2005" y="94890770"/>
          <a:ext cx="578996" cy="6927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</xdr:col>
      <xdr:colOff>39979</xdr:colOff>
      <xdr:row>118</xdr:row>
      <xdr:rowOff>109539</xdr:rowOff>
    </xdr:from>
    <xdr:ext cx="555102" cy="607882"/>
    <xdr:pic>
      <xdr:nvPicPr>
        <xdr:cNvPr id="950" name="Picture 949">
          <a:extLst>
            <a:ext uri="{FF2B5EF4-FFF2-40B4-BE49-F238E27FC236}">
              <a16:creationId xmlns:a16="http://schemas.microsoft.com/office/drawing/2014/main" id="{E9E6CB09-291B-4774-AAE5-6371E037E3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504" y="95835789"/>
          <a:ext cx="555102" cy="607882"/>
        </a:xfrm>
        <a:prstGeom prst="rect">
          <a:avLst/>
        </a:prstGeom>
      </xdr:spPr>
    </xdr:pic>
    <xdr:clientData/>
  </xdr:oneCellAnchor>
  <xdr:oneCellAnchor>
    <xdr:from>
      <xdr:col>4</xdr:col>
      <xdr:colOff>635000</xdr:colOff>
      <xdr:row>118</xdr:row>
      <xdr:rowOff>123343</xdr:rowOff>
    </xdr:from>
    <xdr:ext cx="540448" cy="586222"/>
    <xdr:pic>
      <xdr:nvPicPr>
        <xdr:cNvPr id="951" name="Picture 950">
          <a:extLst>
            <a:ext uri="{FF2B5EF4-FFF2-40B4-BE49-F238E27FC236}">
              <a16:creationId xmlns:a16="http://schemas.microsoft.com/office/drawing/2014/main" id="{481D2BD0-55C9-4140-A592-CADAD8C997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5849593"/>
          <a:ext cx="540448" cy="586222"/>
        </a:xfrm>
        <a:prstGeom prst="rect">
          <a:avLst/>
        </a:prstGeom>
      </xdr:spPr>
    </xdr:pic>
    <xdr:clientData/>
  </xdr:oneCellAnchor>
  <xdr:oneCellAnchor>
    <xdr:from>
      <xdr:col>4</xdr:col>
      <xdr:colOff>1228587</xdr:colOff>
      <xdr:row>118</xdr:row>
      <xdr:rowOff>84800</xdr:rowOff>
    </xdr:from>
    <xdr:ext cx="575501" cy="645232"/>
    <xdr:pic>
      <xdr:nvPicPr>
        <xdr:cNvPr id="952" name="Picture 951">
          <a:extLst>
            <a:ext uri="{FF2B5EF4-FFF2-40B4-BE49-F238E27FC236}">
              <a16:creationId xmlns:a16="http://schemas.microsoft.com/office/drawing/2014/main" id="{62762746-A890-41E8-B99A-C169B4A845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112" y="95811050"/>
          <a:ext cx="575501" cy="645232"/>
        </a:xfrm>
        <a:prstGeom prst="rect">
          <a:avLst/>
        </a:prstGeom>
      </xdr:spPr>
    </xdr:pic>
    <xdr:clientData/>
  </xdr:oneCellAnchor>
  <xdr:oneCellAnchor>
    <xdr:from>
      <xdr:col>4</xdr:col>
      <xdr:colOff>1877391</xdr:colOff>
      <xdr:row>118</xdr:row>
      <xdr:rowOff>98604</xdr:rowOff>
    </xdr:from>
    <xdr:ext cx="545064" cy="629954"/>
    <xdr:pic>
      <xdr:nvPicPr>
        <xdr:cNvPr id="953" name="Picture 952">
          <a:extLst>
            <a:ext uri="{FF2B5EF4-FFF2-40B4-BE49-F238E27FC236}">
              <a16:creationId xmlns:a16="http://schemas.microsoft.com/office/drawing/2014/main" id="{C9BCE71F-9923-42EE-ADB8-22B733DF8D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916" y="95824854"/>
          <a:ext cx="545064" cy="629954"/>
        </a:xfrm>
        <a:prstGeom prst="rect">
          <a:avLst/>
        </a:prstGeom>
      </xdr:spPr>
    </xdr:pic>
    <xdr:clientData/>
  </xdr:oneCellAnchor>
  <xdr:oneCellAnchor>
    <xdr:from>
      <xdr:col>4</xdr:col>
      <xdr:colOff>39979</xdr:colOff>
      <xdr:row>119</xdr:row>
      <xdr:rowOff>109539</xdr:rowOff>
    </xdr:from>
    <xdr:ext cx="555102" cy="607882"/>
    <xdr:pic>
      <xdr:nvPicPr>
        <xdr:cNvPr id="954" name="Picture 953">
          <a:extLst>
            <a:ext uri="{FF2B5EF4-FFF2-40B4-BE49-F238E27FC236}">
              <a16:creationId xmlns:a16="http://schemas.microsoft.com/office/drawing/2014/main" id="{E55A6DC0-E779-4F80-A210-CE6470573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02504" y="96635889"/>
          <a:ext cx="555102" cy="607882"/>
        </a:xfrm>
        <a:prstGeom prst="rect">
          <a:avLst/>
        </a:prstGeom>
      </xdr:spPr>
    </xdr:pic>
    <xdr:clientData/>
  </xdr:oneCellAnchor>
  <xdr:oneCellAnchor>
    <xdr:from>
      <xdr:col>4</xdr:col>
      <xdr:colOff>635000</xdr:colOff>
      <xdr:row>119</xdr:row>
      <xdr:rowOff>123343</xdr:rowOff>
    </xdr:from>
    <xdr:ext cx="540448" cy="586222"/>
    <xdr:pic>
      <xdr:nvPicPr>
        <xdr:cNvPr id="955" name="Picture 954">
          <a:extLst>
            <a:ext uri="{FF2B5EF4-FFF2-40B4-BE49-F238E27FC236}">
              <a16:creationId xmlns:a16="http://schemas.microsoft.com/office/drawing/2014/main" id="{CE1E6CDB-8B52-4145-8451-7291B93C73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7525" y="96649693"/>
          <a:ext cx="540448" cy="586222"/>
        </a:xfrm>
        <a:prstGeom prst="rect">
          <a:avLst/>
        </a:prstGeom>
      </xdr:spPr>
    </xdr:pic>
    <xdr:clientData/>
  </xdr:oneCellAnchor>
  <xdr:oneCellAnchor>
    <xdr:from>
      <xdr:col>4</xdr:col>
      <xdr:colOff>1228587</xdr:colOff>
      <xdr:row>119</xdr:row>
      <xdr:rowOff>84800</xdr:rowOff>
    </xdr:from>
    <xdr:ext cx="575501" cy="645232"/>
    <xdr:pic>
      <xdr:nvPicPr>
        <xdr:cNvPr id="956" name="Picture 955">
          <a:extLst>
            <a:ext uri="{FF2B5EF4-FFF2-40B4-BE49-F238E27FC236}">
              <a16:creationId xmlns:a16="http://schemas.microsoft.com/office/drawing/2014/main" id="{F7B43246-6D94-4607-93F5-3DB5F4B185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91112" y="96611150"/>
          <a:ext cx="575501" cy="645232"/>
        </a:xfrm>
        <a:prstGeom prst="rect">
          <a:avLst/>
        </a:prstGeom>
      </xdr:spPr>
    </xdr:pic>
    <xdr:clientData/>
  </xdr:oneCellAnchor>
  <xdr:oneCellAnchor>
    <xdr:from>
      <xdr:col>4</xdr:col>
      <xdr:colOff>1877391</xdr:colOff>
      <xdr:row>119</xdr:row>
      <xdr:rowOff>98604</xdr:rowOff>
    </xdr:from>
    <xdr:ext cx="545064" cy="629954"/>
    <xdr:pic>
      <xdr:nvPicPr>
        <xdr:cNvPr id="957" name="Picture 956">
          <a:extLst>
            <a:ext uri="{FF2B5EF4-FFF2-40B4-BE49-F238E27FC236}">
              <a16:creationId xmlns:a16="http://schemas.microsoft.com/office/drawing/2014/main" id="{627B6B02-E87E-484C-A177-E72E63875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9916" y="96624954"/>
          <a:ext cx="545064" cy="629954"/>
        </a:xfrm>
        <a:prstGeom prst="rect">
          <a:avLst/>
        </a:prstGeom>
      </xdr:spPr>
    </xdr:pic>
    <xdr:clientData/>
  </xdr:oneCellAnchor>
  <xdr:twoCellAnchor editAs="oneCell">
    <xdr:from>
      <xdr:col>4</xdr:col>
      <xdr:colOff>2464448</xdr:colOff>
      <xdr:row>124</xdr:row>
      <xdr:rowOff>85662</xdr:rowOff>
    </xdr:from>
    <xdr:to>
      <xdr:col>4</xdr:col>
      <xdr:colOff>3009512</xdr:colOff>
      <xdr:row>124</xdr:row>
      <xdr:rowOff>744191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3E075EE5-1511-4F36-A547-B9E253D24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100412487"/>
          <a:ext cx="545064" cy="658529"/>
        </a:xfrm>
        <a:prstGeom prst="rect">
          <a:avLst/>
        </a:prstGeom>
      </xdr:spPr>
    </xdr:pic>
    <xdr:clientData/>
  </xdr:twoCellAnchor>
  <xdr:twoCellAnchor editAs="oneCell">
    <xdr:from>
      <xdr:col>4</xdr:col>
      <xdr:colOff>55218</xdr:colOff>
      <xdr:row>124</xdr:row>
      <xdr:rowOff>85878</xdr:rowOff>
    </xdr:from>
    <xdr:to>
      <xdr:col>4</xdr:col>
      <xdr:colOff>615339</xdr:colOff>
      <xdr:row>124</xdr:row>
      <xdr:rowOff>737659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A0ED0F02-043A-4D38-B725-F37A8AF5C1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0412703"/>
          <a:ext cx="560121" cy="651781"/>
        </a:xfrm>
        <a:prstGeom prst="rect">
          <a:avLst/>
        </a:prstGeom>
      </xdr:spPr>
    </xdr:pic>
    <xdr:clientData/>
  </xdr:twoCellAnchor>
  <xdr:twoCellAnchor editAs="oneCell">
    <xdr:from>
      <xdr:col>4</xdr:col>
      <xdr:colOff>648804</xdr:colOff>
      <xdr:row>124</xdr:row>
      <xdr:rowOff>72072</xdr:rowOff>
    </xdr:from>
    <xdr:to>
      <xdr:col>4</xdr:col>
      <xdr:colOff>1200633</xdr:colOff>
      <xdr:row>124</xdr:row>
      <xdr:rowOff>752088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2BD0829A-A12A-4688-AFD4-151CE7373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100398897"/>
          <a:ext cx="551829" cy="680016"/>
        </a:xfrm>
        <a:prstGeom prst="rect">
          <a:avLst/>
        </a:prstGeom>
      </xdr:spPr>
    </xdr:pic>
    <xdr:clientData/>
  </xdr:twoCellAnchor>
  <xdr:twoCellAnchor editAs="oneCell">
    <xdr:from>
      <xdr:col>4</xdr:col>
      <xdr:colOff>1242391</xdr:colOff>
      <xdr:row>124</xdr:row>
      <xdr:rowOff>32096</xdr:rowOff>
    </xdr:from>
    <xdr:to>
      <xdr:col>4</xdr:col>
      <xdr:colOff>1782839</xdr:colOff>
      <xdr:row>124</xdr:row>
      <xdr:rowOff>742557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0AEBB472-8841-46AD-9EA8-8F9FCC15B3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100358921"/>
          <a:ext cx="540448" cy="710461"/>
        </a:xfrm>
        <a:prstGeom prst="rect">
          <a:avLst/>
        </a:prstGeom>
      </xdr:spPr>
    </xdr:pic>
    <xdr:clientData/>
  </xdr:twoCellAnchor>
  <xdr:twoCellAnchor editAs="oneCell">
    <xdr:from>
      <xdr:col>4</xdr:col>
      <xdr:colOff>1808369</xdr:colOff>
      <xdr:row>124</xdr:row>
      <xdr:rowOff>70639</xdr:rowOff>
    </xdr:from>
    <xdr:to>
      <xdr:col>4</xdr:col>
      <xdr:colOff>2394811</xdr:colOff>
      <xdr:row>124</xdr:row>
      <xdr:rowOff>746676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D8BD0A25-C71C-4490-B4FA-3522BF223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894" y="100397464"/>
          <a:ext cx="586442" cy="676037"/>
        </a:xfrm>
        <a:prstGeom prst="rect">
          <a:avLst/>
        </a:prstGeom>
      </xdr:spPr>
    </xdr:pic>
    <xdr:clientData/>
  </xdr:twoCellAnchor>
  <xdr:oneCellAnchor>
    <xdr:from>
      <xdr:col>4</xdr:col>
      <xdr:colOff>2464448</xdr:colOff>
      <xdr:row>125</xdr:row>
      <xdr:rowOff>85662</xdr:rowOff>
    </xdr:from>
    <xdr:ext cx="545064" cy="658529"/>
    <xdr:pic>
      <xdr:nvPicPr>
        <xdr:cNvPr id="1011" name="Picture 1010">
          <a:extLst>
            <a:ext uri="{FF2B5EF4-FFF2-40B4-BE49-F238E27FC236}">
              <a16:creationId xmlns:a16="http://schemas.microsoft.com/office/drawing/2014/main" id="{523861A8-2472-4141-B833-EC233491E2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101212587"/>
          <a:ext cx="545064" cy="658529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125</xdr:row>
      <xdr:rowOff>85878</xdr:rowOff>
    </xdr:from>
    <xdr:ext cx="560121" cy="651781"/>
    <xdr:pic>
      <xdr:nvPicPr>
        <xdr:cNvPr id="1012" name="Picture 1011">
          <a:extLst>
            <a:ext uri="{FF2B5EF4-FFF2-40B4-BE49-F238E27FC236}">
              <a16:creationId xmlns:a16="http://schemas.microsoft.com/office/drawing/2014/main" id="{DE139EC5-5019-456D-97CE-1CF0B282A9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1212803"/>
          <a:ext cx="560121" cy="651781"/>
        </a:xfrm>
        <a:prstGeom prst="rect">
          <a:avLst/>
        </a:prstGeom>
      </xdr:spPr>
    </xdr:pic>
    <xdr:clientData/>
  </xdr:oneCellAnchor>
  <xdr:oneCellAnchor>
    <xdr:from>
      <xdr:col>4</xdr:col>
      <xdr:colOff>648804</xdr:colOff>
      <xdr:row>125</xdr:row>
      <xdr:rowOff>72072</xdr:rowOff>
    </xdr:from>
    <xdr:ext cx="551829" cy="680016"/>
    <xdr:pic>
      <xdr:nvPicPr>
        <xdr:cNvPr id="1013" name="Picture 1012">
          <a:extLst>
            <a:ext uri="{FF2B5EF4-FFF2-40B4-BE49-F238E27FC236}">
              <a16:creationId xmlns:a16="http://schemas.microsoft.com/office/drawing/2014/main" id="{0CFE5FAC-F7CA-4831-AD1E-6C4E2249F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101198997"/>
          <a:ext cx="551829" cy="680016"/>
        </a:xfrm>
        <a:prstGeom prst="rect">
          <a:avLst/>
        </a:prstGeom>
      </xdr:spPr>
    </xdr:pic>
    <xdr:clientData/>
  </xdr:oneCellAnchor>
  <xdr:oneCellAnchor>
    <xdr:from>
      <xdr:col>4</xdr:col>
      <xdr:colOff>1242391</xdr:colOff>
      <xdr:row>125</xdr:row>
      <xdr:rowOff>32096</xdr:rowOff>
    </xdr:from>
    <xdr:ext cx="540448" cy="710461"/>
    <xdr:pic>
      <xdr:nvPicPr>
        <xdr:cNvPr id="1014" name="Picture 1013">
          <a:extLst>
            <a:ext uri="{FF2B5EF4-FFF2-40B4-BE49-F238E27FC236}">
              <a16:creationId xmlns:a16="http://schemas.microsoft.com/office/drawing/2014/main" id="{8E69E070-213E-4871-98CA-25C6C12E13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101159021"/>
          <a:ext cx="540448" cy="710461"/>
        </a:xfrm>
        <a:prstGeom prst="rect">
          <a:avLst/>
        </a:prstGeom>
      </xdr:spPr>
    </xdr:pic>
    <xdr:clientData/>
  </xdr:oneCellAnchor>
  <xdr:oneCellAnchor>
    <xdr:from>
      <xdr:col>4</xdr:col>
      <xdr:colOff>1808369</xdr:colOff>
      <xdr:row>125</xdr:row>
      <xdr:rowOff>86002</xdr:rowOff>
    </xdr:from>
    <xdr:ext cx="586442" cy="676037"/>
    <xdr:pic>
      <xdr:nvPicPr>
        <xdr:cNvPr id="1015" name="Picture 1014">
          <a:extLst>
            <a:ext uri="{FF2B5EF4-FFF2-40B4-BE49-F238E27FC236}">
              <a16:creationId xmlns:a16="http://schemas.microsoft.com/office/drawing/2014/main" id="{A2D966A3-A35D-4293-887D-C9C3805781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85385" y="131838260"/>
          <a:ext cx="586442" cy="676037"/>
        </a:xfrm>
        <a:prstGeom prst="rect">
          <a:avLst/>
        </a:prstGeom>
      </xdr:spPr>
    </xdr:pic>
    <xdr:clientData/>
  </xdr:oneCellAnchor>
  <xdr:twoCellAnchor editAs="oneCell">
    <xdr:from>
      <xdr:col>4</xdr:col>
      <xdr:colOff>82827</xdr:colOff>
      <xdr:row>127</xdr:row>
      <xdr:rowOff>64006</xdr:rowOff>
    </xdr:from>
    <xdr:to>
      <xdr:col>4</xdr:col>
      <xdr:colOff>642948</xdr:colOff>
      <xdr:row>127</xdr:row>
      <xdr:rowOff>715786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0E99B7CC-C01D-46C1-93BC-9419E6729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2" y="102886381"/>
          <a:ext cx="560121" cy="651780"/>
        </a:xfrm>
        <a:prstGeom prst="rect">
          <a:avLst/>
        </a:prstGeom>
      </xdr:spPr>
    </xdr:pic>
    <xdr:clientData/>
  </xdr:twoCellAnchor>
  <xdr:twoCellAnchor editAs="oneCell">
    <xdr:from>
      <xdr:col>4</xdr:col>
      <xdr:colOff>690217</xdr:colOff>
      <xdr:row>127</xdr:row>
      <xdr:rowOff>76377</xdr:rowOff>
    </xdr:from>
    <xdr:to>
      <xdr:col>4</xdr:col>
      <xdr:colOff>1242046</xdr:colOff>
      <xdr:row>127</xdr:row>
      <xdr:rowOff>756392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2B95B34F-E518-42B9-B30E-78FF333972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2" y="102898752"/>
          <a:ext cx="551829" cy="680015"/>
        </a:xfrm>
        <a:prstGeom prst="rect">
          <a:avLst/>
        </a:prstGeom>
      </xdr:spPr>
    </xdr:pic>
    <xdr:clientData/>
  </xdr:twoCellAnchor>
  <xdr:twoCellAnchor editAs="oneCell">
    <xdr:from>
      <xdr:col>4</xdr:col>
      <xdr:colOff>1270000</xdr:colOff>
      <xdr:row>127</xdr:row>
      <xdr:rowOff>54505</xdr:rowOff>
    </xdr:from>
    <xdr:to>
      <xdr:col>4</xdr:col>
      <xdr:colOff>1810448</xdr:colOff>
      <xdr:row>127</xdr:row>
      <xdr:rowOff>723552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A3E42A65-D960-4F61-8751-8E2CAAAB71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5" y="102876880"/>
          <a:ext cx="540448" cy="669047"/>
        </a:xfrm>
        <a:prstGeom prst="rect">
          <a:avLst/>
        </a:prstGeom>
      </xdr:spPr>
    </xdr:pic>
    <xdr:clientData/>
  </xdr:twoCellAnchor>
  <xdr:twoCellAnchor editAs="oneCell">
    <xdr:from>
      <xdr:col>4</xdr:col>
      <xdr:colOff>1835978</xdr:colOff>
      <xdr:row>127</xdr:row>
      <xdr:rowOff>40701</xdr:rowOff>
    </xdr:from>
    <xdr:to>
      <xdr:col>4</xdr:col>
      <xdr:colOff>2385116</xdr:colOff>
      <xdr:row>127</xdr:row>
      <xdr:rowOff>713902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42E8F80B-F620-4B15-AE39-FCB6F0D468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102863076"/>
          <a:ext cx="549138" cy="673201"/>
        </a:xfrm>
        <a:prstGeom prst="rect">
          <a:avLst/>
        </a:prstGeom>
      </xdr:spPr>
    </xdr:pic>
    <xdr:clientData/>
  </xdr:twoCellAnchor>
  <xdr:twoCellAnchor editAs="oneCell">
    <xdr:from>
      <xdr:col>4</xdr:col>
      <xdr:colOff>2401957</xdr:colOff>
      <xdr:row>127</xdr:row>
      <xdr:rowOff>82113</xdr:rowOff>
    </xdr:from>
    <xdr:to>
      <xdr:col>4</xdr:col>
      <xdr:colOff>2977458</xdr:colOff>
      <xdr:row>127</xdr:row>
      <xdr:rowOff>727344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F44F1DE1-9631-4751-A373-DEC7349E59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482" y="102904488"/>
          <a:ext cx="575501" cy="645231"/>
        </a:xfrm>
        <a:prstGeom prst="rect">
          <a:avLst/>
        </a:prstGeom>
      </xdr:spPr>
    </xdr:pic>
    <xdr:clientData/>
  </xdr:twoCellAnchor>
  <xdr:twoCellAnchor editAs="oneCell">
    <xdr:from>
      <xdr:col>4</xdr:col>
      <xdr:colOff>3009347</xdr:colOff>
      <xdr:row>127</xdr:row>
      <xdr:rowOff>62572</xdr:rowOff>
    </xdr:from>
    <xdr:to>
      <xdr:col>4</xdr:col>
      <xdr:colOff>3595789</xdr:colOff>
      <xdr:row>127</xdr:row>
      <xdr:rowOff>738608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59FFBDE-33A8-485C-AE7F-030FD5F0CD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872" y="102884947"/>
          <a:ext cx="586442" cy="676036"/>
        </a:xfrm>
        <a:prstGeom prst="rect">
          <a:avLst/>
        </a:prstGeom>
      </xdr:spPr>
    </xdr:pic>
    <xdr:clientData/>
  </xdr:twoCellAnchor>
  <xdr:twoCellAnchor editAs="oneCell">
    <xdr:from>
      <xdr:col>4</xdr:col>
      <xdr:colOff>3650188</xdr:colOff>
      <xdr:row>127</xdr:row>
      <xdr:rowOff>55721</xdr:rowOff>
    </xdr:from>
    <xdr:to>
      <xdr:col>4</xdr:col>
      <xdr:colOff>4188902</xdr:colOff>
      <xdr:row>127</xdr:row>
      <xdr:rowOff>714249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78133A30-7126-4A65-935F-6E9BE696F4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713" y="102878096"/>
          <a:ext cx="545064" cy="658528"/>
        </a:xfrm>
        <a:prstGeom prst="rect">
          <a:avLst/>
        </a:prstGeom>
      </xdr:spPr>
    </xdr:pic>
    <xdr:clientData/>
  </xdr:twoCellAnchor>
  <xdr:oneCellAnchor>
    <xdr:from>
      <xdr:col>4</xdr:col>
      <xdr:colOff>82827</xdr:colOff>
      <xdr:row>128</xdr:row>
      <xdr:rowOff>64006</xdr:rowOff>
    </xdr:from>
    <xdr:ext cx="560121" cy="651780"/>
    <xdr:pic>
      <xdr:nvPicPr>
        <xdr:cNvPr id="1023" name="Picture 1022">
          <a:extLst>
            <a:ext uri="{FF2B5EF4-FFF2-40B4-BE49-F238E27FC236}">
              <a16:creationId xmlns:a16="http://schemas.microsoft.com/office/drawing/2014/main" id="{DD7D721B-E7CA-48B9-A641-4668F856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2" y="103686481"/>
          <a:ext cx="560121" cy="651780"/>
        </a:xfrm>
        <a:prstGeom prst="rect">
          <a:avLst/>
        </a:prstGeom>
      </xdr:spPr>
    </xdr:pic>
    <xdr:clientData/>
  </xdr:oneCellAnchor>
  <xdr:oneCellAnchor>
    <xdr:from>
      <xdr:col>4</xdr:col>
      <xdr:colOff>690217</xdr:colOff>
      <xdr:row>128</xdr:row>
      <xdr:rowOff>76377</xdr:rowOff>
    </xdr:from>
    <xdr:ext cx="551829" cy="680015"/>
    <xdr:pic>
      <xdr:nvPicPr>
        <xdr:cNvPr id="1024" name="Picture 1023">
          <a:extLst>
            <a:ext uri="{FF2B5EF4-FFF2-40B4-BE49-F238E27FC236}">
              <a16:creationId xmlns:a16="http://schemas.microsoft.com/office/drawing/2014/main" id="{D427A941-5FB1-4291-A255-16F8774A9B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2" y="103698852"/>
          <a:ext cx="551829" cy="680015"/>
        </a:xfrm>
        <a:prstGeom prst="rect">
          <a:avLst/>
        </a:prstGeom>
      </xdr:spPr>
    </xdr:pic>
    <xdr:clientData/>
  </xdr:oneCellAnchor>
  <xdr:oneCellAnchor>
    <xdr:from>
      <xdr:col>4</xdr:col>
      <xdr:colOff>1270000</xdr:colOff>
      <xdr:row>128</xdr:row>
      <xdr:rowOff>54505</xdr:rowOff>
    </xdr:from>
    <xdr:ext cx="540448" cy="669047"/>
    <xdr:pic>
      <xdr:nvPicPr>
        <xdr:cNvPr id="1025" name="Picture 1024">
          <a:extLst>
            <a:ext uri="{FF2B5EF4-FFF2-40B4-BE49-F238E27FC236}">
              <a16:creationId xmlns:a16="http://schemas.microsoft.com/office/drawing/2014/main" id="{55F8738A-7C71-43BC-AF02-4DE4573541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5" y="103676980"/>
          <a:ext cx="540448" cy="669047"/>
        </a:xfrm>
        <a:prstGeom prst="rect">
          <a:avLst/>
        </a:prstGeom>
      </xdr:spPr>
    </xdr:pic>
    <xdr:clientData/>
  </xdr:oneCellAnchor>
  <xdr:oneCellAnchor>
    <xdr:from>
      <xdr:col>4</xdr:col>
      <xdr:colOff>1835978</xdr:colOff>
      <xdr:row>128</xdr:row>
      <xdr:rowOff>40701</xdr:rowOff>
    </xdr:from>
    <xdr:ext cx="549138" cy="673201"/>
    <xdr:pic>
      <xdr:nvPicPr>
        <xdr:cNvPr id="1026" name="Picture 1025">
          <a:extLst>
            <a:ext uri="{FF2B5EF4-FFF2-40B4-BE49-F238E27FC236}">
              <a16:creationId xmlns:a16="http://schemas.microsoft.com/office/drawing/2014/main" id="{9E49B196-77CC-4DBB-BEDD-8B76341BBE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103663176"/>
          <a:ext cx="549138" cy="673201"/>
        </a:xfrm>
        <a:prstGeom prst="rect">
          <a:avLst/>
        </a:prstGeom>
      </xdr:spPr>
    </xdr:pic>
    <xdr:clientData/>
  </xdr:oneCellAnchor>
  <xdr:oneCellAnchor>
    <xdr:from>
      <xdr:col>4</xdr:col>
      <xdr:colOff>2401957</xdr:colOff>
      <xdr:row>128</xdr:row>
      <xdr:rowOff>82113</xdr:rowOff>
    </xdr:from>
    <xdr:ext cx="575501" cy="645231"/>
    <xdr:pic>
      <xdr:nvPicPr>
        <xdr:cNvPr id="1027" name="Picture 1026">
          <a:extLst>
            <a:ext uri="{FF2B5EF4-FFF2-40B4-BE49-F238E27FC236}">
              <a16:creationId xmlns:a16="http://schemas.microsoft.com/office/drawing/2014/main" id="{867FC369-E4F3-44A6-AF24-EF6DEEF5B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482" y="103704588"/>
          <a:ext cx="575501" cy="645231"/>
        </a:xfrm>
        <a:prstGeom prst="rect">
          <a:avLst/>
        </a:prstGeom>
      </xdr:spPr>
    </xdr:pic>
    <xdr:clientData/>
  </xdr:oneCellAnchor>
  <xdr:oneCellAnchor>
    <xdr:from>
      <xdr:col>4</xdr:col>
      <xdr:colOff>3009347</xdr:colOff>
      <xdr:row>128</xdr:row>
      <xdr:rowOff>62572</xdr:rowOff>
    </xdr:from>
    <xdr:ext cx="586442" cy="676036"/>
    <xdr:pic>
      <xdr:nvPicPr>
        <xdr:cNvPr id="1028" name="Picture 1027">
          <a:extLst>
            <a:ext uri="{FF2B5EF4-FFF2-40B4-BE49-F238E27FC236}">
              <a16:creationId xmlns:a16="http://schemas.microsoft.com/office/drawing/2014/main" id="{C730008C-6D1E-472D-B041-B942A246A2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872" y="103685047"/>
          <a:ext cx="586442" cy="676036"/>
        </a:xfrm>
        <a:prstGeom prst="rect">
          <a:avLst/>
        </a:prstGeom>
      </xdr:spPr>
    </xdr:pic>
    <xdr:clientData/>
  </xdr:oneCellAnchor>
  <xdr:oneCellAnchor>
    <xdr:from>
      <xdr:col>4</xdr:col>
      <xdr:colOff>3650188</xdr:colOff>
      <xdr:row>128</xdr:row>
      <xdr:rowOff>55721</xdr:rowOff>
    </xdr:from>
    <xdr:ext cx="545064" cy="658528"/>
    <xdr:pic>
      <xdr:nvPicPr>
        <xdr:cNvPr id="1029" name="Picture 1028">
          <a:extLst>
            <a:ext uri="{FF2B5EF4-FFF2-40B4-BE49-F238E27FC236}">
              <a16:creationId xmlns:a16="http://schemas.microsoft.com/office/drawing/2014/main" id="{33CFD42A-4785-42DB-BA6C-26A7F832E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713" y="103678196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82827</xdr:colOff>
      <xdr:row>129</xdr:row>
      <xdr:rowOff>64006</xdr:rowOff>
    </xdr:from>
    <xdr:ext cx="560121" cy="651780"/>
    <xdr:pic>
      <xdr:nvPicPr>
        <xdr:cNvPr id="1030" name="Picture 1029">
          <a:extLst>
            <a:ext uri="{FF2B5EF4-FFF2-40B4-BE49-F238E27FC236}">
              <a16:creationId xmlns:a16="http://schemas.microsoft.com/office/drawing/2014/main" id="{4886F43D-60E9-427E-B815-16513FFBEF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2" y="104686606"/>
          <a:ext cx="560121" cy="651780"/>
        </a:xfrm>
        <a:prstGeom prst="rect">
          <a:avLst/>
        </a:prstGeom>
      </xdr:spPr>
    </xdr:pic>
    <xdr:clientData/>
  </xdr:oneCellAnchor>
  <xdr:oneCellAnchor>
    <xdr:from>
      <xdr:col>4</xdr:col>
      <xdr:colOff>690217</xdr:colOff>
      <xdr:row>129</xdr:row>
      <xdr:rowOff>76377</xdr:rowOff>
    </xdr:from>
    <xdr:ext cx="551829" cy="680015"/>
    <xdr:pic>
      <xdr:nvPicPr>
        <xdr:cNvPr id="1031" name="Picture 1030">
          <a:extLst>
            <a:ext uri="{FF2B5EF4-FFF2-40B4-BE49-F238E27FC236}">
              <a16:creationId xmlns:a16="http://schemas.microsoft.com/office/drawing/2014/main" id="{E799120E-5E6B-499A-A1CF-D53834F5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2" y="104698977"/>
          <a:ext cx="551829" cy="680015"/>
        </a:xfrm>
        <a:prstGeom prst="rect">
          <a:avLst/>
        </a:prstGeom>
      </xdr:spPr>
    </xdr:pic>
    <xdr:clientData/>
  </xdr:oneCellAnchor>
  <xdr:oneCellAnchor>
    <xdr:from>
      <xdr:col>4</xdr:col>
      <xdr:colOff>1270000</xdr:colOff>
      <xdr:row>129</xdr:row>
      <xdr:rowOff>54505</xdr:rowOff>
    </xdr:from>
    <xdr:ext cx="540448" cy="669047"/>
    <xdr:pic>
      <xdr:nvPicPr>
        <xdr:cNvPr id="1032" name="Picture 1031">
          <a:extLst>
            <a:ext uri="{FF2B5EF4-FFF2-40B4-BE49-F238E27FC236}">
              <a16:creationId xmlns:a16="http://schemas.microsoft.com/office/drawing/2014/main" id="{148EE858-3681-459C-B6DE-0F92DF510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5" y="104677105"/>
          <a:ext cx="540448" cy="669047"/>
        </a:xfrm>
        <a:prstGeom prst="rect">
          <a:avLst/>
        </a:prstGeom>
      </xdr:spPr>
    </xdr:pic>
    <xdr:clientData/>
  </xdr:oneCellAnchor>
  <xdr:oneCellAnchor>
    <xdr:from>
      <xdr:col>4</xdr:col>
      <xdr:colOff>1835978</xdr:colOff>
      <xdr:row>129</xdr:row>
      <xdr:rowOff>40701</xdr:rowOff>
    </xdr:from>
    <xdr:ext cx="549138" cy="673201"/>
    <xdr:pic>
      <xdr:nvPicPr>
        <xdr:cNvPr id="1033" name="Picture 1032">
          <a:extLst>
            <a:ext uri="{FF2B5EF4-FFF2-40B4-BE49-F238E27FC236}">
              <a16:creationId xmlns:a16="http://schemas.microsoft.com/office/drawing/2014/main" id="{B3400AAE-861F-4FB8-872C-43C5F31CB0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104663301"/>
          <a:ext cx="549138" cy="673201"/>
        </a:xfrm>
        <a:prstGeom prst="rect">
          <a:avLst/>
        </a:prstGeom>
      </xdr:spPr>
    </xdr:pic>
    <xdr:clientData/>
  </xdr:oneCellAnchor>
  <xdr:oneCellAnchor>
    <xdr:from>
      <xdr:col>4</xdr:col>
      <xdr:colOff>2401957</xdr:colOff>
      <xdr:row>129</xdr:row>
      <xdr:rowOff>82113</xdr:rowOff>
    </xdr:from>
    <xdr:ext cx="575501" cy="645231"/>
    <xdr:pic>
      <xdr:nvPicPr>
        <xdr:cNvPr id="1034" name="Picture 1033">
          <a:extLst>
            <a:ext uri="{FF2B5EF4-FFF2-40B4-BE49-F238E27FC236}">
              <a16:creationId xmlns:a16="http://schemas.microsoft.com/office/drawing/2014/main" id="{F001F505-CE4E-4ED0-9C80-A9235621D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482" y="104704713"/>
          <a:ext cx="575501" cy="645231"/>
        </a:xfrm>
        <a:prstGeom prst="rect">
          <a:avLst/>
        </a:prstGeom>
      </xdr:spPr>
    </xdr:pic>
    <xdr:clientData/>
  </xdr:oneCellAnchor>
  <xdr:oneCellAnchor>
    <xdr:from>
      <xdr:col>4</xdr:col>
      <xdr:colOff>3009347</xdr:colOff>
      <xdr:row>129</xdr:row>
      <xdr:rowOff>62572</xdr:rowOff>
    </xdr:from>
    <xdr:ext cx="586442" cy="676036"/>
    <xdr:pic>
      <xdr:nvPicPr>
        <xdr:cNvPr id="1035" name="Picture 1034">
          <a:extLst>
            <a:ext uri="{FF2B5EF4-FFF2-40B4-BE49-F238E27FC236}">
              <a16:creationId xmlns:a16="http://schemas.microsoft.com/office/drawing/2014/main" id="{A4A92D0F-FC5E-4503-813A-418D66C60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872" y="104685172"/>
          <a:ext cx="586442" cy="676036"/>
        </a:xfrm>
        <a:prstGeom prst="rect">
          <a:avLst/>
        </a:prstGeom>
      </xdr:spPr>
    </xdr:pic>
    <xdr:clientData/>
  </xdr:oneCellAnchor>
  <xdr:oneCellAnchor>
    <xdr:from>
      <xdr:col>4</xdr:col>
      <xdr:colOff>3650188</xdr:colOff>
      <xdr:row>129</xdr:row>
      <xdr:rowOff>55721</xdr:rowOff>
    </xdr:from>
    <xdr:ext cx="545064" cy="658528"/>
    <xdr:pic>
      <xdr:nvPicPr>
        <xdr:cNvPr id="1036" name="Picture 1035">
          <a:extLst>
            <a:ext uri="{FF2B5EF4-FFF2-40B4-BE49-F238E27FC236}">
              <a16:creationId xmlns:a16="http://schemas.microsoft.com/office/drawing/2014/main" id="{734FCBC4-8C15-4506-B8E3-055BB166A6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713" y="104678321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82827</xdr:colOff>
      <xdr:row>130</xdr:row>
      <xdr:rowOff>64006</xdr:rowOff>
    </xdr:from>
    <xdr:ext cx="560121" cy="651780"/>
    <xdr:pic>
      <xdr:nvPicPr>
        <xdr:cNvPr id="1037" name="Picture 1036">
          <a:extLst>
            <a:ext uri="{FF2B5EF4-FFF2-40B4-BE49-F238E27FC236}">
              <a16:creationId xmlns:a16="http://schemas.microsoft.com/office/drawing/2014/main" id="{7074DF08-D019-42CD-A8A0-4992701E9D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5352" y="105486706"/>
          <a:ext cx="560121" cy="651780"/>
        </a:xfrm>
        <a:prstGeom prst="rect">
          <a:avLst/>
        </a:prstGeom>
      </xdr:spPr>
    </xdr:pic>
    <xdr:clientData/>
  </xdr:oneCellAnchor>
  <xdr:oneCellAnchor>
    <xdr:from>
      <xdr:col>4</xdr:col>
      <xdr:colOff>690217</xdr:colOff>
      <xdr:row>130</xdr:row>
      <xdr:rowOff>76377</xdr:rowOff>
    </xdr:from>
    <xdr:ext cx="551829" cy="680015"/>
    <xdr:pic>
      <xdr:nvPicPr>
        <xdr:cNvPr id="1038" name="Picture 1037">
          <a:extLst>
            <a:ext uri="{FF2B5EF4-FFF2-40B4-BE49-F238E27FC236}">
              <a16:creationId xmlns:a16="http://schemas.microsoft.com/office/drawing/2014/main" id="{3A33CD76-DEC3-43ED-BA8D-F84DDCD9B6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2742" y="105499077"/>
          <a:ext cx="551829" cy="680015"/>
        </a:xfrm>
        <a:prstGeom prst="rect">
          <a:avLst/>
        </a:prstGeom>
      </xdr:spPr>
    </xdr:pic>
    <xdr:clientData/>
  </xdr:oneCellAnchor>
  <xdr:oneCellAnchor>
    <xdr:from>
      <xdr:col>4</xdr:col>
      <xdr:colOff>1270000</xdr:colOff>
      <xdr:row>130</xdr:row>
      <xdr:rowOff>54505</xdr:rowOff>
    </xdr:from>
    <xdr:ext cx="540448" cy="669047"/>
    <xdr:pic>
      <xdr:nvPicPr>
        <xdr:cNvPr id="1039" name="Picture 1038">
          <a:extLst>
            <a:ext uri="{FF2B5EF4-FFF2-40B4-BE49-F238E27FC236}">
              <a16:creationId xmlns:a16="http://schemas.microsoft.com/office/drawing/2014/main" id="{26CD1037-575A-49D1-9356-97BB8D3935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32525" y="105477205"/>
          <a:ext cx="540448" cy="669047"/>
        </a:xfrm>
        <a:prstGeom prst="rect">
          <a:avLst/>
        </a:prstGeom>
      </xdr:spPr>
    </xdr:pic>
    <xdr:clientData/>
  </xdr:oneCellAnchor>
  <xdr:oneCellAnchor>
    <xdr:from>
      <xdr:col>4</xdr:col>
      <xdr:colOff>1835978</xdr:colOff>
      <xdr:row>130</xdr:row>
      <xdr:rowOff>40701</xdr:rowOff>
    </xdr:from>
    <xdr:ext cx="549138" cy="673201"/>
    <xdr:pic>
      <xdr:nvPicPr>
        <xdr:cNvPr id="1040" name="Picture 1039">
          <a:extLst>
            <a:ext uri="{FF2B5EF4-FFF2-40B4-BE49-F238E27FC236}">
              <a16:creationId xmlns:a16="http://schemas.microsoft.com/office/drawing/2014/main" id="{764A4294-70D4-4AFD-B635-4D32B3076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8503" y="105463401"/>
          <a:ext cx="549138" cy="673201"/>
        </a:xfrm>
        <a:prstGeom prst="rect">
          <a:avLst/>
        </a:prstGeom>
      </xdr:spPr>
    </xdr:pic>
    <xdr:clientData/>
  </xdr:oneCellAnchor>
  <xdr:oneCellAnchor>
    <xdr:from>
      <xdr:col>4</xdr:col>
      <xdr:colOff>2401957</xdr:colOff>
      <xdr:row>130</xdr:row>
      <xdr:rowOff>82113</xdr:rowOff>
    </xdr:from>
    <xdr:ext cx="575501" cy="645231"/>
    <xdr:pic>
      <xdr:nvPicPr>
        <xdr:cNvPr id="1041" name="Picture 1040">
          <a:extLst>
            <a:ext uri="{FF2B5EF4-FFF2-40B4-BE49-F238E27FC236}">
              <a16:creationId xmlns:a16="http://schemas.microsoft.com/office/drawing/2014/main" id="{894669AB-0439-4625-A88D-94F074E75D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4482" y="105504813"/>
          <a:ext cx="575501" cy="645231"/>
        </a:xfrm>
        <a:prstGeom prst="rect">
          <a:avLst/>
        </a:prstGeom>
      </xdr:spPr>
    </xdr:pic>
    <xdr:clientData/>
  </xdr:oneCellAnchor>
  <xdr:oneCellAnchor>
    <xdr:from>
      <xdr:col>4</xdr:col>
      <xdr:colOff>3009347</xdr:colOff>
      <xdr:row>130</xdr:row>
      <xdr:rowOff>62572</xdr:rowOff>
    </xdr:from>
    <xdr:ext cx="586442" cy="676036"/>
    <xdr:pic>
      <xdr:nvPicPr>
        <xdr:cNvPr id="1042" name="Picture 1041">
          <a:extLst>
            <a:ext uri="{FF2B5EF4-FFF2-40B4-BE49-F238E27FC236}">
              <a16:creationId xmlns:a16="http://schemas.microsoft.com/office/drawing/2014/main" id="{CD3D4D0B-B94E-482E-9CDC-F79DEE44D2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71872" y="105485272"/>
          <a:ext cx="586442" cy="676036"/>
        </a:xfrm>
        <a:prstGeom prst="rect">
          <a:avLst/>
        </a:prstGeom>
      </xdr:spPr>
    </xdr:pic>
    <xdr:clientData/>
  </xdr:oneCellAnchor>
  <xdr:oneCellAnchor>
    <xdr:from>
      <xdr:col>4</xdr:col>
      <xdr:colOff>3650188</xdr:colOff>
      <xdr:row>130</xdr:row>
      <xdr:rowOff>55721</xdr:rowOff>
    </xdr:from>
    <xdr:ext cx="545064" cy="658528"/>
    <xdr:pic>
      <xdr:nvPicPr>
        <xdr:cNvPr id="1043" name="Picture 1042">
          <a:extLst>
            <a:ext uri="{FF2B5EF4-FFF2-40B4-BE49-F238E27FC236}">
              <a16:creationId xmlns:a16="http://schemas.microsoft.com/office/drawing/2014/main" id="{CFA485BF-C8C0-4C31-A014-EC15E4D53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713" y="105478421"/>
          <a:ext cx="545064" cy="658528"/>
        </a:xfrm>
        <a:prstGeom prst="rect">
          <a:avLst/>
        </a:prstGeom>
      </xdr:spPr>
    </xdr:pic>
    <xdr:clientData/>
  </xdr:oneCellAnchor>
  <xdr:oneCellAnchor>
    <xdr:from>
      <xdr:col>4</xdr:col>
      <xdr:colOff>2464448</xdr:colOff>
      <xdr:row>131</xdr:row>
      <xdr:rowOff>85662</xdr:rowOff>
    </xdr:from>
    <xdr:ext cx="545064" cy="658529"/>
    <xdr:pic>
      <xdr:nvPicPr>
        <xdr:cNvPr id="1044" name="Picture 1043">
          <a:extLst>
            <a:ext uri="{FF2B5EF4-FFF2-40B4-BE49-F238E27FC236}">
              <a16:creationId xmlns:a16="http://schemas.microsoft.com/office/drawing/2014/main" id="{7A16AAF9-332E-4D0A-A2D4-7333A15CC5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106508487"/>
          <a:ext cx="545064" cy="658529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131</xdr:row>
      <xdr:rowOff>85878</xdr:rowOff>
    </xdr:from>
    <xdr:ext cx="560121" cy="651781"/>
    <xdr:pic>
      <xdr:nvPicPr>
        <xdr:cNvPr id="1045" name="Picture 1044">
          <a:extLst>
            <a:ext uri="{FF2B5EF4-FFF2-40B4-BE49-F238E27FC236}">
              <a16:creationId xmlns:a16="http://schemas.microsoft.com/office/drawing/2014/main" id="{B5442ADE-59E9-440A-B4A2-76ED50409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6508703"/>
          <a:ext cx="560121" cy="651781"/>
        </a:xfrm>
        <a:prstGeom prst="rect">
          <a:avLst/>
        </a:prstGeom>
      </xdr:spPr>
    </xdr:pic>
    <xdr:clientData/>
  </xdr:oneCellAnchor>
  <xdr:oneCellAnchor>
    <xdr:from>
      <xdr:col>4</xdr:col>
      <xdr:colOff>648804</xdr:colOff>
      <xdr:row>131</xdr:row>
      <xdr:rowOff>72072</xdr:rowOff>
    </xdr:from>
    <xdr:ext cx="551829" cy="680016"/>
    <xdr:pic>
      <xdr:nvPicPr>
        <xdr:cNvPr id="1046" name="Picture 1045">
          <a:extLst>
            <a:ext uri="{FF2B5EF4-FFF2-40B4-BE49-F238E27FC236}">
              <a16:creationId xmlns:a16="http://schemas.microsoft.com/office/drawing/2014/main" id="{D118E3F5-6D5F-4DB2-AB71-E9E900897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106494897"/>
          <a:ext cx="551829" cy="680016"/>
        </a:xfrm>
        <a:prstGeom prst="rect">
          <a:avLst/>
        </a:prstGeom>
      </xdr:spPr>
    </xdr:pic>
    <xdr:clientData/>
  </xdr:oneCellAnchor>
  <xdr:oneCellAnchor>
    <xdr:from>
      <xdr:col>4</xdr:col>
      <xdr:colOff>1242391</xdr:colOff>
      <xdr:row>131</xdr:row>
      <xdr:rowOff>32096</xdr:rowOff>
    </xdr:from>
    <xdr:ext cx="540448" cy="710461"/>
    <xdr:pic>
      <xdr:nvPicPr>
        <xdr:cNvPr id="1047" name="Picture 1046">
          <a:extLst>
            <a:ext uri="{FF2B5EF4-FFF2-40B4-BE49-F238E27FC236}">
              <a16:creationId xmlns:a16="http://schemas.microsoft.com/office/drawing/2014/main" id="{3618B1AA-BF02-4751-94B8-A7412DB32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106454921"/>
          <a:ext cx="540448" cy="710461"/>
        </a:xfrm>
        <a:prstGeom prst="rect">
          <a:avLst/>
        </a:prstGeom>
      </xdr:spPr>
    </xdr:pic>
    <xdr:clientData/>
  </xdr:oneCellAnchor>
  <xdr:oneCellAnchor>
    <xdr:from>
      <xdr:col>4</xdr:col>
      <xdr:colOff>1808369</xdr:colOff>
      <xdr:row>131</xdr:row>
      <xdr:rowOff>70639</xdr:rowOff>
    </xdr:from>
    <xdr:ext cx="586442" cy="676037"/>
    <xdr:pic>
      <xdr:nvPicPr>
        <xdr:cNvPr id="1048" name="Picture 1047">
          <a:extLst>
            <a:ext uri="{FF2B5EF4-FFF2-40B4-BE49-F238E27FC236}">
              <a16:creationId xmlns:a16="http://schemas.microsoft.com/office/drawing/2014/main" id="{3F9DEB4A-DD69-47F2-9F19-EC6705AA1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894" y="106493464"/>
          <a:ext cx="586442" cy="676037"/>
        </a:xfrm>
        <a:prstGeom prst="rect">
          <a:avLst/>
        </a:prstGeom>
      </xdr:spPr>
    </xdr:pic>
    <xdr:clientData/>
  </xdr:oneCellAnchor>
  <xdr:oneCellAnchor>
    <xdr:from>
      <xdr:col>4</xdr:col>
      <xdr:colOff>2464448</xdr:colOff>
      <xdr:row>126</xdr:row>
      <xdr:rowOff>85662</xdr:rowOff>
    </xdr:from>
    <xdr:ext cx="545064" cy="658529"/>
    <xdr:pic>
      <xdr:nvPicPr>
        <xdr:cNvPr id="1049" name="Picture 1048">
          <a:extLst>
            <a:ext uri="{FF2B5EF4-FFF2-40B4-BE49-F238E27FC236}">
              <a16:creationId xmlns:a16="http://schemas.microsoft.com/office/drawing/2014/main" id="{4C34B8BF-05A8-4325-9BEA-65FF4D105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102060312"/>
          <a:ext cx="545064" cy="658529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126</xdr:row>
      <xdr:rowOff>85878</xdr:rowOff>
    </xdr:from>
    <xdr:ext cx="560121" cy="651781"/>
    <xdr:pic>
      <xdr:nvPicPr>
        <xdr:cNvPr id="1050" name="Picture 1049">
          <a:extLst>
            <a:ext uri="{FF2B5EF4-FFF2-40B4-BE49-F238E27FC236}">
              <a16:creationId xmlns:a16="http://schemas.microsoft.com/office/drawing/2014/main" id="{5D20EA53-A473-4B73-8378-18A2FF791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2060528"/>
          <a:ext cx="560121" cy="651781"/>
        </a:xfrm>
        <a:prstGeom prst="rect">
          <a:avLst/>
        </a:prstGeom>
      </xdr:spPr>
    </xdr:pic>
    <xdr:clientData/>
  </xdr:oneCellAnchor>
  <xdr:oneCellAnchor>
    <xdr:from>
      <xdr:col>4</xdr:col>
      <xdr:colOff>648804</xdr:colOff>
      <xdr:row>126</xdr:row>
      <xdr:rowOff>72072</xdr:rowOff>
    </xdr:from>
    <xdr:ext cx="551829" cy="680016"/>
    <xdr:pic>
      <xdr:nvPicPr>
        <xdr:cNvPr id="1051" name="Picture 1050">
          <a:extLst>
            <a:ext uri="{FF2B5EF4-FFF2-40B4-BE49-F238E27FC236}">
              <a16:creationId xmlns:a16="http://schemas.microsoft.com/office/drawing/2014/main" id="{6F937D3E-F093-47EE-8344-B0C8836C5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102046722"/>
          <a:ext cx="551829" cy="680016"/>
        </a:xfrm>
        <a:prstGeom prst="rect">
          <a:avLst/>
        </a:prstGeom>
      </xdr:spPr>
    </xdr:pic>
    <xdr:clientData/>
  </xdr:oneCellAnchor>
  <xdr:oneCellAnchor>
    <xdr:from>
      <xdr:col>4</xdr:col>
      <xdr:colOff>1242391</xdr:colOff>
      <xdr:row>126</xdr:row>
      <xdr:rowOff>32096</xdr:rowOff>
    </xdr:from>
    <xdr:ext cx="540448" cy="710461"/>
    <xdr:pic>
      <xdr:nvPicPr>
        <xdr:cNvPr id="1052" name="Picture 1051">
          <a:extLst>
            <a:ext uri="{FF2B5EF4-FFF2-40B4-BE49-F238E27FC236}">
              <a16:creationId xmlns:a16="http://schemas.microsoft.com/office/drawing/2014/main" id="{1304D310-9C48-4816-A4F7-02C0B0BE12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102006746"/>
          <a:ext cx="540448" cy="710461"/>
        </a:xfrm>
        <a:prstGeom prst="rect">
          <a:avLst/>
        </a:prstGeom>
      </xdr:spPr>
    </xdr:pic>
    <xdr:clientData/>
  </xdr:oneCellAnchor>
  <xdr:oneCellAnchor>
    <xdr:from>
      <xdr:col>4</xdr:col>
      <xdr:colOff>1808369</xdr:colOff>
      <xdr:row>126</xdr:row>
      <xdr:rowOff>70639</xdr:rowOff>
    </xdr:from>
    <xdr:ext cx="586442" cy="676037"/>
    <xdr:pic>
      <xdr:nvPicPr>
        <xdr:cNvPr id="1053" name="Picture 1052">
          <a:extLst>
            <a:ext uri="{FF2B5EF4-FFF2-40B4-BE49-F238E27FC236}">
              <a16:creationId xmlns:a16="http://schemas.microsoft.com/office/drawing/2014/main" id="{ABE5A3B9-6193-4001-8115-9404E8CFD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894" y="102045289"/>
          <a:ext cx="586442" cy="676037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132</xdr:row>
      <xdr:rowOff>167625</xdr:rowOff>
    </xdr:from>
    <xdr:ext cx="551828" cy="656054"/>
    <xdr:pic>
      <xdr:nvPicPr>
        <xdr:cNvPr id="1067" name="Picture 1066">
          <a:extLst>
            <a:ext uri="{FF2B5EF4-FFF2-40B4-BE49-F238E27FC236}">
              <a16:creationId xmlns:a16="http://schemas.microsoft.com/office/drawing/2014/main" id="{DDD72157-4820-4A12-81B6-456320441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8781200"/>
          <a:ext cx="551828" cy="656054"/>
        </a:xfrm>
        <a:prstGeom prst="rect">
          <a:avLst/>
        </a:prstGeom>
      </xdr:spPr>
    </xdr:pic>
    <xdr:clientData/>
  </xdr:oneCellAnchor>
  <xdr:oneCellAnchor>
    <xdr:from>
      <xdr:col>4</xdr:col>
      <xdr:colOff>621196</xdr:colOff>
      <xdr:row>132</xdr:row>
      <xdr:rowOff>177127</xdr:rowOff>
    </xdr:from>
    <xdr:ext cx="556845" cy="671110"/>
    <xdr:pic>
      <xdr:nvPicPr>
        <xdr:cNvPr id="1068" name="Picture 1067">
          <a:extLst>
            <a:ext uri="{FF2B5EF4-FFF2-40B4-BE49-F238E27FC236}">
              <a16:creationId xmlns:a16="http://schemas.microsoft.com/office/drawing/2014/main" id="{B65C7D17-B974-4A6E-A6FB-36A409DD4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721" y="108790702"/>
          <a:ext cx="556845" cy="671110"/>
        </a:xfrm>
        <a:prstGeom prst="rect">
          <a:avLst/>
        </a:prstGeom>
      </xdr:spPr>
    </xdr:pic>
    <xdr:clientData/>
  </xdr:oneCellAnchor>
  <xdr:oneCellAnchor>
    <xdr:from>
      <xdr:col>4</xdr:col>
      <xdr:colOff>1205225</xdr:colOff>
      <xdr:row>132</xdr:row>
      <xdr:rowOff>169219</xdr:rowOff>
    </xdr:from>
    <xdr:ext cx="561865" cy="647822"/>
    <xdr:pic>
      <xdr:nvPicPr>
        <xdr:cNvPr id="1069" name="Picture 1068">
          <a:extLst>
            <a:ext uri="{FF2B5EF4-FFF2-40B4-BE49-F238E27FC236}">
              <a16:creationId xmlns:a16="http://schemas.microsoft.com/office/drawing/2014/main" id="{5E37947D-B57C-4071-AA24-575CF5ED31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7750" y="108782794"/>
          <a:ext cx="561865" cy="647822"/>
        </a:xfrm>
        <a:prstGeom prst="rect">
          <a:avLst/>
        </a:prstGeom>
      </xdr:spPr>
    </xdr:pic>
    <xdr:clientData/>
  </xdr:oneCellAnchor>
  <xdr:oneCellAnchor>
    <xdr:from>
      <xdr:col>4</xdr:col>
      <xdr:colOff>1837049</xdr:colOff>
      <xdr:row>132</xdr:row>
      <xdr:rowOff>166191</xdr:rowOff>
    </xdr:from>
    <xdr:ext cx="551829" cy="672918"/>
    <xdr:pic>
      <xdr:nvPicPr>
        <xdr:cNvPr id="1070" name="Picture 1069">
          <a:extLst>
            <a:ext uri="{FF2B5EF4-FFF2-40B4-BE49-F238E27FC236}">
              <a16:creationId xmlns:a16="http://schemas.microsoft.com/office/drawing/2014/main" id="{6A5004B6-896F-4A32-AAF2-7F5042CFD0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9574" y="108779766"/>
          <a:ext cx="551829" cy="672918"/>
        </a:xfrm>
        <a:prstGeom prst="rect">
          <a:avLst/>
        </a:prstGeom>
      </xdr:spPr>
    </xdr:pic>
    <xdr:clientData/>
  </xdr:oneCellAnchor>
  <xdr:oneCellAnchor>
    <xdr:from>
      <xdr:col>4</xdr:col>
      <xdr:colOff>2467247</xdr:colOff>
      <xdr:row>132</xdr:row>
      <xdr:rowOff>178561</xdr:rowOff>
    </xdr:from>
    <xdr:ext cx="540448" cy="667988"/>
    <xdr:pic>
      <xdr:nvPicPr>
        <xdr:cNvPr id="1071" name="Picture 1070">
          <a:extLst>
            <a:ext uri="{FF2B5EF4-FFF2-40B4-BE49-F238E27FC236}">
              <a16:creationId xmlns:a16="http://schemas.microsoft.com/office/drawing/2014/main" id="{1CB38A19-CF6D-4C94-9204-5CD860F78D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9772" y="108792136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3062270</xdr:colOff>
      <xdr:row>132</xdr:row>
      <xdr:rowOff>166191</xdr:rowOff>
    </xdr:from>
    <xdr:ext cx="549138" cy="669243"/>
    <xdr:pic>
      <xdr:nvPicPr>
        <xdr:cNvPr id="1072" name="Picture 1071">
          <a:extLst>
            <a:ext uri="{FF2B5EF4-FFF2-40B4-BE49-F238E27FC236}">
              <a16:creationId xmlns:a16="http://schemas.microsoft.com/office/drawing/2014/main" id="{7FAC25C9-664C-4D39-8A60-2AF468502E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4795" y="108779766"/>
          <a:ext cx="549138" cy="669243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133</xdr:row>
      <xdr:rowOff>167625</xdr:rowOff>
    </xdr:from>
    <xdr:ext cx="551828" cy="656054"/>
    <xdr:pic>
      <xdr:nvPicPr>
        <xdr:cNvPr id="1073" name="Picture 1072">
          <a:extLst>
            <a:ext uri="{FF2B5EF4-FFF2-40B4-BE49-F238E27FC236}">
              <a16:creationId xmlns:a16="http://schemas.microsoft.com/office/drawing/2014/main" id="{DD89C9C3-5D4D-466A-A5C6-723F994BB0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9876575"/>
          <a:ext cx="551828" cy="656054"/>
        </a:xfrm>
        <a:prstGeom prst="rect">
          <a:avLst/>
        </a:prstGeom>
      </xdr:spPr>
    </xdr:pic>
    <xdr:clientData/>
  </xdr:oneCellAnchor>
  <xdr:oneCellAnchor>
    <xdr:from>
      <xdr:col>4</xdr:col>
      <xdr:colOff>621196</xdr:colOff>
      <xdr:row>133</xdr:row>
      <xdr:rowOff>177127</xdr:rowOff>
    </xdr:from>
    <xdr:ext cx="556845" cy="671110"/>
    <xdr:pic>
      <xdr:nvPicPr>
        <xdr:cNvPr id="1074" name="Picture 1073">
          <a:extLst>
            <a:ext uri="{FF2B5EF4-FFF2-40B4-BE49-F238E27FC236}">
              <a16:creationId xmlns:a16="http://schemas.microsoft.com/office/drawing/2014/main" id="{9E144AD9-779F-4645-A97A-B2F8BC119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721" y="109886077"/>
          <a:ext cx="556845" cy="671110"/>
        </a:xfrm>
        <a:prstGeom prst="rect">
          <a:avLst/>
        </a:prstGeom>
      </xdr:spPr>
    </xdr:pic>
    <xdr:clientData/>
  </xdr:oneCellAnchor>
  <xdr:oneCellAnchor>
    <xdr:from>
      <xdr:col>4</xdr:col>
      <xdr:colOff>1187174</xdr:colOff>
      <xdr:row>133</xdr:row>
      <xdr:rowOff>203301</xdr:rowOff>
    </xdr:from>
    <xdr:ext cx="556847" cy="661073"/>
    <xdr:pic>
      <xdr:nvPicPr>
        <xdr:cNvPr id="1075" name="Picture 1074">
          <a:extLst>
            <a:ext uri="{FF2B5EF4-FFF2-40B4-BE49-F238E27FC236}">
              <a16:creationId xmlns:a16="http://schemas.microsoft.com/office/drawing/2014/main" id="{9ECDB351-3386-4DC5-83DC-CADF88EF6B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9699" y="109912251"/>
          <a:ext cx="556847" cy="661073"/>
        </a:xfrm>
        <a:prstGeom prst="rect">
          <a:avLst/>
        </a:prstGeom>
      </xdr:spPr>
    </xdr:pic>
    <xdr:clientData/>
  </xdr:oneCellAnchor>
  <xdr:oneCellAnchor>
    <xdr:from>
      <xdr:col>4</xdr:col>
      <xdr:colOff>1766956</xdr:colOff>
      <xdr:row>133</xdr:row>
      <xdr:rowOff>181430</xdr:rowOff>
    </xdr:from>
    <xdr:ext cx="561865" cy="647822"/>
    <xdr:pic>
      <xdr:nvPicPr>
        <xdr:cNvPr id="1076" name="Picture 1075">
          <a:extLst>
            <a:ext uri="{FF2B5EF4-FFF2-40B4-BE49-F238E27FC236}">
              <a16:creationId xmlns:a16="http://schemas.microsoft.com/office/drawing/2014/main" id="{8D55EFF5-FE86-46B3-93EC-F1E4E61C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9481" y="109890380"/>
          <a:ext cx="561865" cy="647822"/>
        </a:xfrm>
        <a:prstGeom prst="rect">
          <a:avLst/>
        </a:prstGeom>
      </xdr:spPr>
    </xdr:pic>
    <xdr:clientData/>
  </xdr:oneCellAnchor>
  <xdr:oneCellAnchor>
    <xdr:from>
      <xdr:col>4</xdr:col>
      <xdr:colOff>2374348</xdr:colOff>
      <xdr:row>133</xdr:row>
      <xdr:rowOff>166191</xdr:rowOff>
    </xdr:from>
    <xdr:ext cx="551829" cy="672918"/>
    <xdr:pic>
      <xdr:nvPicPr>
        <xdr:cNvPr id="1077" name="Picture 1076">
          <a:extLst>
            <a:ext uri="{FF2B5EF4-FFF2-40B4-BE49-F238E27FC236}">
              <a16:creationId xmlns:a16="http://schemas.microsoft.com/office/drawing/2014/main" id="{C417DA59-D315-453B-8BD0-D3BD9B5160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873" y="109875141"/>
          <a:ext cx="551829" cy="672918"/>
        </a:xfrm>
        <a:prstGeom prst="rect">
          <a:avLst/>
        </a:prstGeom>
      </xdr:spPr>
    </xdr:pic>
    <xdr:clientData/>
  </xdr:oneCellAnchor>
  <xdr:oneCellAnchor>
    <xdr:from>
      <xdr:col>4</xdr:col>
      <xdr:colOff>2967935</xdr:colOff>
      <xdr:row>133</xdr:row>
      <xdr:rowOff>178561</xdr:rowOff>
    </xdr:from>
    <xdr:ext cx="540448" cy="667988"/>
    <xdr:pic>
      <xdr:nvPicPr>
        <xdr:cNvPr id="1078" name="Picture 1077">
          <a:extLst>
            <a:ext uri="{FF2B5EF4-FFF2-40B4-BE49-F238E27FC236}">
              <a16:creationId xmlns:a16="http://schemas.microsoft.com/office/drawing/2014/main" id="{9E37423A-D62E-4D14-9C30-DC4865B91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0460" y="109887511"/>
          <a:ext cx="540448" cy="667988"/>
        </a:xfrm>
        <a:prstGeom prst="rect">
          <a:avLst/>
        </a:prstGeom>
      </xdr:spPr>
    </xdr:pic>
    <xdr:clientData/>
  </xdr:oneCellAnchor>
  <xdr:oneCellAnchor>
    <xdr:from>
      <xdr:col>4</xdr:col>
      <xdr:colOff>3562956</xdr:colOff>
      <xdr:row>133</xdr:row>
      <xdr:rowOff>166191</xdr:rowOff>
    </xdr:from>
    <xdr:ext cx="549138" cy="669243"/>
    <xdr:pic>
      <xdr:nvPicPr>
        <xdr:cNvPr id="1079" name="Picture 1078">
          <a:extLst>
            <a:ext uri="{FF2B5EF4-FFF2-40B4-BE49-F238E27FC236}">
              <a16:creationId xmlns:a16="http://schemas.microsoft.com/office/drawing/2014/main" id="{412C6E42-AD5F-4567-A6F5-7FF2F04D4B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5481" y="109875141"/>
          <a:ext cx="549138" cy="669243"/>
        </a:xfrm>
        <a:prstGeom prst="rect">
          <a:avLst/>
        </a:prstGeom>
      </xdr:spPr>
    </xdr:pic>
    <xdr:clientData/>
  </xdr:oneCellAnchor>
  <xdr:oneCellAnchor>
    <xdr:from>
      <xdr:col>4</xdr:col>
      <xdr:colOff>2464448</xdr:colOff>
      <xdr:row>134</xdr:row>
      <xdr:rowOff>85662</xdr:rowOff>
    </xdr:from>
    <xdr:ext cx="545064" cy="658529"/>
    <xdr:pic>
      <xdr:nvPicPr>
        <xdr:cNvPr id="1080" name="Picture 1079">
          <a:extLst>
            <a:ext uri="{FF2B5EF4-FFF2-40B4-BE49-F238E27FC236}">
              <a16:creationId xmlns:a16="http://schemas.microsoft.com/office/drawing/2014/main" id="{63BA809A-0555-4ACB-9947-A838EE541B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99450462"/>
          <a:ext cx="545064" cy="658529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134</xdr:row>
      <xdr:rowOff>85878</xdr:rowOff>
    </xdr:from>
    <xdr:ext cx="560121" cy="651781"/>
    <xdr:pic>
      <xdr:nvPicPr>
        <xdr:cNvPr id="1081" name="Picture 1080">
          <a:extLst>
            <a:ext uri="{FF2B5EF4-FFF2-40B4-BE49-F238E27FC236}">
              <a16:creationId xmlns:a16="http://schemas.microsoft.com/office/drawing/2014/main" id="{2AFDC13C-015E-46AD-9143-835B3951D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99450678"/>
          <a:ext cx="560121" cy="651781"/>
        </a:xfrm>
        <a:prstGeom prst="rect">
          <a:avLst/>
        </a:prstGeom>
      </xdr:spPr>
    </xdr:pic>
    <xdr:clientData/>
  </xdr:oneCellAnchor>
  <xdr:oneCellAnchor>
    <xdr:from>
      <xdr:col>4</xdr:col>
      <xdr:colOff>648804</xdr:colOff>
      <xdr:row>134</xdr:row>
      <xdr:rowOff>72072</xdr:rowOff>
    </xdr:from>
    <xdr:ext cx="551829" cy="680016"/>
    <xdr:pic>
      <xdr:nvPicPr>
        <xdr:cNvPr id="1082" name="Picture 1081">
          <a:extLst>
            <a:ext uri="{FF2B5EF4-FFF2-40B4-BE49-F238E27FC236}">
              <a16:creationId xmlns:a16="http://schemas.microsoft.com/office/drawing/2014/main" id="{2194ED68-F000-44BA-A2D9-1882DB42FF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99436872"/>
          <a:ext cx="551829" cy="680016"/>
        </a:xfrm>
        <a:prstGeom prst="rect">
          <a:avLst/>
        </a:prstGeom>
      </xdr:spPr>
    </xdr:pic>
    <xdr:clientData/>
  </xdr:oneCellAnchor>
  <xdr:oneCellAnchor>
    <xdr:from>
      <xdr:col>4</xdr:col>
      <xdr:colOff>1242391</xdr:colOff>
      <xdr:row>134</xdr:row>
      <xdr:rowOff>32096</xdr:rowOff>
    </xdr:from>
    <xdr:ext cx="540448" cy="710461"/>
    <xdr:pic>
      <xdr:nvPicPr>
        <xdr:cNvPr id="1083" name="Picture 1082">
          <a:extLst>
            <a:ext uri="{FF2B5EF4-FFF2-40B4-BE49-F238E27FC236}">
              <a16:creationId xmlns:a16="http://schemas.microsoft.com/office/drawing/2014/main" id="{62BFCE75-250E-4D76-A0BA-DF00C3553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99396896"/>
          <a:ext cx="540448" cy="710461"/>
        </a:xfrm>
        <a:prstGeom prst="rect">
          <a:avLst/>
        </a:prstGeom>
      </xdr:spPr>
    </xdr:pic>
    <xdr:clientData/>
  </xdr:oneCellAnchor>
  <xdr:oneCellAnchor>
    <xdr:from>
      <xdr:col>4</xdr:col>
      <xdr:colOff>1808369</xdr:colOff>
      <xdr:row>134</xdr:row>
      <xdr:rowOff>70639</xdr:rowOff>
    </xdr:from>
    <xdr:ext cx="586442" cy="676037"/>
    <xdr:pic>
      <xdr:nvPicPr>
        <xdr:cNvPr id="1084" name="Picture 1083">
          <a:extLst>
            <a:ext uri="{FF2B5EF4-FFF2-40B4-BE49-F238E27FC236}">
              <a16:creationId xmlns:a16="http://schemas.microsoft.com/office/drawing/2014/main" id="{335D0A79-BBBF-43DD-AE20-CBC79D8390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894" y="99435439"/>
          <a:ext cx="586442" cy="676037"/>
        </a:xfrm>
        <a:prstGeom prst="rect">
          <a:avLst/>
        </a:prstGeom>
      </xdr:spPr>
    </xdr:pic>
    <xdr:clientData/>
  </xdr:oneCellAnchor>
  <xdr:oneCellAnchor>
    <xdr:from>
      <xdr:col>4</xdr:col>
      <xdr:colOff>2464448</xdr:colOff>
      <xdr:row>135</xdr:row>
      <xdr:rowOff>85662</xdr:rowOff>
    </xdr:from>
    <xdr:ext cx="545064" cy="658529"/>
    <xdr:pic>
      <xdr:nvPicPr>
        <xdr:cNvPr id="1085" name="Picture 1084">
          <a:extLst>
            <a:ext uri="{FF2B5EF4-FFF2-40B4-BE49-F238E27FC236}">
              <a16:creationId xmlns:a16="http://schemas.microsoft.com/office/drawing/2014/main" id="{C2DE3978-5A2A-4087-BD28-D992DE2CC0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26973" y="107603862"/>
          <a:ext cx="545064" cy="658529"/>
        </a:xfrm>
        <a:prstGeom prst="rect">
          <a:avLst/>
        </a:prstGeom>
      </xdr:spPr>
    </xdr:pic>
    <xdr:clientData/>
  </xdr:oneCellAnchor>
  <xdr:oneCellAnchor>
    <xdr:from>
      <xdr:col>4</xdr:col>
      <xdr:colOff>55218</xdr:colOff>
      <xdr:row>135</xdr:row>
      <xdr:rowOff>85878</xdr:rowOff>
    </xdr:from>
    <xdr:ext cx="560121" cy="651781"/>
    <xdr:pic>
      <xdr:nvPicPr>
        <xdr:cNvPr id="1086" name="Picture 1085">
          <a:extLst>
            <a:ext uri="{FF2B5EF4-FFF2-40B4-BE49-F238E27FC236}">
              <a16:creationId xmlns:a16="http://schemas.microsoft.com/office/drawing/2014/main" id="{95167A71-5027-4DD3-B5A1-EBA6CBF0CC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07604078"/>
          <a:ext cx="560121" cy="651781"/>
        </a:xfrm>
        <a:prstGeom prst="rect">
          <a:avLst/>
        </a:prstGeom>
      </xdr:spPr>
    </xdr:pic>
    <xdr:clientData/>
  </xdr:oneCellAnchor>
  <xdr:oneCellAnchor>
    <xdr:from>
      <xdr:col>4</xdr:col>
      <xdr:colOff>648804</xdr:colOff>
      <xdr:row>135</xdr:row>
      <xdr:rowOff>72072</xdr:rowOff>
    </xdr:from>
    <xdr:ext cx="551829" cy="680016"/>
    <xdr:pic>
      <xdr:nvPicPr>
        <xdr:cNvPr id="1087" name="Picture 1086">
          <a:extLst>
            <a:ext uri="{FF2B5EF4-FFF2-40B4-BE49-F238E27FC236}">
              <a16:creationId xmlns:a16="http://schemas.microsoft.com/office/drawing/2014/main" id="{A7EE4296-7923-4654-A655-BB1016F8EA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11329" y="107590272"/>
          <a:ext cx="551829" cy="680016"/>
        </a:xfrm>
        <a:prstGeom prst="rect">
          <a:avLst/>
        </a:prstGeom>
      </xdr:spPr>
    </xdr:pic>
    <xdr:clientData/>
  </xdr:oneCellAnchor>
  <xdr:oneCellAnchor>
    <xdr:from>
      <xdr:col>4</xdr:col>
      <xdr:colOff>1242391</xdr:colOff>
      <xdr:row>135</xdr:row>
      <xdr:rowOff>32096</xdr:rowOff>
    </xdr:from>
    <xdr:ext cx="540448" cy="710461"/>
    <xdr:pic>
      <xdr:nvPicPr>
        <xdr:cNvPr id="1088" name="Picture 1087">
          <a:extLst>
            <a:ext uri="{FF2B5EF4-FFF2-40B4-BE49-F238E27FC236}">
              <a16:creationId xmlns:a16="http://schemas.microsoft.com/office/drawing/2014/main" id="{E4B72CCC-89C2-4D06-8AE2-CDFBF54F8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04916" y="107550296"/>
          <a:ext cx="540448" cy="710461"/>
        </a:xfrm>
        <a:prstGeom prst="rect">
          <a:avLst/>
        </a:prstGeom>
      </xdr:spPr>
    </xdr:pic>
    <xdr:clientData/>
  </xdr:oneCellAnchor>
  <xdr:oneCellAnchor>
    <xdr:from>
      <xdr:col>4</xdr:col>
      <xdr:colOff>1808369</xdr:colOff>
      <xdr:row>135</xdr:row>
      <xdr:rowOff>70639</xdr:rowOff>
    </xdr:from>
    <xdr:ext cx="586442" cy="676037"/>
    <xdr:pic>
      <xdr:nvPicPr>
        <xdr:cNvPr id="1089" name="Picture 1088">
          <a:extLst>
            <a:ext uri="{FF2B5EF4-FFF2-40B4-BE49-F238E27FC236}">
              <a16:creationId xmlns:a16="http://schemas.microsoft.com/office/drawing/2014/main" id="{4E96C3C6-9111-49ED-8AC7-20F501DA2D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70894" y="107588839"/>
          <a:ext cx="586442" cy="676037"/>
        </a:xfrm>
        <a:prstGeom prst="rect">
          <a:avLst/>
        </a:prstGeom>
      </xdr:spPr>
    </xdr:pic>
    <xdr:clientData/>
  </xdr:oneCellAnchor>
  <xdr:twoCellAnchor editAs="oneCell">
    <xdr:from>
      <xdr:col>4</xdr:col>
      <xdr:colOff>55218</xdr:colOff>
      <xdr:row>136</xdr:row>
      <xdr:rowOff>167625</xdr:rowOff>
    </xdr:from>
    <xdr:to>
      <xdr:col>4</xdr:col>
      <xdr:colOff>607046</xdr:colOff>
      <xdr:row>136</xdr:row>
      <xdr:rowOff>823679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7082DC94-DEFF-47DA-B549-3CE83EBB6C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17743" y="110971950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621196</xdr:colOff>
      <xdr:row>136</xdr:row>
      <xdr:rowOff>177127</xdr:rowOff>
    </xdr:from>
    <xdr:to>
      <xdr:col>4</xdr:col>
      <xdr:colOff>1178041</xdr:colOff>
      <xdr:row>136</xdr:row>
      <xdr:rowOff>848237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D3CD886B-4E1B-426E-88CD-39A4DC943E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83721" y="110981452"/>
          <a:ext cx="556845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1187174</xdr:colOff>
      <xdr:row>136</xdr:row>
      <xdr:rowOff>203301</xdr:rowOff>
    </xdr:from>
    <xdr:to>
      <xdr:col>4</xdr:col>
      <xdr:colOff>1744021</xdr:colOff>
      <xdr:row>136</xdr:row>
      <xdr:rowOff>864374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D273D58A-F60E-4684-85CA-6A28DB8DE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49699" y="111007626"/>
          <a:ext cx="556847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1766956</xdr:colOff>
      <xdr:row>136</xdr:row>
      <xdr:rowOff>181430</xdr:rowOff>
    </xdr:from>
    <xdr:to>
      <xdr:col>4</xdr:col>
      <xdr:colOff>2328821</xdr:colOff>
      <xdr:row>136</xdr:row>
      <xdr:rowOff>829252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8F5CC511-FAE7-4321-B78C-897DF6DBA4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9481" y="110985755"/>
          <a:ext cx="561865" cy="647822"/>
        </a:xfrm>
        <a:prstGeom prst="rect">
          <a:avLst/>
        </a:prstGeom>
      </xdr:spPr>
    </xdr:pic>
    <xdr:clientData/>
  </xdr:twoCellAnchor>
  <xdr:twoCellAnchor editAs="oneCell">
    <xdr:from>
      <xdr:col>4</xdr:col>
      <xdr:colOff>2374348</xdr:colOff>
      <xdr:row>136</xdr:row>
      <xdr:rowOff>166191</xdr:rowOff>
    </xdr:from>
    <xdr:to>
      <xdr:col>4</xdr:col>
      <xdr:colOff>2926177</xdr:colOff>
      <xdr:row>136</xdr:row>
      <xdr:rowOff>839109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133AEEC-E12A-410E-8A5F-D8880C280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6873" y="110970516"/>
          <a:ext cx="551829" cy="672918"/>
        </a:xfrm>
        <a:prstGeom prst="rect">
          <a:avLst/>
        </a:prstGeom>
      </xdr:spPr>
    </xdr:pic>
    <xdr:clientData/>
  </xdr:twoCellAnchor>
  <xdr:twoCellAnchor editAs="oneCell">
    <xdr:from>
      <xdr:col>4</xdr:col>
      <xdr:colOff>2967935</xdr:colOff>
      <xdr:row>136</xdr:row>
      <xdr:rowOff>178561</xdr:rowOff>
    </xdr:from>
    <xdr:to>
      <xdr:col>4</xdr:col>
      <xdr:colOff>3508383</xdr:colOff>
      <xdr:row>136</xdr:row>
      <xdr:rowOff>846549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08C704BA-BC9C-40E4-B0B9-622EDE7C9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30460" y="110982886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3562956</xdr:colOff>
      <xdr:row>136</xdr:row>
      <xdr:rowOff>166191</xdr:rowOff>
    </xdr:from>
    <xdr:to>
      <xdr:col>4</xdr:col>
      <xdr:colOff>4112094</xdr:colOff>
      <xdr:row>136</xdr:row>
      <xdr:rowOff>835434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3EA220A6-4E72-42C5-8396-D239E4F75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25481" y="110970516"/>
          <a:ext cx="549138" cy="669243"/>
        </a:xfrm>
        <a:prstGeom prst="rect">
          <a:avLst/>
        </a:prstGeom>
      </xdr:spPr>
    </xdr:pic>
    <xdr:clientData/>
  </xdr:twoCellAnchor>
  <xdr:twoCellAnchor editAs="oneCell">
    <xdr:from>
      <xdr:col>4</xdr:col>
      <xdr:colOff>2565485</xdr:colOff>
      <xdr:row>20</xdr:row>
      <xdr:rowOff>71676</xdr:rowOff>
    </xdr:from>
    <xdr:to>
      <xdr:col>4</xdr:col>
      <xdr:colOff>3110549</xdr:colOff>
      <xdr:row>20</xdr:row>
      <xdr:rowOff>726246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9101FF-D4D3-4768-8652-995CD23967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28010" y="12301776"/>
          <a:ext cx="545064" cy="654570"/>
        </a:xfrm>
        <a:prstGeom prst="rect">
          <a:avLst/>
        </a:prstGeom>
      </xdr:spPr>
    </xdr:pic>
    <xdr:clientData/>
  </xdr:twoCellAnchor>
  <xdr:twoCellAnchor editAs="oneCell">
    <xdr:from>
      <xdr:col>4</xdr:col>
      <xdr:colOff>1960218</xdr:colOff>
      <xdr:row>20</xdr:row>
      <xdr:rowOff>55217</xdr:rowOff>
    </xdr:from>
    <xdr:to>
      <xdr:col>4</xdr:col>
      <xdr:colOff>2500666</xdr:colOff>
      <xdr:row>20</xdr:row>
      <xdr:rowOff>723205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4E0C7C1-19A8-49AF-89DC-7892EF162E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22743" y="12285317"/>
          <a:ext cx="540448" cy="667988"/>
        </a:xfrm>
        <a:prstGeom prst="rect">
          <a:avLst/>
        </a:prstGeom>
      </xdr:spPr>
    </xdr:pic>
    <xdr:clientData/>
  </xdr:twoCellAnchor>
  <xdr:twoCellAnchor editAs="oneCell">
    <xdr:from>
      <xdr:col>4</xdr:col>
      <xdr:colOff>1357075</xdr:colOff>
      <xdr:row>20</xdr:row>
      <xdr:rowOff>60527</xdr:rowOff>
    </xdr:from>
    <xdr:to>
      <xdr:col>4</xdr:col>
      <xdr:colOff>1912177</xdr:colOff>
      <xdr:row>20</xdr:row>
      <xdr:rowOff>721600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2F3E9DC-B258-4528-B036-CE9D8504CD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9600" y="12290627"/>
          <a:ext cx="555102" cy="661073"/>
        </a:xfrm>
        <a:prstGeom prst="rect">
          <a:avLst/>
        </a:prstGeom>
      </xdr:spPr>
    </xdr:pic>
    <xdr:clientData/>
  </xdr:twoCellAnchor>
  <xdr:twoCellAnchor editAs="oneCell">
    <xdr:from>
      <xdr:col>4</xdr:col>
      <xdr:colOff>745435</xdr:colOff>
      <xdr:row>20</xdr:row>
      <xdr:rowOff>55217</xdr:rowOff>
    </xdr:from>
    <xdr:to>
      <xdr:col>4</xdr:col>
      <xdr:colOff>1300536</xdr:colOff>
      <xdr:row>20</xdr:row>
      <xdr:rowOff>726327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1FAF784E-0B08-489F-8E37-08049A24D7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07960" y="12285317"/>
          <a:ext cx="555101" cy="671110"/>
        </a:xfrm>
        <a:prstGeom prst="rect">
          <a:avLst/>
        </a:prstGeom>
      </xdr:spPr>
    </xdr:pic>
    <xdr:clientData/>
  </xdr:twoCellAnchor>
  <xdr:twoCellAnchor editAs="oneCell">
    <xdr:from>
      <xdr:col>4</xdr:col>
      <xdr:colOff>138043</xdr:colOff>
      <xdr:row>20</xdr:row>
      <xdr:rowOff>69022</xdr:rowOff>
    </xdr:from>
    <xdr:to>
      <xdr:col>4</xdr:col>
      <xdr:colOff>689871</xdr:colOff>
      <xdr:row>20</xdr:row>
      <xdr:rowOff>725076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16463633-A505-4CE4-BDA8-40900D408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0568" y="12299122"/>
          <a:ext cx="551828" cy="656054"/>
        </a:xfrm>
        <a:prstGeom prst="rect">
          <a:avLst/>
        </a:prstGeom>
      </xdr:spPr>
    </xdr:pic>
    <xdr:clientData/>
  </xdr:twoCellAnchor>
  <xdr:twoCellAnchor editAs="oneCell">
    <xdr:from>
      <xdr:col>4</xdr:col>
      <xdr:colOff>122903</xdr:colOff>
      <xdr:row>107</xdr:row>
      <xdr:rowOff>138267</xdr:rowOff>
    </xdr:from>
    <xdr:to>
      <xdr:col>4</xdr:col>
      <xdr:colOff>678005</xdr:colOff>
      <xdr:row>107</xdr:row>
      <xdr:rowOff>742190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6727B0B-71CA-4646-9CFC-1C7CE5133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99919" y="115298590"/>
          <a:ext cx="555102" cy="603923"/>
        </a:xfrm>
        <a:prstGeom prst="rect">
          <a:avLst/>
        </a:prstGeom>
      </xdr:spPr>
    </xdr:pic>
    <xdr:clientData/>
  </xdr:twoCellAnchor>
  <xdr:oneCellAnchor>
    <xdr:from>
      <xdr:col>4</xdr:col>
      <xdr:colOff>199718</xdr:colOff>
      <xdr:row>137</xdr:row>
      <xdr:rowOff>307258</xdr:rowOff>
    </xdr:from>
    <xdr:ext cx="551828" cy="656054"/>
    <xdr:pic>
      <xdr:nvPicPr>
        <xdr:cNvPr id="8" name="Picture 7">
          <a:extLst>
            <a:ext uri="{FF2B5EF4-FFF2-40B4-BE49-F238E27FC236}">
              <a16:creationId xmlns:a16="http://schemas.microsoft.com/office/drawing/2014/main" id="{812DD7D0-8B5D-42F0-8397-75C914F91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6734" y="144488105"/>
          <a:ext cx="551828" cy="656054"/>
        </a:xfrm>
        <a:prstGeom prst="rect">
          <a:avLst/>
        </a:prstGeom>
      </xdr:spPr>
    </xdr:pic>
    <xdr:clientData/>
  </xdr:oneCellAnchor>
  <xdr:oneCellAnchor>
    <xdr:from>
      <xdr:col>4</xdr:col>
      <xdr:colOff>76815</xdr:colOff>
      <xdr:row>109</xdr:row>
      <xdr:rowOff>351788</xdr:rowOff>
    </xdr:from>
    <xdr:ext cx="555102" cy="603923"/>
    <xdr:pic>
      <xdr:nvPicPr>
        <xdr:cNvPr id="9" name="Picture 8">
          <a:extLst>
            <a:ext uri="{FF2B5EF4-FFF2-40B4-BE49-F238E27FC236}">
              <a16:creationId xmlns:a16="http://schemas.microsoft.com/office/drawing/2014/main" id="{8A9EFDE0-9E56-4673-B693-81DD697FEC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53831" y="119398925"/>
          <a:ext cx="555102" cy="603923"/>
        </a:xfrm>
        <a:prstGeom prst="rect">
          <a:avLst/>
        </a:prstGeom>
      </xdr:spPr>
    </xdr:pic>
    <xdr:clientData/>
  </xdr:oneCellAnchor>
  <xdr:oneCellAnchor>
    <xdr:from>
      <xdr:col>4</xdr:col>
      <xdr:colOff>670401</xdr:colOff>
      <xdr:row>109</xdr:row>
      <xdr:rowOff>351788</xdr:rowOff>
    </xdr:from>
    <xdr:ext cx="540448" cy="582263"/>
    <xdr:pic>
      <xdr:nvPicPr>
        <xdr:cNvPr id="10" name="Picture 9">
          <a:extLst>
            <a:ext uri="{FF2B5EF4-FFF2-40B4-BE49-F238E27FC236}">
              <a16:creationId xmlns:a16="http://schemas.microsoft.com/office/drawing/2014/main" id="{22605DC8-C1AB-479A-AA54-A7C8688D2C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7417" y="119398925"/>
          <a:ext cx="540448" cy="582263"/>
        </a:xfrm>
        <a:prstGeom prst="rect">
          <a:avLst/>
        </a:prstGeom>
      </xdr:spPr>
    </xdr:pic>
    <xdr:clientData/>
  </xdr:oneCellAnchor>
  <xdr:oneCellAnchor>
    <xdr:from>
      <xdr:col>4</xdr:col>
      <xdr:colOff>1250183</xdr:colOff>
      <xdr:row>109</xdr:row>
      <xdr:rowOff>337984</xdr:rowOff>
    </xdr:from>
    <xdr:ext cx="575501" cy="641273"/>
    <xdr:pic>
      <xdr:nvPicPr>
        <xdr:cNvPr id="11" name="Picture 10">
          <a:extLst>
            <a:ext uri="{FF2B5EF4-FFF2-40B4-BE49-F238E27FC236}">
              <a16:creationId xmlns:a16="http://schemas.microsoft.com/office/drawing/2014/main" id="{FE008975-18D4-4EAB-B1E6-0BAF92FBB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27199" y="119385121"/>
          <a:ext cx="575501" cy="641273"/>
        </a:xfrm>
        <a:prstGeom prst="rect">
          <a:avLst/>
        </a:prstGeom>
      </xdr:spPr>
    </xdr:pic>
    <xdr:clientData/>
  </xdr:oneCellAnchor>
  <xdr:oneCellAnchor>
    <xdr:from>
      <xdr:col>4</xdr:col>
      <xdr:colOff>1871379</xdr:colOff>
      <xdr:row>109</xdr:row>
      <xdr:rowOff>351788</xdr:rowOff>
    </xdr:from>
    <xdr:ext cx="545064" cy="625995"/>
    <xdr:pic>
      <xdr:nvPicPr>
        <xdr:cNvPr id="12" name="Picture 11">
          <a:extLst>
            <a:ext uri="{FF2B5EF4-FFF2-40B4-BE49-F238E27FC236}">
              <a16:creationId xmlns:a16="http://schemas.microsoft.com/office/drawing/2014/main" id="{28491501-113C-4342-9E22-2DBD0A822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8395" y="119398925"/>
          <a:ext cx="545064" cy="625995"/>
        </a:xfrm>
        <a:prstGeom prst="rect">
          <a:avLst/>
        </a:prstGeom>
      </xdr:spPr>
    </xdr:pic>
    <xdr:clientData/>
  </xdr:oneCellAnchor>
  <xdr:oneCellAnchor>
    <xdr:from>
      <xdr:col>4</xdr:col>
      <xdr:colOff>92178</xdr:colOff>
      <xdr:row>57</xdr:row>
      <xdr:rowOff>245806</xdr:rowOff>
    </xdr:from>
    <xdr:ext cx="555102" cy="665031"/>
    <xdr:pic>
      <xdr:nvPicPr>
        <xdr:cNvPr id="13" name="Picture 12">
          <a:extLst>
            <a:ext uri="{FF2B5EF4-FFF2-40B4-BE49-F238E27FC236}">
              <a16:creationId xmlns:a16="http://schemas.microsoft.com/office/drawing/2014/main" id="{C3C1B3F5-C38E-4DC4-903E-F6EE55E7D5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9194" y="59777056"/>
          <a:ext cx="555102" cy="665031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E:\Open\APBDesa\APBDESA%202023\Edit%20APBDesa\Edit%20Terakhir\APBDES%202023%20DPA%20Fiks.xlsx" TargetMode="External"/><Relationship Id="rId1" Type="http://schemas.openxmlformats.org/officeDocument/2006/relationships/externalLinkPath" Target="/Open/APBDesa/APBDESA%202023/Edit%20APBDesa/Edit%20Terakhir/APBDES%202023%20DPA%20Fik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pen/RKP/RKP%202023/RKP%202023%20setelah%20edit%20agis/RKP%20Fix%20Masuk%20Germa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gis\Documents\New%20Folder\DATA%202022\RKP%20INDUK%20PRIN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ID I"/>
      <sheetName val="BID II"/>
      <sheetName val="BID III"/>
      <sheetName val="BID IV"/>
      <sheetName val="BID V"/>
      <sheetName val="Penjabaran Baru"/>
      <sheetName val="HITUNGAN"/>
      <sheetName val="Penjabaran APBDesa"/>
      <sheetName val="APBDesa Fix"/>
      <sheetName val="Sheet1"/>
      <sheetName val="RKA SELURUH"/>
      <sheetName val="RAK"/>
      <sheetName val="RKA Pem"/>
      <sheetName val="RKA Kesra"/>
      <sheetName val="RKA Umum"/>
      <sheetName val="RKA Perencanaan"/>
      <sheetName val="RKA Pelayanan"/>
      <sheetName val="Rekap Dpa"/>
      <sheetName val="RKKD"/>
      <sheetName val="APBDesa"/>
      <sheetName val="RKP 2023"/>
      <sheetName val="Prioritas Dana Desa"/>
      <sheetName val="Rencana Pembiayaan Desa"/>
      <sheetName val="Daftar Prioritas"/>
      <sheetName val="Daftar Usulan SDGs VI B"/>
      <sheetName val="Kerja Sama Antar Desa VI.C"/>
      <sheetName val="LPPK"/>
      <sheetName val="Kerja Sama Pihak Ke 3 VI.D"/>
      <sheetName val="DU RK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D I"/>
      <sheetName val="BID II"/>
      <sheetName val="BID III"/>
      <sheetName val="BID IV"/>
      <sheetName val="RKP 2023"/>
      <sheetName val="Prioritas Dana Desa"/>
      <sheetName val="Rencana Pembiayaan Desa"/>
      <sheetName val="Usulan dana desa bid kesehatan"/>
      <sheetName val="Daftar Prioritas"/>
      <sheetName val="Daftar Usulan SDGs VI B"/>
      <sheetName val="Kerja Sama Antar Desa VI.C"/>
      <sheetName val="LPPK"/>
      <sheetName val="Kerja Sama Pihak Ke 3 VI.D"/>
      <sheetName val="DU RKP"/>
    </sheetNames>
    <sheetDataSet>
      <sheetData sheetId="0"/>
      <sheetData sheetId="1"/>
      <sheetData sheetId="2">
        <row r="238">
          <cell r="F238">
            <v>5048000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CK UP 2"/>
      <sheetName val="RAB 2"/>
      <sheetName val="DAFTAR RPDK MASUK DESA"/>
      <sheetName val="RPPD"/>
      <sheetName val="BID I"/>
      <sheetName val="BID II"/>
      <sheetName val=" BID III"/>
      <sheetName val="BID IV"/>
      <sheetName val="RKP DESA"/>
      <sheetName val="Daftar Usulan SDGs VI.B"/>
      <sheetName val="PRIORITAS USULAN VI.A"/>
      <sheetName val="KERJA SAMA ANTAR DESA VI.C"/>
      <sheetName val="LPPK"/>
      <sheetName val="KERJASAMA PIHAK KE 3 VI.D"/>
      <sheetName val="RENCANA PEMBIAYAAN DESA"/>
      <sheetName val="DU RKP"/>
      <sheetName val="Sheet2"/>
      <sheetName val="contoh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4">
          <cell r="F14">
            <v>48000000</v>
          </cell>
        </row>
        <row r="42">
          <cell r="F42">
            <v>33600000</v>
          </cell>
        </row>
        <row r="43">
          <cell r="F43">
            <v>172800000</v>
          </cell>
        </row>
        <row r="44">
          <cell r="F44">
            <v>230400000</v>
          </cell>
        </row>
        <row r="81">
          <cell r="F81">
            <v>480000</v>
          </cell>
        </row>
        <row r="83">
          <cell r="F83">
            <v>336000</v>
          </cell>
        </row>
        <row r="84">
          <cell r="F84">
            <v>1994616</v>
          </cell>
        </row>
        <row r="85">
          <cell r="F85">
            <v>2659488</v>
          </cell>
        </row>
      </sheetData>
      <sheetData sheetId="5">
        <row r="398">
          <cell r="F398">
            <v>9812000</v>
          </cell>
        </row>
      </sheetData>
      <sheetData sheetId="6">
        <row r="105">
          <cell r="F105">
            <v>4150000</v>
          </cell>
        </row>
      </sheetData>
      <sheetData sheetId="7">
        <row r="51">
          <cell r="F51">
            <v>84041200</v>
          </cell>
        </row>
      </sheetData>
      <sheetData sheetId="8">
        <row r="12">
          <cell r="L12">
            <v>160400000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446"/>
  <sheetViews>
    <sheetView zoomScaleNormal="100" workbookViewId="0">
      <pane ySplit="2115" topLeftCell="A1161" activePane="bottomLeft"/>
      <selection activeCell="X4" sqref="X4"/>
      <selection pane="bottomLeft" activeCell="B1098" sqref="B1098"/>
    </sheetView>
  </sheetViews>
  <sheetFormatPr defaultRowHeight="15" x14ac:dyDescent="0.25"/>
  <cols>
    <col min="1" max="1" width="16.42578125" customWidth="1"/>
    <col min="2" max="2" width="30.42578125" customWidth="1"/>
    <col min="3" max="3" width="6.7109375" customWidth="1"/>
    <col min="4" max="4" width="5.85546875" customWidth="1"/>
    <col min="5" max="5" width="15.85546875" customWidth="1"/>
    <col min="6" max="6" width="19.28515625" customWidth="1"/>
    <col min="7" max="7" width="7.28515625" customWidth="1"/>
    <col min="8" max="8" width="15.28515625" bestFit="1" customWidth="1"/>
    <col min="9" max="9" width="15.85546875" bestFit="1" customWidth="1"/>
    <col min="10" max="10" width="15.140625" customWidth="1"/>
    <col min="11" max="11" width="14.28515625" bestFit="1" customWidth="1"/>
    <col min="12" max="12" width="13.28515625" bestFit="1" customWidth="1"/>
    <col min="13" max="13" width="12.140625" bestFit="1" customWidth="1"/>
    <col min="14" max="14" width="15.7109375" customWidth="1"/>
    <col min="15" max="15" width="14.140625" customWidth="1"/>
    <col min="16" max="16" width="14.28515625" bestFit="1" customWidth="1"/>
    <col min="17" max="17" width="15.85546875" customWidth="1"/>
    <col min="18" max="18" width="12.140625" bestFit="1" customWidth="1"/>
    <col min="19" max="19" width="14.28515625" bestFit="1" customWidth="1"/>
    <col min="20" max="20" width="14.5703125" customWidth="1"/>
    <col min="21" max="21" width="12.140625" customWidth="1"/>
    <col min="22" max="23" width="14.28515625" bestFit="1" customWidth="1"/>
    <col min="24" max="24" width="10.140625" bestFit="1" customWidth="1"/>
  </cols>
  <sheetData>
    <row r="1" spans="1:24" x14ac:dyDescent="0.25">
      <c r="A1" s="1800" t="s">
        <v>0</v>
      </c>
      <c r="B1" s="1800"/>
      <c r="C1" s="1800"/>
      <c r="D1" s="1800"/>
      <c r="E1" s="1800"/>
      <c r="F1" s="1800"/>
      <c r="G1" s="1800"/>
      <c r="M1" s="1154"/>
      <c r="N1" s="1155"/>
    </row>
    <row r="2" spans="1:24" ht="30.75" customHeight="1" x14ac:dyDescent="0.25">
      <c r="A2" s="1800" t="s">
        <v>1</v>
      </c>
      <c r="B2" s="1800"/>
      <c r="C2" s="1800"/>
      <c r="D2" s="1800"/>
      <c r="E2" s="1800"/>
      <c r="F2" s="1800"/>
      <c r="G2" s="1800"/>
      <c r="I2" t="s">
        <v>2387</v>
      </c>
      <c r="J2" t="s">
        <v>1682</v>
      </c>
      <c r="K2" t="s">
        <v>2620</v>
      </c>
      <c r="L2" t="s">
        <v>2621</v>
      </c>
      <c r="M2" s="1154" t="s">
        <v>2622</v>
      </c>
      <c r="N2" s="1155" t="s">
        <v>2637</v>
      </c>
      <c r="O2" t="s">
        <v>2623</v>
      </c>
      <c r="P2" t="s">
        <v>1690</v>
      </c>
      <c r="Q2" t="s">
        <v>2624</v>
      </c>
      <c r="R2" t="s">
        <v>2625</v>
      </c>
      <c r="S2" t="s">
        <v>2626</v>
      </c>
      <c r="T2" t="s">
        <v>2627</v>
      </c>
      <c r="U2" t="s">
        <v>2628</v>
      </c>
      <c r="V2" t="s">
        <v>2629</v>
      </c>
      <c r="W2" t="s">
        <v>2635</v>
      </c>
      <c r="X2" t="s">
        <v>2914</v>
      </c>
    </row>
    <row r="3" spans="1:24" x14ac:dyDescent="0.25">
      <c r="A3" s="1800" t="s">
        <v>1697</v>
      </c>
      <c r="B3" s="1800"/>
      <c r="C3" s="1800"/>
      <c r="D3" s="1800"/>
      <c r="E3" s="1800"/>
      <c r="F3" s="1800"/>
      <c r="G3" s="1800"/>
      <c r="I3" s="1154">
        <f t="shared" ref="I3:W3" si="0">SUM(I4:I1428)</f>
        <v>0</v>
      </c>
      <c r="J3" s="1154">
        <f t="shared" si="0"/>
        <v>1237934185</v>
      </c>
      <c r="K3" s="1154">
        <f t="shared" si="0"/>
        <v>1763873896</v>
      </c>
      <c r="L3" s="1154">
        <f t="shared" si="0"/>
        <v>3527047</v>
      </c>
      <c r="M3" s="1154">
        <f t="shared" si="0"/>
        <v>0</v>
      </c>
      <c r="N3" s="1154">
        <f t="shared" si="0"/>
        <v>93000000</v>
      </c>
      <c r="O3" s="1154">
        <f t="shared" si="0"/>
        <v>25108000</v>
      </c>
      <c r="P3" s="1154">
        <f t="shared" si="0"/>
        <v>21500000</v>
      </c>
      <c r="Q3" s="1154">
        <f t="shared" si="0"/>
        <v>0</v>
      </c>
      <c r="R3" s="1154">
        <f t="shared" si="0"/>
        <v>0</v>
      </c>
      <c r="S3" s="1154">
        <f t="shared" si="0"/>
        <v>81890888</v>
      </c>
      <c r="T3" s="1154">
        <f t="shared" si="0"/>
        <v>88688000</v>
      </c>
      <c r="U3" s="1154">
        <f t="shared" si="0"/>
        <v>2535000</v>
      </c>
      <c r="V3" s="1154">
        <f t="shared" si="0"/>
        <v>51492058</v>
      </c>
      <c r="W3" s="1154">
        <f t="shared" si="0"/>
        <v>10630370.66</v>
      </c>
      <c r="X3" s="286">
        <f>X234</f>
        <v>300000</v>
      </c>
    </row>
    <row r="4" spans="1:24" x14ac:dyDescent="0.25">
      <c r="A4" s="138"/>
      <c r="B4" s="138"/>
      <c r="C4" s="138"/>
      <c r="D4" s="138"/>
      <c r="E4" s="138"/>
      <c r="F4" s="138"/>
      <c r="G4" s="162"/>
    </row>
    <row r="5" spans="1:24" x14ac:dyDescent="0.25">
      <c r="A5" s="1" t="s">
        <v>2</v>
      </c>
      <c r="B5" s="3" t="s">
        <v>3</v>
      </c>
      <c r="C5" s="5"/>
      <c r="D5" s="7"/>
      <c r="E5" s="8"/>
      <c r="F5" s="13"/>
      <c r="G5" s="5"/>
    </row>
    <row r="6" spans="1:24" ht="36.75" x14ac:dyDescent="0.25">
      <c r="A6" s="140" t="s">
        <v>4</v>
      </c>
      <c r="B6" s="3" t="s">
        <v>5</v>
      </c>
      <c r="C6" s="5"/>
      <c r="D6" s="7"/>
      <c r="E6" s="9" t="s">
        <v>6</v>
      </c>
      <c r="F6" s="14"/>
      <c r="G6" s="5"/>
    </row>
    <row r="7" spans="1:24" ht="24.75" x14ac:dyDescent="0.25">
      <c r="A7" s="140" t="s">
        <v>7</v>
      </c>
      <c r="B7" s="3" t="s">
        <v>8</v>
      </c>
      <c r="C7" s="5"/>
      <c r="D7" s="7"/>
      <c r="E7" s="10" t="s">
        <v>9</v>
      </c>
      <c r="F7" s="15"/>
      <c r="G7" s="5"/>
    </row>
    <row r="8" spans="1:24" x14ac:dyDescent="0.25">
      <c r="A8" s="140" t="s">
        <v>36</v>
      </c>
      <c r="B8" s="3"/>
      <c r="C8" s="5"/>
      <c r="D8" s="7"/>
      <c r="E8" s="8"/>
      <c r="F8" s="13"/>
      <c r="G8" s="5"/>
    </row>
    <row r="9" spans="1:24" x14ac:dyDescent="0.25">
      <c r="A9" s="140" t="s">
        <v>11</v>
      </c>
      <c r="B9" s="3"/>
      <c r="C9" s="5"/>
      <c r="D9" s="7"/>
      <c r="E9" s="8"/>
      <c r="F9" s="13"/>
      <c r="G9" s="5"/>
    </row>
    <row r="10" spans="1:24" x14ac:dyDescent="0.25">
      <c r="A10" s="1863"/>
      <c r="B10" s="1863"/>
      <c r="C10" s="1863"/>
      <c r="D10" s="1863"/>
      <c r="E10" s="1863"/>
      <c r="F10" s="1863"/>
      <c r="G10" s="1863"/>
    </row>
    <row r="11" spans="1:24" ht="24" x14ac:dyDescent="0.25">
      <c r="A11" s="146" t="s">
        <v>31</v>
      </c>
      <c r="B11" s="144" t="s">
        <v>32</v>
      </c>
      <c r="C11" s="1801" t="s">
        <v>13</v>
      </c>
      <c r="D11" s="1802"/>
      <c r="E11" s="144" t="s">
        <v>33</v>
      </c>
      <c r="F11" s="152" t="s">
        <v>34</v>
      </c>
      <c r="G11" s="146" t="s">
        <v>35</v>
      </c>
    </row>
    <row r="12" spans="1:24" x14ac:dyDescent="0.25">
      <c r="A12" s="145">
        <v>1</v>
      </c>
      <c r="B12" s="145">
        <v>2</v>
      </c>
      <c r="C12" s="1803">
        <v>3</v>
      </c>
      <c r="D12" s="1803"/>
      <c r="E12" s="18">
        <v>4</v>
      </c>
      <c r="F12" s="147">
        <v>5</v>
      </c>
      <c r="G12" s="147">
        <v>6</v>
      </c>
    </row>
    <row r="13" spans="1:24" x14ac:dyDescent="0.25">
      <c r="A13" s="148" t="s">
        <v>16</v>
      </c>
      <c r="B13" s="257" t="s">
        <v>17</v>
      </c>
      <c r="C13" s="167"/>
      <c r="D13" s="168"/>
      <c r="E13" s="256"/>
      <c r="F13" s="209"/>
      <c r="G13" s="292"/>
    </row>
    <row r="14" spans="1:24" x14ac:dyDescent="0.25">
      <c r="A14" s="148" t="s">
        <v>18</v>
      </c>
      <c r="B14" s="257" t="s">
        <v>19</v>
      </c>
      <c r="C14" s="293"/>
      <c r="D14" s="294"/>
      <c r="E14" s="256"/>
      <c r="F14" s="209"/>
      <c r="G14" s="292"/>
    </row>
    <row r="15" spans="1:24" x14ac:dyDescent="0.25">
      <c r="A15" s="2" t="s">
        <v>20</v>
      </c>
      <c r="B15" s="4" t="s">
        <v>21</v>
      </c>
      <c r="C15" s="6">
        <v>12</v>
      </c>
      <c r="D15" s="168" t="s">
        <v>22</v>
      </c>
      <c r="E15" s="12">
        <v>3960000</v>
      </c>
      <c r="F15" s="238">
        <f>C15*E15</f>
        <v>47520000</v>
      </c>
      <c r="G15" s="292" t="s">
        <v>1682</v>
      </c>
      <c r="J15" s="286">
        <f>F15</f>
        <v>47520000</v>
      </c>
    </row>
    <row r="16" spans="1:24" x14ac:dyDescent="0.25">
      <c r="A16" s="2" t="s">
        <v>23</v>
      </c>
      <c r="B16" s="4" t="s">
        <v>24</v>
      </c>
      <c r="C16" s="6">
        <v>1</v>
      </c>
      <c r="D16" s="168" t="s">
        <v>22</v>
      </c>
      <c r="E16" s="12">
        <v>4000000</v>
      </c>
      <c r="F16" s="238">
        <f>C16*E16</f>
        <v>4000000</v>
      </c>
      <c r="G16" s="292" t="s">
        <v>2620</v>
      </c>
      <c r="K16" s="286">
        <f>F16</f>
        <v>4000000</v>
      </c>
    </row>
    <row r="17" spans="1:11" x14ac:dyDescent="0.25">
      <c r="A17" s="2" t="s">
        <v>23</v>
      </c>
      <c r="B17" s="4" t="s">
        <v>25</v>
      </c>
      <c r="C17" s="6">
        <v>12</v>
      </c>
      <c r="D17" s="168" t="s">
        <v>22</v>
      </c>
      <c r="E17" s="12">
        <v>8700000</v>
      </c>
      <c r="F17" s="238">
        <f>C17*E17</f>
        <v>104400000</v>
      </c>
      <c r="G17" s="292" t="s">
        <v>2620</v>
      </c>
      <c r="K17" s="286">
        <f>F17</f>
        <v>104400000</v>
      </c>
    </row>
    <row r="18" spans="1:11" x14ac:dyDescent="0.25">
      <c r="A18" s="2" t="s">
        <v>23</v>
      </c>
      <c r="B18" s="4" t="s">
        <v>26</v>
      </c>
      <c r="C18" s="6">
        <v>1</v>
      </c>
      <c r="D18" s="168" t="s">
        <v>22</v>
      </c>
      <c r="E18" s="12">
        <v>4000000</v>
      </c>
      <c r="F18" s="238">
        <f>E18*C18</f>
        <v>4000000</v>
      </c>
      <c r="G18" s="292" t="s">
        <v>2620</v>
      </c>
      <c r="K18" s="286">
        <f>F18</f>
        <v>4000000</v>
      </c>
    </row>
    <row r="19" spans="1:11" x14ac:dyDescent="0.25">
      <c r="A19" s="2"/>
      <c r="B19" s="4"/>
      <c r="C19" s="6"/>
      <c r="D19" s="168"/>
      <c r="E19" s="12"/>
      <c r="F19" s="238"/>
      <c r="G19" s="292"/>
    </row>
    <row r="20" spans="1:11" x14ac:dyDescent="0.25">
      <c r="A20" s="1861" t="s">
        <v>27</v>
      </c>
      <c r="B20" s="1805"/>
      <c r="C20" s="1805"/>
      <c r="D20" s="1805"/>
      <c r="E20" s="1806"/>
      <c r="F20" s="238">
        <f>SUM(F15:F19)</f>
        <v>159920000</v>
      </c>
      <c r="G20" s="16"/>
    </row>
    <row r="21" spans="1:11" x14ac:dyDescent="0.25">
      <c r="A21" s="1"/>
      <c r="B21" s="3"/>
      <c r="C21" s="5"/>
      <c r="D21" s="7"/>
      <c r="E21" s="5"/>
      <c r="F21" s="5"/>
      <c r="G21" s="5"/>
    </row>
    <row r="22" spans="1:11" x14ac:dyDescent="0.25">
      <c r="A22" s="1807" t="s">
        <v>614</v>
      </c>
      <c r="B22" s="1807"/>
      <c r="C22" s="5" t="s">
        <v>28</v>
      </c>
      <c r="D22" s="1808" t="s">
        <v>1698</v>
      </c>
      <c r="E22" s="1808"/>
      <c r="F22" s="1808"/>
      <c r="G22" s="5"/>
    </row>
    <row r="23" spans="1:11" x14ac:dyDescent="0.25">
      <c r="A23" s="1807" t="s">
        <v>29</v>
      </c>
      <c r="B23" s="1807"/>
      <c r="C23" s="5"/>
      <c r="D23" s="1809" t="s">
        <v>2988</v>
      </c>
      <c r="E23" s="1809"/>
      <c r="F23" s="1809"/>
      <c r="G23" s="5"/>
    </row>
    <row r="24" spans="1:11" x14ac:dyDescent="0.25">
      <c r="A24" s="1"/>
      <c r="B24" s="3"/>
      <c r="C24" s="5"/>
      <c r="D24" s="7"/>
      <c r="E24" s="17"/>
      <c r="F24" s="17"/>
      <c r="G24" s="5"/>
    </row>
    <row r="25" spans="1:11" x14ac:dyDescent="0.25">
      <c r="A25" s="1"/>
      <c r="B25" s="3"/>
      <c r="C25" s="5"/>
      <c r="D25" s="7"/>
      <c r="E25" s="17"/>
      <c r="F25" s="17"/>
      <c r="G25" s="5"/>
    </row>
    <row r="26" spans="1:11" x14ac:dyDescent="0.25">
      <c r="A26" s="1807"/>
      <c r="B26" s="1807"/>
      <c r="C26" s="5"/>
      <c r="D26" s="7"/>
      <c r="E26" s="1807"/>
      <c r="F26" s="1807"/>
      <c r="G26" s="5"/>
    </row>
    <row r="27" spans="1:11" x14ac:dyDescent="0.25">
      <c r="A27" s="1807" t="s">
        <v>30</v>
      </c>
      <c r="B27" s="1807"/>
      <c r="C27" s="5"/>
      <c r="D27" s="1807" t="s">
        <v>2998</v>
      </c>
      <c r="E27" s="1807"/>
      <c r="F27" s="1807"/>
      <c r="G27" s="5"/>
    </row>
    <row r="29" spans="1:11" x14ac:dyDescent="0.25">
      <c r="A29" s="1800" t="s">
        <v>0</v>
      </c>
      <c r="B29" s="1800"/>
      <c r="C29" s="1800"/>
      <c r="D29" s="1800"/>
      <c r="E29" s="1800"/>
      <c r="F29" s="1800"/>
      <c r="G29" s="1800"/>
      <c r="I29" s="451"/>
    </row>
    <row r="30" spans="1:11" x14ac:dyDescent="0.25">
      <c r="A30" s="1800" t="s">
        <v>1</v>
      </c>
      <c r="B30" s="1800"/>
      <c r="C30" s="1800"/>
      <c r="D30" s="1800"/>
      <c r="E30" s="1800"/>
      <c r="F30" s="1800"/>
      <c r="G30" s="1800"/>
      <c r="I30" s="975"/>
    </row>
    <row r="31" spans="1:11" x14ac:dyDescent="0.25">
      <c r="A31" s="1800" t="s">
        <v>1697</v>
      </c>
      <c r="B31" s="1800"/>
      <c r="C31" s="1800"/>
      <c r="D31" s="1800"/>
      <c r="E31" s="1800"/>
      <c r="F31" s="1800"/>
      <c r="G31" s="1800"/>
      <c r="I31" s="175"/>
    </row>
    <row r="32" spans="1:11" x14ac:dyDescent="0.25">
      <c r="A32" s="138"/>
      <c r="B32" s="138"/>
      <c r="C32" s="138"/>
      <c r="D32" s="138"/>
      <c r="E32" s="138"/>
      <c r="F32" s="138"/>
      <c r="G32" s="162"/>
    </row>
    <row r="33" spans="1:11" x14ac:dyDescent="0.25">
      <c r="A33" s="1" t="s">
        <v>2</v>
      </c>
      <c r="B33" s="3" t="s">
        <v>3</v>
      </c>
      <c r="C33" s="5"/>
      <c r="D33" s="7"/>
      <c r="E33" s="8"/>
      <c r="F33" s="13"/>
      <c r="G33" s="5"/>
    </row>
    <row r="34" spans="1:11" ht="36.75" x14ac:dyDescent="0.25">
      <c r="A34" s="140" t="s">
        <v>4</v>
      </c>
      <c r="B34" s="3" t="s">
        <v>5</v>
      </c>
      <c r="C34" s="5"/>
      <c r="D34" s="7"/>
      <c r="E34" s="9" t="s">
        <v>6</v>
      </c>
      <c r="F34" s="19"/>
      <c r="G34" s="5"/>
    </row>
    <row r="35" spans="1:11" ht="24.75" x14ac:dyDescent="0.25">
      <c r="A35" s="163" t="s">
        <v>7</v>
      </c>
      <c r="B35" s="3" t="s">
        <v>37</v>
      </c>
      <c r="C35" s="5"/>
      <c r="D35" s="7"/>
      <c r="E35" s="10" t="s">
        <v>9</v>
      </c>
      <c r="F35" s="15" t="s">
        <v>10</v>
      </c>
      <c r="G35" s="5"/>
    </row>
    <row r="36" spans="1:11" x14ac:dyDescent="0.25">
      <c r="A36" s="285" t="s">
        <v>38</v>
      </c>
      <c r="B36" s="3"/>
      <c r="C36" s="5"/>
      <c r="D36" s="7"/>
      <c r="E36" s="8"/>
      <c r="F36" s="13"/>
      <c r="G36" s="5"/>
    </row>
    <row r="37" spans="1:11" x14ac:dyDescent="0.25">
      <c r="A37" s="140" t="s">
        <v>39</v>
      </c>
      <c r="B37" s="3"/>
      <c r="C37" s="5"/>
      <c r="D37" s="7"/>
      <c r="E37" s="8"/>
      <c r="F37" s="13"/>
      <c r="G37" s="5"/>
    </row>
    <row r="38" spans="1:11" ht="24" x14ac:dyDescent="0.25">
      <c r="A38" s="146" t="s">
        <v>31</v>
      </c>
      <c r="B38" s="144" t="s">
        <v>32</v>
      </c>
      <c r="C38" s="1801" t="s">
        <v>13</v>
      </c>
      <c r="D38" s="1802"/>
      <c r="E38" s="144" t="s">
        <v>33</v>
      </c>
      <c r="F38" s="152" t="s">
        <v>34</v>
      </c>
      <c r="G38" s="146" t="s">
        <v>35</v>
      </c>
    </row>
    <row r="39" spans="1:11" x14ac:dyDescent="0.25">
      <c r="A39" s="145">
        <v>1</v>
      </c>
      <c r="B39" s="145">
        <v>2</v>
      </c>
      <c r="C39" s="1803">
        <v>3</v>
      </c>
      <c r="D39" s="1803"/>
      <c r="E39" s="18">
        <v>4</v>
      </c>
      <c r="F39" s="147">
        <v>5</v>
      </c>
      <c r="G39" s="147">
        <v>6</v>
      </c>
    </row>
    <row r="40" spans="1:11" x14ac:dyDescent="0.25">
      <c r="A40" s="148" t="s">
        <v>40</v>
      </c>
      <c r="B40" s="257" t="s">
        <v>17</v>
      </c>
      <c r="C40" s="167"/>
      <c r="D40" s="168"/>
      <c r="E40" s="146"/>
      <c r="F40" s="6"/>
      <c r="G40" s="20"/>
    </row>
    <row r="41" spans="1:11" ht="24" x14ac:dyDescent="0.25">
      <c r="A41" s="148" t="s">
        <v>41</v>
      </c>
      <c r="B41" s="257" t="s">
        <v>42</v>
      </c>
      <c r="C41" s="167"/>
      <c r="D41" s="168"/>
      <c r="E41" s="146"/>
      <c r="F41" s="6"/>
      <c r="G41" s="20"/>
    </row>
    <row r="42" spans="1:11" x14ac:dyDescent="0.25">
      <c r="A42" s="148" t="s">
        <v>43</v>
      </c>
      <c r="B42" s="257" t="s">
        <v>44</v>
      </c>
      <c r="C42" s="167"/>
      <c r="D42" s="168"/>
      <c r="E42" s="146"/>
      <c r="F42" s="6"/>
      <c r="G42" s="20"/>
    </row>
    <row r="43" spans="1:11" x14ac:dyDescent="0.25">
      <c r="A43" s="1784"/>
      <c r="B43" s="1709" t="s">
        <v>45</v>
      </c>
      <c r="C43" s="1619">
        <v>12</v>
      </c>
      <c r="D43" s="1771" t="s">
        <v>22</v>
      </c>
      <c r="E43" s="1620">
        <v>2769032</v>
      </c>
      <c r="F43" s="1785">
        <f>C43*E43</f>
        <v>33228384</v>
      </c>
      <c r="G43" s="1648" t="s">
        <v>1682</v>
      </c>
      <c r="H43" s="451"/>
      <c r="J43" s="286">
        <f>F43</f>
        <v>33228384</v>
      </c>
    </row>
    <row r="44" spans="1:11" x14ac:dyDescent="0.25">
      <c r="A44" s="1784"/>
      <c r="B44" s="1709" t="s">
        <v>46</v>
      </c>
      <c r="C44" s="1619">
        <v>72</v>
      </c>
      <c r="D44" s="1771" t="s">
        <v>22</v>
      </c>
      <c r="E44" s="1620">
        <v>2369032</v>
      </c>
      <c r="F44" s="1785">
        <f>C44*E44</f>
        <v>170570304</v>
      </c>
      <c r="G44" s="1648" t="s">
        <v>1682</v>
      </c>
      <c r="H44" s="451"/>
      <c r="J44" s="286">
        <f>F44</f>
        <v>170570304</v>
      </c>
    </row>
    <row r="45" spans="1:11" x14ac:dyDescent="0.25">
      <c r="A45" s="1784"/>
      <c r="B45" s="1709" t="s">
        <v>47</v>
      </c>
      <c r="C45" s="1619">
        <v>96</v>
      </c>
      <c r="D45" s="1771" t="s">
        <v>22</v>
      </c>
      <c r="E45" s="1620">
        <v>2369032</v>
      </c>
      <c r="F45" s="1785">
        <f>C45*E45</f>
        <v>227427072</v>
      </c>
      <c r="G45" s="1648" t="s">
        <v>1682</v>
      </c>
      <c r="H45" s="175"/>
      <c r="J45" s="286">
        <f>F45</f>
        <v>227427072</v>
      </c>
    </row>
    <row r="46" spans="1:11" x14ac:dyDescent="0.25">
      <c r="A46" s="2"/>
      <c r="B46" s="4"/>
      <c r="C46" s="6"/>
      <c r="D46" s="168"/>
      <c r="E46" s="12"/>
      <c r="F46" s="238"/>
      <c r="G46" s="152"/>
    </row>
    <row r="47" spans="1:11" x14ac:dyDescent="0.25">
      <c r="A47" s="2" t="s">
        <v>48</v>
      </c>
      <c r="B47" s="4" t="s">
        <v>49</v>
      </c>
      <c r="C47" s="6"/>
      <c r="D47" s="168"/>
      <c r="E47" s="12"/>
      <c r="F47" s="238"/>
      <c r="G47" s="152"/>
    </row>
    <row r="48" spans="1:11" x14ac:dyDescent="0.25">
      <c r="A48" s="2"/>
      <c r="B48" s="4" t="s">
        <v>50</v>
      </c>
      <c r="C48" s="6">
        <v>12</v>
      </c>
      <c r="D48" s="168" t="s">
        <v>22</v>
      </c>
      <c r="E48" s="12">
        <v>4500000</v>
      </c>
      <c r="F48" s="238">
        <f t="shared" ref="F48:F58" si="1">C48*E48</f>
        <v>54000000</v>
      </c>
      <c r="G48" s="152" t="s">
        <v>2620</v>
      </c>
      <c r="K48" s="286">
        <f>F48</f>
        <v>54000000</v>
      </c>
    </row>
    <row r="49" spans="1:11" x14ac:dyDescent="0.25">
      <c r="A49" s="2"/>
      <c r="B49" s="4" t="s">
        <v>51</v>
      </c>
      <c r="C49" s="6">
        <v>1</v>
      </c>
      <c r="D49" s="168" t="s">
        <v>22</v>
      </c>
      <c r="E49" s="12">
        <v>2800000</v>
      </c>
      <c r="F49" s="238">
        <f>C49*E49</f>
        <v>2800000</v>
      </c>
      <c r="G49" s="152" t="s">
        <v>2620</v>
      </c>
      <c r="H49" s="451"/>
      <c r="K49" s="286">
        <f>F49</f>
        <v>2800000</v>
      </c>
    </row>
    <row r="50" spans="1:11" x14ac:dyDescent="0.25">
      <c r="A50" s="2"/>
      <c r="B50" s="4" t="s">
        <v>52</v>
      </c>
      <c r="C50" s="6">
        <v>1</v>
      </c>
      <c r="D50" s="168" t="s">
        <v>22</v>
      </c>
      <c r="E50" s="12">
        <v>2800000</v>
      </c>
      <c r="F50" s="238">
        <f t="shared" si="1"/>
        <v>2800000</v>
      </c>
      <c r="G50" s="152" t="s">
        <v>2620</v>
      </c>
      <c r="K50" s="286">
        <f>F50</f>
        <v>2800000</v>
      </c>
    </row>
    <row r="51" spans="1:11" x14ac:dyDescent="0.25">
      <c r="A51" s="2"/>
      <c r="B51" s="4"/>
      <c r="C51" s="6"/>
      <c r="D51" s="168"/>
      <c r="E51" s="12"/>
      <c r="F51" s="238"/>
      <c r="G51" s="152"/>
    </row>
    <row r="52" spans="1:11" ht="24.75" x14ac:dyDescent="0.25">
      <c r="A52" s="2"/>
      <c r="B52" s="4" t="s">
        <v>53</v>
      </c>
      <c r="C52" s="6">
        <v>72</v>
      </c>
      <c r="D52" s="168" t="s">
        <v>22</v>
      </c>
      <c r="E52" s="12">
        <v>2500000</v>
      </c>
      <c r="F52" s="238">
        <f t="shared" si="1"/>
        <v>180000000</v>
      </c>
      <c r="G52" s="152" t="s">
        <v>2620</v>
      </c>
      <c r="I52" s="286"/>
      <c r="K52" s="286">
        <f>F52</f>
        <v>180000000</v>
      </c>
    </row>
    <row r="53" spans="1:11" x14ac:dyDescent="0.25">
      <c r="A53" s="2"/>
      <c r="B53" s="4" t="s">
        <v>54</v>
      </c>
      <c r="C53" s="6">
        <v>6</v>
      </c>
      <c r="D53" s="168" t="s">
        <v>22</v>
      </c>
      <c r="E53" s="12">
        <v>2400000</v>
      </c>
      <c r="F53" s="238">
        <f>C53*E53</f>
        <v>14400000</v>
      </c>
      <c r="G53" s="152" t="s">
        <v>2620</v>
      </c>
      <c r="K53" s="286">
        <f>F53</f>
        <v>14400000</v>
      </c>
    </row>
    <row r="54" spans="1:11" x14ac:dyDescent="0.25">
      <c r="A54" s="2"/>
      <c r="B54" s="4" t="s">
        <v>55</v>
      </c>
      <c r="C54" s="6">
        <v>6</v>
      </c>
      <c r="D54" s="168" t="s">
        <v>22</v>
      </c>
      <c r="E54" s="12">
        <v>2400000</v>
      </c>
      <c r="F54" s="238">
        <f t="shared" si="1"/>
        <v>14400000</v>
      </c>
      <c r="G54" s="152" t="s">
        <v>2620</v>
      </c>
      <c r="K54" s="286">
        <f>F54</f>
        <v>14400000</v>
      </c>
    </row>
    <row r="55" spans="1:11" x14ac:dyDescent="0.25">
      <c r="A55" s="2"/>
      <c r="B55" s="4"/>
      <c r="C55" s="6"/>
      <c r="D55" s="168"/>
      <c r="E55" s="12"/>
      <c r="F55" s="238"/>
      <c r="G55" s="152"/>
    </row>
    <row r="56" spans="1:11" ht="24.75" x14ac:dyDescent="0.25">
      <c r="A56" s="2"/>
      <c r="B56" s="4" t="s">
        <v>56</v>
      </c>
      <c r="C56" s="6">
        <v>96</v>
      </c>
      <c r="D56" s="168" t="s">
        <v>22</v>
      </c>
      <c r="E56" s="12">
        <v>2100000</v>
      </c>
      <c r="F56" s="238">
        <f t="shared" si="1"/>
        <v>201600000</v>
      </c>
      <c r="G56" s="152" t="s">
        <v>2620</v>
      </c>
      <c r="K56" s="286">
        <f>F56</f>
        <v>201600000</v>
      </c>
    </row>
    <row r="57" spans="1:11" x14ac:dyDescent="0.25">
      <c r="A57" s="2"/>
      <c r="B57" s="4" t="s">
        <v>57</v>
      </c>
      <c r="C57" s="6">
        <v>8</v>
      </c>
      <c r="D57" s="168" t="s">
        <v>22</v>
      </c>
      <c r="E57" s="12">
        <v>2400000</v>
      </c>
      <c r="F57" s="238">
        <f>C57*E57</f>
        <v>19200000</v>
      </c>
      <c r="G57" s="152" t="s">
        <v>2620</v>
      </c>
      <c r="K57" s="286">
        <f>F57</f>
        <v>19200000</v>
      </c>
    </row>
    <row r="58" spans="1:11" x14ac:dyDescent="0.25">
      <c r="A58" s="2"/>
      <c r="B58" s="4" t="s">
        <v>58</v>
      </c>
      <c r="C58" s="6">
        <v>8</v>
      </c>
      <c r="D58" s="168" t="s">
        <v>22</v>
      </c>
      <c r="E58" s="12">
        <v>2400000</v>
      </c>
      <c r="F58" s="238">
        <f t="shared" si="1"/>
        <v>19200000</v>
      </c>
      <c r="G58" s="152" t="s">
        <v>2620</v>
      </c>
      <c r="K58" s="286">
        <f>F58</f>
        <v>19200000</v>
      </c>
    </row>
    <row r="59" spans="1:11" x14ac:dyDescent="0.25">
      <c r="A59" s="2"/>
      <c r="B59" s="4"/>
      <c r="C59" s="6"/>
      <c r="D59" s="168"/>
      <c r="E59" s="12"/>
      <c r="F59" s="238"/>
      <c r="G59" s="20"/>
    </row>
    <row r="60" spans="1:11" x14ac:dyDescent="0.25">
      <c r="A60" s="1861" t="s">
        <v>27</v>
      </c>
      <c r="B60" s="1805"/>
      <c r="C60" s="1805"/>
      <c r="D60" s="1805"/>
      <c r="E60" s="1806"/>
      <c r="F60" s="238">
        <f>SUM(F43:F59)</f>
        <v>939625760</v>
      </c>
      <c r="G60" s="20"/>
    </row>
    <row r="61" spans="1:11" x14ac:dyDescent="0.25">
      <c r="F61" s="451"/>
    </row>
    <row r="62" spans="1:11" x14ac:dyDescent="0.25">
      <c r="A62" s="1807" t="s">
        <v>614</v>
      </c>
      <c r="B62" s="1807"/>
      <c r="C62" s="5" t="s">
        <v>28</v>
      </c>
      <c r="D62" s="1808" t="s">
        <v>1698</v>
      </c>
      <c r="E62" s="1808"/>
      <c r="F62" s="1808"/>
      <c r="G62" s="5"/>
    </row>
    <row r="63" spans="1:11" x14ac:dyDescent="0.25">
      <c r="A63" s="1807" t="s">
        <v>29</v>
      </c>
      <c r="B63" s="1807"/>
      <c r="C63" s="5"/>
      <c r="D63" s="1809" t="s">
        <v>2988</v>
      </c>
      <c r="E63" s="1809"/>
      <c r="F63" s="1809"/>
      <c r="G63" s="5"/>
    </row>
    <row r="64" spans="1:11" x14ac:dyDescent="0.25">
      <c r="A64" s="1"/>
      <c r="B64" s="3"/>
      <c r="C64" s="5"/>
      <c r="D64" s="7"/>
      <c r="E64" s="17"/>
      <c r="F64" s="17"/>
      <c r="G64" s="5"/>
    </row>
    <row r="65" spans="1:7" x14ac:dyDescent="0.25">
      <c r="A65" s="1"/>
      <c r="B65" s="3"/>
      <c r="C65" s="5"/>
      <c r="D65" s="7"/>
      <c r="E65" s="17"/>
      <c r="F65" s="17"/>
      <c r="G65" s="5"/>
    </row>
    <row r="66" spans="1:7" x14ac:dyDescent="0.25">
      <c r="A66" s="1807"/>
      <c r="B66" s="1807"/>
      <c r="C66" s="5"/>
      <c r="D66" s="7"/>
      <c r="E66" s="1807"/>
      <c r="F66" s="1807"/>
      <c r="G66" s="5"/>
    </row>
    <row r="67" spans="1:7" x14ac:dyDescent="0.25">
      <c r="A67" s="1807" t="s">
        <v>30</v>
      </c>
      <c r="B67" s="1807"/>
      <c r="C67" s="5"/>
      <c r="D67" s="1807" t="s">
        <v>2989</v>
      </c>
      <c r="E67" s="1807"/>
      <c r="F67" s="1807"/>
      <c r="G67" s="5"/>
    </row>
    <row r="70" spans="1:7" x14ac:dyDescent="0.25">
      <c r="A70" s="1800" t="s">
        <v>0</v>
      </c>
      <c r="B70" s="1800"/>
      <c r="C70" s="1800"/>
      <c r="D70" s="1800"/>
      <c r="E70" s="1800"/>
      <c r="F70" s="1800"/>
      <c r="G70" s="1800"/>
    </row>
    <row r="71" spans="1:7" x14ac:dyDescent="0.25">
      <c r="A71" s="1800" t="s">
        <v>1</v>
      </c>
      <c r="B71" s="1800"/>
      <c r="C71" s="1800"/>
      <c r="D71" s="1800"/>
      <c r="E71" s="1800"/>
      <c r="F71" s="1800"/>
      <c r="G71" s="1800"/>
    </row>
    <row r="72" spans="1:7" x14ac:dyDescent="0.25">
      <c r="A72" s="1800" t="s">
        <v>1697</v>
      </c>
      <c r="B72" s="1800"/>
      <c r="C72" s="1800"/>
      <c r="D72" s="1800"/>
      <c r="E72" s="1800"/>
      <c r="F72" s="1800"/>
      <c r="G72" s="1800"/>
    </row>
    <row r="73" spans="1:7" x14ac:dyDescent="0.25">
      <c r="A73" s="138"/>
      <c r="B73" s="138"/>
      <c r="C73" s="138"/>
      <c r="D73" s="138"/>
      <c r="E73" s="138"/>
      <c r="F73" s="138"/>
      <c r="G73" s="240"/>
    </row>
    <row r="74" spans="1:7" x14ac:dyDescent="0.25">
      <c r="A74" s="295" t="s">
        <v>2</v>
      </c>
      <c r="B74" s="1862" t="s">
        <v>59</v>
      </c>
      <c r="C74" s="1862"/>
      <c r="D74" s="1862"/>
      <c r="E74" s="8"/>
      <c r="F74" s="13"/>
      <c r="G74" s="240"/>
    </row>
    <row r="75" spans="1:7" ht="51" x14ac:dyDescent="0.25">
      <c r="A75" s="295" t="s">
        <v>4</v>
      </c>
      <c r="B75" s="297" t="s">
        <v>60</v>
      </c>
      <c r="C75" s="297"/>
      <c r="D75" s="297"/>
      <c r="E75" s="9" t="s">
        <v>6</v>
      </c>
      <c r="F75" s="9"/>
      <c r="G75" s="240"/>
    </row>
    <row r="76" spans="1:7" ht="38.25" x14ac:dyDescent="0.25">
      <c r="A76" s="295" t="s">
        <v>7</v>
      </c>
      <c r="B76" s="297" t="s">
        <v>61</v>
      </c>
      <c r="C76" s="297"/>
      <c r="D76" s="297"/>
      <c r="E76" s="10" t="s">
        <v>9</v>
      </c>
      <c r="F76" s="10"/>
      <c r="G76" s="240"/>
    </row>
    <row r="77" spans="1:7" x14ac:dyDescent="0.25">
      <c r="A77" s="298" t="s">
        <v>62</v>
      </c>
      <c r="B77" s="298" t="s">
        <v>63</v>
      </c>
      <c r="C77" s="298"/>
      <c r="D77" s="5"/>
      <c r="E77" s="1383"/>
      <c r="F77" s="364"/>
    </row>
    <row r="78" spans="1:7" x14ac:dyDescent="0.25">
      <c r="A78" s="298" t="s">
        <v>64</v>
      </c>
      <c r="B78" s="298" t="s">
        <v>65</v>
      </c>
      <c r="C78" s="298"/>
      <c r="D78" s="1808"/>
      <c r="E78" s="1808"/>
      <c r="F78" s="5"/>
    </row>
    <row r="79" spans="1:7" ht="24" x14ac:dyDescent="0.25">
      <c r="A79" s="146" t="s">
        <v>31</v>
      </c>
      <c r="B79" s="144" t="s">
        <v>32</v>
      </c>
      <c r="C79" s="1801" t="s">
        <v>13</v>
      </c>
      <c r="D79" s="1802"/>
      <c r="E79" s="144" t="s">
        <v>33</v>
      </c>
      <c r="F79" s="146" t="s">
        <v>34</v>
      </c>
      <c r="G79" s="146" t="s">
        <v>35</v>
      </c>
    </row>
    <row r="80" spans="1:7" x14ac:dyDescent="0.25">
      <c r="A80" s="145">
        <v>1</v>
      </c>
      <c r="B80" s="145">
        <v>2</v>
      </c>
      <c r="C80" s="1803">
        <v>3</v>
      </c>
      <c r="D80" s="1803"/>
      <c r="E80" s="18">
        <v>4</v>
      </c>
      <c r="F80" s="147">
        <v>5</v>
      </c>
      <c r="G80" s="147">
        <v>6</v>
      </c>
    </row>
    <row r="81" spans="1:11" x14ac:dyDescent="0.25">
      <c r="A81" s="148" t="s">
        <v>66</v>
      </c>
      <c r="B81" s="257" t="s">
        <v>67</v>
      </c>
      <c r="C81" s="167"/>
      <c r="D81" s="168"/>
      <c r="E81" s="146"/>
      <c r="F81" s="6"/>
      <c r="G81" s="146"/>
    </row>
    <row r="82" spans="1:11" ht="24.75" x14ac:dyDescent="0.25">
      <c r="A82" s="148" t="s">
        <v>68</v>
      </c>
      <c r="B82" s="4" t="s">
        <v>69</v>
      </c>
      <c r="C82" s="6"/>
      <c r="D82" s="168"/>
      <c r="E82" s="12"/>
      <c r="F82" s="238"/>
      <c r="G82" s="152"/>
    </row>
    <row r="83" spans="1:11" x14ac:dyDescent="0.25">
      <c r="A83" s="148" t="s">
        <v>70</v>
      </c>
      <c r="B83" s="4" t="s">
        <v>71</v>
      </c>
      <c r="C83" s="6">
        <v>12</v>
      </c>
      <c r="D83" s="168" t="s">
        <v>22</v>
      </c>
      <c r="E83" s="12">
        <v>40000</v>
      </c>
      <c r="F83" s="238">
        <f>E83*C83</f>
        <v>480000</v>
      </c>
      <c r="G83" s="152"/>
      <c r="K83" s="286">
        <f>F83</f>
        <v>480000</v>
      </c>
    </row>
    <row r="84" spans="1:11" x14ac:dyDescent="0.25">
      <c r="A84" s="148" t="s">
        <v>72</v>
      </c>
      <c r="B84" s="4" t="s">
        <v>73</v>
      </c>
      <c r="C84" s="6"/>
      <c r="D84" s="168"/>
      <c r="E84" s="12"/>
      <c r="F84" s="238"/>
      <c r="G84" s="152"/>
    </row>
    <row r="85" spans="1:11" x14ac:dyDescent="0.25">
      <c r="A85" s="269"/>
      <c r="B85" s="4" t="s">
        <v>74</v>
      </c>
      <c r="C85" s="6">
        <v>12</v>
      </c>
      <c r="D85" s="168" t="s">
        <v>22</v>
      </c>
      <c r="E85" s="12">
        <v>30968</v>
      </c>
      <c r="F85" s="238">
        <f>E85*C85</f>
        <v>371616</v>
      </c>
      <c r="G85" s="152"/>
      <c r="H85" s="451"/>
      <c r="K85" s="286">
        <f>F85</f>
        <v>371616</v>
      </c>
    </row>
    <row r="86" spans="1:11" ht="24.75" x14ac:dyDescent="0.25">
      <c r="A86" s="269"/>
      <c r="B86" s="4" t="s">
        <v>75</v>
      </c>
      <c r="C86" s="6">
        <v>72</v>
      </c>
      <c r="D86" s="168" t="s">
        <v>22</v>
      </c>
      <c r="E86" s="12">
        <v>30968</v>
      </c>
      <c r="F86" s="238">
        <f>E86*C86</f>
        <v>2229696</v>
      </c>
      <c r="G86" s="152"/>
      <c r="H86" s="451"/>
      <c r="K86" s="286">
        <f t="shared" ref="K86:K92" si="2">F86</f>
        <v>2229696</v>
      </c>
    </row>
    <row r="87" spans="1:11" x14ac:dyDescent="0.25">
      <c r="A87" s="269"/>
      <c r="B87" s="4" t="s">
        <v>76</v>
      </c>
      <c r="C87" s="6">
        <v>96</v>
      </c>
      <c r="D87" s="168" t="s">
        <v>22</v>
      </c>
      <c r="E87" s="12">
        <v>30968</v>
      </c>
      <c r="F87" s="238">
        <f>E87*C87</f>
        <v>2972928</v>
      </c>
      <c r="G87" s="152"/>
      <c r="H87" s="175"/>
      <c r="K87" s="286">
        <f t="shared" si="2"/>
        <v>2972928</v>
      </c>
    </row>
    <row r="88" spans="1:11" x14ac:dyDescent="0.25">
      <c r="A88" s="2" t="s">
        <v>77</v>
      </c>
      <c r="B88" s="4" t="s">
        <v>78</v>
      </c>
      <c r="C88" s="6">
        <v>12</v>
      </c>
      <c r="D88" s="168" t="s">
        <v>22</v>
      </c>
      <c r="E88" s="12">
        <v>792480</v>
      </c>
      <c r="F88" s="238">
        <f>E88*C88</f>
        <v>9509760</v>
      </c>
      <c r="G88" s="152"/>
      <c r="H88" s="175"/>
      <c r="K88" s="286">
        <f t="shared" si="2"/>
        <v>9509760</v>
      </c>
    </row>
    <row r="89" spans="1:11" ht="24.75" x14ac:dyDescent="0.25">
      <c r="A89" s="2" t="s">
        <v>79</v>
      </c>
      <c r="B89" s="4" t="s">
        <v>80</v>
      </c>
      <c r="C89" s="6"/>
      <c r="D89" s="168"/>
      <c r="E89" s="21"/>
      <c r="F89" s="238"/>
      <c r="G89" s="152"/>
      <c r="K89" s="286"/>
    </row>
    <row r="90" spans="1:11" x14ac:dyDescent="0.25">
      <c r="A90" s="2"/>
      <c r="B90" s="4" t="s">
        <v>81</v>
      </c>
      <c r="C90" s="6">
        <v>12</v>
      </c>
      <c r="D90" s="168" t="s">
        <v>22</v>
      </c>
      <c r="E90" s="12">
        <v>455520</v>
      </c>
      <c r="F90" s="238">
        <f>E90*C90</f>
        <v>5466240</v>
      </c>
      <c r="G90" s="152"/>
      <c r="K90" s="286">
        <f t="shared" si="2"/>
        <v>5466240</v>
      </c>
    </row>
    <row r="91" spans="1:11" ht="24.75" x14ac:dyDescent="0.25">
      <c r="A91" s="2"/>
      <c r="B91" s="4" t="s">
        <v>82</v>
      </c>
      <c r="C91" s="6">
        <v>72</v>
      </c>
      <c r="D91" s="168" t="s">
        <v>22</v>
      </c>
      <c r="E91" s="22">
        <v>305760</v>
      </c>
      <c r="F91" s="238">
        <f>E91*C91</f>
        <v>22014720</v>
      </c>
      <c r="G91" s="152"/>
      <c r="K91" s="286">
        <f t="shared" si="2"/>
        <v>22014720</v>
      </c>
    </row>
    <row r="92" spans="1:11" ht="24.75" x14ac:dyDescent="0.25">
      <c r="A92" s="269"/>
      <c r="B92" s="4" t="s">
        <v>83</v>
      </c>
      <c r="C92" s="6">
        <v>96</v>
      </c>
      <c r="D92" s="168" t="s">
        <v>22</v>
      </c>
      <c r="E92" s="12">
        <v>280800</v>
      </c>
      <c r="F92" s="238">
        <f>E92*C92</f>
        <v>26956800</v>
      </c>
      <c r="G92" s="152"/>
      <c r="K92" s="286">
        <f t="shared" si="2"/>
        <v>26956800</v>
      </c>
    </row>
    <row r="93" spans="1:11" x14ac:dyDescent="0.25">
      <c r="A93" s="269"/>
      <c r="B93" s="4"/>
      <c r="C93" s="6"/>
      <c r="D93" s="168"/>
      <c r="E93" s="12"/>
      <c r="F93" s="238"/>
      <c r="G93" s="20"/>
    </row>
    <row r="94" spans="1:11" x14ac:dyDescent="0.25">
      <c r="A94" s="1861" t="s">
        <v>27</v>
      </c>
      <c r="B94" s="1805"/>
      <c r="C94" s="1805"/>
      <c r="D94" s="1805"/>
      <c r="E94" s="1806"/>
      <c r="F94" s="238">
        <f>SUM(F83:F93)</f>
        <v>70001760</v>
      </c>
      <c r="G94" s="20" t="s">
        <v>2620</v>
      </c>
    </row>
    <row r="95" spans="1:11" x14ac:dyDescent="0.25">
      <c r="E95" s="175"/>
    </row>
    <row r="96" spans="1:11" x14ac:dyDescent="0.25">
      <c r="A96" s="1807" t="s">
        <v>614</v>
      </c>
      <c r="B96" s="1807"/>
      <c r="C96" s="5" t="s">
        <v>28</v>
      </c>
      <c r="D96" s="1808" t="s">
        <v>1698</v>
      </c>
      <c r="E96" s="1808"/>
      <c r="F96" s="1808"/>
      <c r="G96" s="5"/>
    </row>
    <row r="97" spans="1:7" x14ac:dyDescent="0.25">
      <c r="A97" s="1807" t="s">
        <v>29</v>
      </c>
      <c r="B97" s="1807"/>
      <c r="C97" s="5"/>
      <c r="D97" s="1809" t="s">
        <v>2988</v>
      </c>
      <c r="E97" s="1809"/>
      <c r="F97" s="1809"/>
      <c r="G97" s="5"/>
    </row>
    <row r="98" spans="1:7" x14ac:dyDescent="0.25">
      <c r="A98" s="1"/>
      <c r="B98" s="3"/>
      <c r="C98" s="5"/>
      <c r="D98" s="7"/>
      <c r="E98" s="17"/>
      <c r="F98" s="17"/>
      <c r="G98" s="5"/>
    </row>
    <row r="99" spans="1:7" x14ac:dyDescent="0.25">
      <c r="A99" s="1"/>
      <c r="B99" s="3"/>
      <c r="C99" s="5"/>
      <c r="D99" s="7"/>
      <c r="E99" s="17"/>
      <c r="F99" s="17"/>
      <c r="G99" s="5"/>
    </row>
    <row r="100" spans="1:7" x14ac:dyDescent="0.25">
      <c r="A100" s="1807"/>
      <c r="B100" s="1807"/>
      <c r="C100" s="5"/>
      <c r="D100" s="7"/>
      <c r="E100" s="1807"/>
      <c r="F100" s="1807"/>
      <c r="G100" s="5"/>
    </row>
    <row r="101" spans="1:7" x14ac:dyDescent="0.25">
      <c r="A101" s="1807" t="s">
        <v>30</v>
      </c>
      <c r="B101" s="1807"/>
      <c r="C101" s="5"/>
      <c r="D101" s="1807" t="s">
        <v>2989</v>
      </c>
      <c r="E101" s="1807"/>
      <c r="F101" s="1807"/>
      <c r="G101" s="5"/>
    </row>
    <row r="104" spans="1:7" x14ac:dyDescent="0.25">
      <c r="A104" s="1800" t="s">
        <v>0</v>
      </c>
      <c r="B104" s="1800"/>
      <c r="C104" s="1800"/>
      <c r="D104" s="1800"/>
      <c r="E104" s="1800"/>
      <c r="F104" s="1800"/>
      <c r="G104" s="1800"/>
    </row>
    <row r="105" spans="1:7" x14ac:dyDescent="0.25">
      <c r="A105" s="1800" t="s">
        <v>1</v>
      </c>
      <c r="B105" s="1800"/>
      <c r="C105" s="1800"/>
      <c r="D105" s="1800"/>
      <c r="E105" s="1800"/>
      <c r="F105" s="1800"/>
      <c r="G105" s="1800"/>
    </row>
    <row r="106" spans="1:7" x14ac:dyDescent="0.25">
      <c r="A106" s="1800" t="s">
        <v>1697</v>
      </c>
      <c r="B106" s="1800"/>
      <c r="C106" s="1800"/>
      <c r="D106" s="1800"/>
      <c r="E106" s="1800"/>
      <c r="F106" s="1800"/>
      <c r="G106" s="1800"/>
    </row>
    <row r="107" spans="1:7" x14ac:dyDescent="0.25">
      <c r="A107" s="518"/>
      <c r="B107" s="138"/>
      <c r="C107" s="138"/>
      <c r="D107" s="138"/>
      <c r="E107" s="138"/>
      <c r="F107" s="138"/>
      <c r="G107" s="162"/>
    </row>
    <row r="108" spans="1:7" x14ac:dyDescent="0.25">
      <c r="A108" s="1" t="s">
        <v>2</v>
      </c>
      <c r="B108" s="3" t="s">
        <v>3</v>
      </c>
      <c r="C108" s="5"/>
      <c r="D108" s="7"/>
      <c r="E108" s="8"/>
      <c r="F108" s="13"/>
      <c r="G108" s="5"/>
    </row>
    <row r="109" spans="1:7" ht="36.75" x14ac:dyDescent="0.25">
      <c r="A109" s="140" t="s">
        <v>4</v>
      </c>
      <c r="B109" s="3" t="s">
        <v>5</v>
      </c>
      <c r="C109" s="5"/>
      <c r="D109" s="7"/>
      <c r="E109" s="23"/>
      <c r="F109" s="13"/>
      <c r="G109" s="5"/>
    </row>
    <row r="110" spans="1:7" ht="24" x14ac:dyDescent="0.25">
      <c r="A110" s="140" t="s">
        <v>7</v>
      </c>
      <c r="B110" s="284" t="s">
        <v>84</v>
      </c>
      <c r="C110" s="5"/>
      <c r="D110" s="7"/>
      <c r="E110" s="10"/>
      <c r="F110" s="15"/>
      <c r="G110" s="5"/>
    </row>
    <row r="111" spans="1:7" x14ac:dyDescent="0.25">
      <c r="A111" s="140" t="s">
        <v>275</v>
      </c>
      <c r="B111" s="3"/>
      <c r="C111" s="5"/>
      <c r="D111" s="7"/>
      <c r="E111" s="8"/>
      <c r="F111" s="13"/>
      <c r="G111" s="5"/>
    </row>
    <row r="112" spans="1:7" x14ac:dyDescent="0.25">
      <c r="A112" s="140" t="s">
        <v>11</v>
      </c>
      <c r="B112" s="3"/>
      <c r="C112" s="5"/>
      <c r="D112" s="7"/>
      <c r="E112" s="8"/>
      <c r="F112" s="13"/>
      <c r="G112" s="5"/>
    </row>
    <row r="113" spans="1:10" ht="24" x14ac:dyDescent="0.25">
      <c r="A113" s="146" t="s">
        <v>31</v>
      </c>
      <c r="B113" s="144" t="s">
        <v>521</v>
      </c>
      <c r="C113" s="1801" t="s">
        <v>13</v>
      </c>
      <c r="D113" s="1802"/>
      <c r="E113" s="144" t="s">
        <v>33</v>
      </c>
      <c r="F113" s="146" t="s">
        <v>34</v>
      </c>
      <c r="G113" s="146" t="s">
        <v>35</v>
      </c>
    </row>
    <row r="114" spans="1:10" x14ac:dyDescent="0.25">
      <c r="A114" s="145">
        <v>1</v>
      </c>
      <c r="B114" s="145">
        <v>2</v>
      </c>
      <c r="C114" s="1803">
        <v>3</v>
      </c>
      <c r="D114" s="1803"/>
      <c r="E114" s="18">
        <v>4</v>
      </c>
      <c r="F114" s="147">
        <v>5</v>
      </c>
      <c r="G114" s="147">
        <v>6</v>
      </c>
    </row>
    <row r="115" spans="1:10" x14ac:dyDescent="0.25">
      <c r="A115" s="148" t="s">
        <v>85</v>
      </c>
      <c r="B115" s="257" t="s">
        <v>86</v>
      </c>
      <c r="C115" s="167"/>
      <c r="D115" s="168"/>
      <c r="E115" s="256"/>
      <c r="F115" s="235"/>
      <c r="G115" s="146"/>
    </row>
    <row r="116" spans="1:10" x14ac:dyDescent="0.25">
      <c r="A116" s="148" t="s">
        <v>87</v>
      </c>
      <c r="B116" s="4" t="s">
        <v>88</v>
      </c>
      <c r="C116" s="6"/>
      <c r="D116" s="168"/>
      <c r="E116" s="16"/>
      <c r="F116" s="16"/>
      <c r="G116" s="152"/>
    </row>
    <row r="117" spans="1:10" ht="24.75" x14ac:dyDescent="0.25">
      <c r="A117" s="148" t="s">
        <v>89</v>
      </c>
      <c r="B117" s="271" t="s">
        <v>90</v>
      </c>
      <c r="C117" s="220"/>
      <c r="D117" s="171"/>
      <c r="E117" s="16"/>
      <c r="F117" s="16"/>
      <c r="G117" s="152"/>
    </row>
    <row r="118" spans="1:10" x14ac:dyDescent="0.25">
      <c r="A118" s="2"/>
      <c r="B118" s="4" t="s">
        <v>2602</v>
      </c>
      <c r="C118" s="6">
        <v>196</v>
      </c>
      <c r="D118" s="168" t="s">
        <v>91</v>
      </c>
      <c r="E118" s="188">
        <v>75000</v>
      </c>
      <c r="F118" s="12">
        <f>E118*C118</f>
        <v>14700000</v>
      </c>
      <c r="G118" s="152" t="s">
        <v>1682</v>
      </c>
      <c r="J118" s="286">
        <f>F118</f>
        <v>14700000</v>
      </c>
    </row>
    <row r="119" spans="1:10" x14ac:dyDescent="0.25">
      <c r="A119" s="2"/>
      <c r="B119" s="4" t="s">
        <v>92</v>
      </c>
      <c r="C119" s="6">
        <v>7</v>
      </c>
      <c r="D119" s="168" t="s">
        <v>93</v>
      </c>
      <c r="E119" s="188">
        <v>90000</v>
      </c>
      <c r="F119" s="12">
        <f t="shared" ref="F119:F164" si="3">E119*C119</f>
        <v>630000</v>
      </c>
      <c r="G119" s="152" t="s">
        <v>1682</v>
      </c>
      <c r="J119" s="286">
        <f t="shared" ref="J119:J182" si="4">F119</f>
        <v>630000</v>
      </c>
    </row>
    <row r="120" spans="1:10" x14ac:dyDescent="0.25">
      <c r="A120" s="2"/>
      <c r="B120" s="4" t="s">
        <v>94</v>
      </c>
      <c r="C120" s="6">
        <v>6</v>
      </c>
      <c r="D120" s="168" t="s">
        <v>93</v>
      </c>
      <c r="E120" s="188">
        <v>55000</v>
      </c>
      <c r="F120" s="12">
        <f t="shared" si="3"/>
        <v>330000</v>
      </c>
      <c r="G120" s="152" t="s">
        <v>1682</v>
      </c>
      <c r="J120" s="286">
        <f t="shared" si="4"/>
        <v>330000</v>
      </c>
    </row>
    <row r="121" spans="1:10" x14ac:dyDescent="0.25">
      <c r="A121" s="2"/>
      <c r="B121" s="4" t="s">
        <v>96</v>
      </c>
      <c r="C121" s="6">
        <v>30</v>
      </c>
      <c r="D121" s="168" t="s">
        <v>93</v>
      </c>
      <c r="E121" s="188">
        <v>60000</v>
      </c>
      <c r="F121" s="12">
        <f t="shared" si="3"/>
        <v>1800000</v>
      </c>
      <c r="G121" s="152" t="s">
        <v>1682</v>
      </c>
      <c r="J121" s="286">
        <f t="shared" si="4"/>
        <v>1800000</v>
      </c>
    </row>
    <row r="122" spans="1:10" x14ac:dyDescent="0.25">
      <c r="A122" s="2"/>
      <c r="B122" s="4" t="s">
        <v>97</v>
      </c>
      <c r="C122" s="6">
        <v>25</v>
      </c>
      <c r="D122" s="168" t="s">
        <v>526</v>
      </c>
      <c r="E122" s="188">
        <v>7000</v>
      </c>
      <c r="F122" s="12">
        <f t="shared" si="3"/>
        <v>175000</v>
      </c>
      <c r="G122" s="152" t="s">
        <v>1682</v>
      </c>
      <c r="J122" s="286">
        <f t="shared" si="4"/>
        <v>175000</v>
      </c>
    </row>
    <row r="123" spans="1:10" x14ac:dyDescent="0.25">
      <c r="A123" s="2"/>
      <c r="B123" s="4" t="s">
        <v>98</v>
      </c>
      <c r="C123" s="6">
        <v>70</v>
      </c>
      <c r="D123" s="168" t="s">
        <v>526</v>
      </c>
      <c r="E123" s="188">
        <v>8000</v>
      </c>
      <c r="F123" s="12">
        <f t="shared" si="3"/>
        <v>560000</v>
      </c>
      <c r="G123" s="152" t="s">
        <v>1682</v>
      </c>
      <c r="J123" s="286">
        <f t="shared" si="4"/>
        <v>560000</v>
      </c>
    </row>
    <row r="124" spans="1:10" x14ac:dyDescent="0.25">
      <c r="A124" s="148"/>
      <c r="B124" s="4" t="s">
        <v>99</v>
      </c>
      <c r="C124" s="6">
        <v>20</v>
      </c>
      <c r="D124" s="168" t="s">
        <v>526</v>
      </c>
      <c r="E124" s="188">
        <v>16000</v>
      </c>
      <c r="F124" s="12">
        <f t="shared" si="3"/>
        <v>320000</v>
      </c>
      <c r="G124" s="152" t="s">
        <v>1682</v>
      </c>
      <c r="J124" s="286">
        <f t="shared" si="4"/>
        <v>320000</v>
      </c>
    </row>
    <row r="125" spans="1:10" x14ac:dyDescent="0.25">
      <c r="A125" s="2"/>
      <c r="B125" s="157" t="s">
        <v>100</v>
      </c>
      <c r="C125" s="6">
        <v>5</v>
      </c>
      <c r="D125" s="168" t="s">
        <v>95</v>
      </c>
      <c r="E125" s="188">
        <v>35000</v>
      </c>
      <c r="F125" s="12">
        <f t="shared" si="3"/>
        <v>175000</v>
      </c>
      <c r="G125" s="152" t="s">
        <v>1682</v>
      </c>
      <c r="J125" s="286">
        <f t="shared" si="4"/>
        <v>175000</v>
      </c>
    </row>
    <row r="126" spans="1:10" x14ac:dyDescent="0.25">
      <c r="A126" s="2"/>
      <c r="B126" s="4" t="s">
        <v>101</v>
      </c>
      <c r="C126" s="6">
        <v>85</v>
      </c>
      <c r="D126" s="168" t="s">
        <v>527</v>
      </c>
      <c r="E126" s="188">
        <v>35000</v>
      </c>
      <c r="F126" s="12">
        <f t="shared" si="3"/>
        <v>2975000</v>
      </c>
      <c r="G126" s="152" t="s">
        <v>1682</v>
      </c>
      <c r="J126" s="286">
        <f t="shared" si="4"/>
        <v>2975000</v>
      </c>
    </row>
    <row r="127" spans="1:10" x14ac:dyDescent="0.25">
      <c r="A127" s="2"/>
      <c r="B127" s="4" t="s">
        <v>103</v>
      </c>
      <c r="C127" s="6">
        <v>25</v>
      </c>
      <c r="D127" s="168" t="s">
        <v>528</v>
      </c>
      <c r="E127" s="24">
        <v>40000</v>
      </c>
      <c r="F127" s="12">
        <f t="shared" si="3"/>
        <v>1000000</v>
      </c>
      <c r="G127" s="152" t="s">
        <v>1682</v>
      </c>
      <c r="J127" s="286">
        <f t="shared" si="4"/>
        <v>1000000</v>
      </c>
    </row>
    <row r="128" spans="1:10" x14ac:dyDescent="0.25">
      <c r="A128" s="2"/>
      <c r="B128" s="4" t="s">
        <v>104</v>
      </c>
      <c r="C128" s="6">
        <v>25</v>
      </c>
      <c r="D128" s="168" t="s">
        <v>102</v>
      </c>
      <c r="E128" s="24">
        <v>22000</v>
      </c>
      <c r="F128" s="12">
        <f t="shared" si="3"/>
        <v>550000</v>
      </c>
      <c r="G128" s="152" t="s">
        <v>1682</v>
      </c>
      <c r="J128" s="286">
        <f t="shared" si="4"/>
        <v>550000</v>
      </c>
    </row>
    <row r="129" spans="1:10" x14ac:dyDescent="0.25">
      <c r="A129" s="2"/>
      <c r="B129" s="4" t="s">
        <v>105</v>
      </c>
      <c r="C129" s="6">
        <v>1573</v>
      </c>
      <c r="D129" s="168" t="s">
        <v>102</v>
      </c>
      <c r="E129" s="188">
        <v>4000</v>
      </c>
      <c r="F129" s="12">
        <f t="shared" si="3"/>
        <v>6292000</v>
      </c>
      <c r="G129" s="152" t="s">
        <v>1682</v>
      </c>
      <c r="J129" s="286">
        <f t="shared" si="4"/>
        <v>6292000</v>
      </c>
    </row>
    <row r="130" spans="1:10" x14ac:dyDescent="0.25">
      <c r="A130" s="2"/>
      <c r="B130" s="4" t="s">
        <v>106</v>
      </c>
      <c r="C130" s="6">
        <v>10</v>
      </c>
      <c r="D130" s="168" t="s">
        <v>102</v>
      </c>
      <c r="E130" s="188">
        <v>5000</v>
      </c>
      <c r="F130" s="12">
        <f t="shared" si="3"/>
        <v>50000</v>
      </c>
      <c r="G130" s="152" t="s">
        <v>1682</v>
      </c>
      <c r="J130" s="286">
        <f t="shared" si="4"/>
        <v>50000</v>
      </c>
    </row>
    <row r="131" spans="1:10" x14ac:dyDescent="0.25">
      <c r="A131" s="148"/>
      <c r="B131" s="4" t="s">
        <v>107</v>
      </c>
      <c r="C131" s="6">
        <v>1000</v>
      </c>
      <c r="D131" s="168" t="s">
        <v>102</v>
      </c>
      <c r="E131" s="188">
        <v>10000</v>
      </c>
      <c r="F131" s="12">
        <f t="shared" si="3"/>
        <v>10000000</v>
      </c>
      <c r="G131" s="152" t="s">
        <v>1682</v>
      </c>
      <c r="J131" s="286">
        <f t="shared" si="4"/>
        <v>10000000</v>
      </c>
    </row>
    <row r="132" spans="1:10" x14ac:dyDescent="0.25">
      <c r="A132" s="148"/>
      <c r="B132" s="4" t="s">
        <v>108</v>
      </c>
      <c r="C132" s="6">
        <v>2</v>
      </c>
      <c r="D132" s="168" t="s">
        <v>102</v>
      </c>
      <c r="E132" s="188">
        <v>15000</v>
      </c>
      <c r="F132" s="12">
        <f t="shared" si="3"/>
        <v>30000</v>
      </c>
      <c r="G132" s="152" t="s">
        <v>1682</v>
      </c>
      <c r="J132" s="286">
        <f t="shared" si="4"/>
        <v>30000</v>
      </c>
    </row>
    <row r="133" spans="1:10" x14ac:dyDescent="0.25">
      <c r="A133" s="148"/>
      <c r="B133" s="4" t="s">
        <v>109</v>
      </c>
      <c r="C133" s="6">
        <v>12</v>
      </c>
      <c r="D133" s="168" t="s">
        <v>102</v>
      </c>
      <c r="E133" s="188">
        <v>8000</v>
      </c>
      <c r="F133" s="12">
        <f t="shared" si="3"/>
        <v>96000</v>
      </c>
      <c r="G133" s="152" t="s">
        <v>1682</v>
      </c>
      <c r="J133" s="286">
        <f t="shared" si="4"/>
        <v>96000</v>
      </c>
    </row>
    <row r="134" spans="1:10" x14ac:dyDescent="0.25">
      <c r="A134" s="148"/>
      <c r="B134" s="4" t="s">
        <v>110</v>
      </c>
      <c r="C134" s="6">
        <v>25</v>
      </c>
      <c r="D134" s="168" t="s">
        <v>102</v>
      </c>
      <c r="E134" s="188">
        <v>12000</v>
      </c>
      <c r="F134" s="12">
        <f t="shared" si="3"/>
        <v>300000</v>
      </c>
      <c r="G134" s="152" t="s">
        <v>1682</v>
      </c>
      <c r="J134" s="286">
        <f t="shared" si="4"/>
        <v>300000</v>
      </c>
    </row>
    <row r="135" spans="1:10" x14ac:dyDescent="0.25">
      <c r="A135" s="2"/>
      <c r="B135" s="4" t="s">
        <v>111</v>
      </c>
      <c r="C135" s="6">
        <v>80</v>
      </c>
      <c r="D135" s="168" t="s">
        <v>112</v>
      </c>
      <c r="E135" s="188">
        <v>115000</v>
      </c>
      <c r="F135" s="12">
        <f t="shared" si="3"/>
        <v>9200000</v>
      </c>
      <c r="G135" s="152" t="s">
        <v>1682</v>
      </c>
      <c r="J135" s="286">
        <f t="shared" si="4"/>
        <v>9200000</v>
      </c>
    </row>
    <row r="136" spans="1:10" x14ac:dyDescent="0.25">
      <c r="A136" s="148"/>
      <c r="B136" s="4" t="s">
        <v>113</v>
      </c>
      <c r="C136" s="6">
        <v>40</v>
      </c>
      <c r="D136" s="168" t="s">
        <v>102</v>
      </c>
      <c r="E136" s="188">
        <v>30000</v>
      </c>
      <c r="F136" s="12">
        <f t="shared" si="3"/>
        <v>1200000</v>
      </c>
      <c r="G136" s="152" t="s">
        <v>1682</v>
      </c>
      <c r="J136" s="286">
        <f t="shared" si="4"/>
        <v>1200000</v>
      </c>
    </row>
    <row r="137" spans="1:10" x14ac:dyDescent="0.25">
      <c r="A137" s="148"/>
      <c r="B137" s="4" t="s">
        <v>114</v>
      </c>
      <c r="C137" s="6">
        <v>500</v>
      </c>
      <c r="D137" s="168" t="s">
        <v>102</v>
      </c>
      <c r="E137" s="188">
        <v>10000</v>
      </c>
      <c r="F137" s="12">
        <f t="shared" si="3"/>
        <v>5000000</v>
      </c>
      <c r="G137" s="152" t="s">
        <v>1682</v>
      </c>
      <c r="J137" s="286">
        <f t="shared" si="4"/>
        <v>5000000</v>
      </c>
    </row>
    <row r="138" spans="1:10" x14ac:dyDescent="0.25">
      <c r="A138" s="148"/>
      <c r="B138" s="4" t="s">
        <v>115</v>
      </c>
      <c r="C138" s="6">
        <v>16</v>
      </c>
      <c r="D138" s="168" t="s">
        <v>102</v>
      </c>
      <c r="E138" s="188">
        <v>12000</v>
      </c>
      <c r="F138" s="12">
        <f t="shared" si="3"/>
        <v>192000</v>
      </c>
      <c r="G138" s="152" t="s">
        <v>1682</v>
      </c>
      <c r="J138" s="286">
        <f t="shared" si="4"/>
        <v>192000</v>
      </c>
    </row>
    <row r="139" spans="1:10" x14ac:dyDescent="0.25">
      <c r="A139" s="148"/>
      <c r="B139" s="4" t="s">
        <v>116</v>
      </c>
      <c r="C139" s="6">
        <v>50</v>
      </c>
      <c r="D139" s="168" t="s">
        <v>102</v>
      </c>
      <c r="E139" s="188">
        <v>15000</v>
      </c>
      <c r="F139" s="12">
        <f t="shared" si="3"/>
        <v>750000</v>
      </c>
      <c r="G139" s="152" t="s">
        <v>1682</v>
      </c>
      <c r="J139" s="286">
        <f t="shared" si="4"/>
        <v>750000</v>
      </c>
    </row>
    <row r="140" spans="1:10" x14ac:dyDescent="0.25">
      <c r="A140" s="148"/>
      <c r="B140" s="4" t="s">
        <v>117</v>
      </c>
      <c r="C140" s="6">
        <v>2</v>
      </c>
      <c r="D140" s="168" t="s">
        <v>102</v>
      </c>
      <c r="E140" s="188">
        <v>40000</v>
      </c>
      <c r="F140" s="12">
        <f t="shared" si="3"/>
        <v>80000</v>
      </c>
      <c r="G140" s="152" t="s">
        <v>1682</v>
      </c>
      <c r="J140" s="286">
        <f t="shared" si="4"/>
        <v>80000</v>
      </c>
    </row>
    <row r="141" spans="1:10" x14ac:dyDescent="0.25">
      <c r="A141" s="148"/>
      <c r="B141" s="4" t="s">
        <v>118</v>
      </c>
      <c r="C141" s="6">
        <v>6</v>
      </c>
      <c r="D141" s="168" t="s">
        <v>119</v>
      </c>
      <c r="E141" s="188">
        <v>400000</v>
      </c>
      <c r="F141" s="12">
        <f t="shared" si="3"/>
        <v>2400000</v>
      </c>
      <c r="G141" s="152" t="s">
        <v>1682</v>
      </c>
      <c r="J141" s="286">
        <f t="shared" si="4"/>
        <v>2400000</v>
      </c>
    </row>
    <row r="142" spans="1:10" x14ac:dyDescent="0.25">
      <c r="A142" s="148"/>
      <c r="B142" s="4" t="s">
        <v>120</v>
      </c>
      <c r="C142" s="6">
        <v>16500</v>
      </c>
      <c r="D142" s="168" t="s">
        <v>121</v>
      </c>
      <c r="E142" s="188">
        <v>250</v>
      </c>
      <c r="F142" s="12">
        <f t="shared" si="3"/>
        <v>4125000</v>
      </c>
      <c r="G142" s="152" t="s">
        <v>1682</v>
      </c>
      <c r="J142" s="286">
        <f t="shared" si="4"/>
        <v>4125000</v>
      </c>
    </row>
    <row r="143" spans="1:10" x14ac:dyDescent="0.25">
      <c r="A143" s="148"/>
      <c r="B143" s="4" t="s">
        <v>122</v>
      </c>
      <c r="C143" s="6">
        <v>1112</v>
      </c>
      <c r="D143" s="168" t="s">
        <v>123</v>
      </c>
      <c r="E143" s="188">
        <v>5000</v>
      </c>
      <c r="F143" s="12">
        <f t="shared" si="3"/>
        <v>5560000</v>
      </c>
      <c r="G143" s="152" t="s">
        <v>1682</v>
      </c>
      <c r="J143" s="286">
        <f t="shared" si="4"/>
        <v>5560000</v>
      </c>
    </row>
    <row r="144" spans="1:10" x14ac:dyDescent="0.25">
      <c r="A144" s="148"/>
      <c r="B144" s="4" t="s">
        <v>124</v>
      </c>
      <c r="C144" s="6">
        <v>100</v>
      </c>
      <c r="D144" s="168" t="s">
        <v>123</v>
      </c>
      <c r="E144" s="188">
        <v>5000</v>
      </c>
      <c r="F144" s="12">
        <f t="shared" si="3"/>
        <v>500000</v>
      </c>
      <c r="G144" s="152" t="s">
        <v>1682</v>
      </c>
      <c r="J144" s="286">
        <f t="shared" si="4"/>
        <v>500000</v>
      </c>
    </row>
    <row r="145" spans="1:10" x14ac:dyDescent="0.25">
      <c r="A145" s="148"/>
      <c r="B145" s="4" t="s">
        <v>125</v>
      </c>
      <c r="C145" s="6">
        <v>2</v>
      </c>
      <c r="D145" s="168" t="s">
        <v>102</v>
      </c>
      <c r="E145" s="188">
        <v>200000</v>
      </c>
      <c r="F145" s="12">
        <f t="shared" si="3"/>
        <v>400000</v>
      </c>
      <c r="G145" s="152" t="s">
        <v>1682</v>
      </c>
      <c r="J145" s="286">
        <f t="shared" si="4"/>
        <v>400000</v>
      </c>
    </row>
    <row r="146" spans="1:10" x14ac:dyDescent="0.25">
      <c r="A146" s="148"/>
      <c r="B146" s="4"/>
      <c r="C146" s="6"/>
      <c r="D146" s="168"/>
      <c r="E146" s="188"/>
      <c r="F146" s="12"/>
      <c r="G146" s="152"/>
      <c r="J146" s="286">
        <f t="shared" si="4"/>
        <v>0</v>
      </c>
    </row>
    <row r="147" spans="1:10" x14ac:dyDescent="0.25">
      <c r="A147" s="148" t="s">
        <v>126</v>
      </c>
      <c r="B147" s="153" t="s">
        <v>127</v>
      </c>
      <c r="C147" s="236"/>
      <c r="D147" s="168"/>
      <c r="E147" s="25"/>
      <c r="F147" s="12"/>
      <c r="G147" s="16"/>
      <c r="J147" s="286">
        <f t="shared" si="4"/>
        <v>0</v>
      </c>
    </row>
    <row r="148" spans="1:10" x14ac:dyDescent="0.25">
      <c r="A148" s="148"/>
      <c r="B148" s="4" t="s">
        <v>128</v>
      </c>
      <c r="C148" s="6">
        <v>20</v>
      </c>
      <c r="D148" s="168" t="s">
        <v>129</v>
      </c>
      <c r="E148" s="26">
        <v>80000</v>
      </c>
      <c r="F148" s="12">
        <f t="shared" si="3"/>
        <v>1600000</v>
      </c>
      <c r="G148" s="152" t="s">
        <v>1682</v>
      </c>
      <c r="J148" s="286">
        <f t="shared" si="4"/>
        <v>1600000</v>
      </c>
    </row>
    <row r="149" spans="1:10" x14ac:dyDescent="0.25">
      <c r="A149" s="148"/>
      <c r="B149" s="4"/>
      <c r="C149" s="6"/>
      <c r="D149" s="168"/>
      <c r="E149" s="24"/>
      <c r="F149" s="12"/>
      <c r="G149" s="152"/>
      <c r="J149" s="286">
        <f t="shared" si="4"/>
        <v>0</v>
      </c>
    </row>
    <row r="150" spans="1:10" ht="24.75" x14ac:dyDescent="0.25">
      <c r="A150" s="148" t="s">
        <v>130</v>
      </c>
      <c r="B150" s="4" t="s">
        <v>131</v>
      </c>
      <c r="C150" s="6"/>
      <c r="D150" s="168"/>
      <c r="E150" s="24"/>
      <c r="F150" s="12"/>
      <c r="G150" s="152"/>
      <c r="J150" s="286">
        <f t="shared" si="4"/>
        <v>0</v>
      </c>
    </row>
    <row r="151" spans="1:10" x14ac:dyDescent="0.25">
      <c r="A151" s="2"/>
      <c r="B151" s="4" t="s">
        <v>132</v>
      </c>
      <c r="C151" s="6">
        <v>6</v>
      </c>
      <c r="D151" s="168" t="s">
        <v>95</v>
      </c>
      <c r="E151" s="24">
        <v>50000</v>
      </c>
      <c r="F151" s="12">
        <f t="shared" si="3"/>
        <v>300000</v>
      </c>
      <c r="G151" s="152" t="s">
        <v>1682</v>
      </c>
      <c r="J151" s="286">
        <f t="shared" si="4"/>
        <v>300000</v>
      </c>
    </row>
    <row r="152" spans="1:10" x14ac:dyDescent="0.25">
      <c r="A152" s="2"/>
      <c r="B152" s="4" t="s">
        <v>133</v>
      </c>
      <c r="C152" s="6">
        <v>6</v>
      </c>
      <c r="D152" s="168" t="s">
        <v>95</v>
      </c>
      <c r="E152" s="24">
        <v>8000</v>
      </c>
      <c r="F152" s="12">
        <f t="shared" si="3"/>
        <v>48000</v>
      </c>
      <c r="G152" s="152" t="s">
        <v>1682</v>
      </c>
      <c r="J152" s="286">
        <f t="shared" si="4"/>
        <v>48000</v>
      </c>
    </row>
    <row r="153" spans="1:10" x14ac:dyDescent="0.25">
      <c r="A153" s="2"/>
      <c r="B153" s="4" t="s">
        <v>134</v>
      </c>
      <c r="C153" s="6">
        <v>6</v>
      </c>
      <c r="D153" s="168" t="s">
        <v>102</v>
      </c>
      <c r="E153" s="24">
        <v>35000</v>
      </c>
      <c r="F153" s="12">
        <f t="shared" si="3"/>
        <v>210000</v>
      </c>
      <c r="G153" s="152" t="s">
        <v>1682</v>
      </c>
      <c r="J153" s="286">
        <f t="shared" si="4"/>
        <v>210000</v>
      </c>
    </row>
    <row r="154" spans="1:10" x14ac:dyDescent="0.25">
      <c r="A154" s="2"/>
      <c r="B154" s="157" t="s">
        <v>135</v>
      </c>
      <c r="C154" s="6">
        <v>6</v>
      </c>
      <c r="D154" s="168" t="s">
        <v>95</v>
      </c>
      <c r="E154" s="299">
        <v>40000</v>
      </c>
      <c r="F154" s="12">
        <f t="shared" si="3"/>
        <v>240000</v>
      </c>
      <c r="G154" s="152" t="s">
        <v>1682</v>
      </c>
      <c r="J154" s="286">
        <f t="shared" si="4"/>
        <v>240000</v>
      </c>
    </row>
    <row r="155" spans="1:10" x14ac:dyDescent="0.25">
      <c r="A155" s="2"/>
      <c r="B155" s="4" t="s">
        <v>136</v>
      </c>
      <c r="C155" s="6">
        <v>6</v>
      </c>
      <c r="D155" s="168" t="s">
        <v>102</v>
      </c>
      <c r="E155" s="24">
        <v>35000</v>
      </c>
      <c r="F155" s="12">
        <f t="shared" si="3"/>
        <v>210000</v>
      </c>
      <c r="G155" s="152" t="s">
        <v>1682</v>
      </c>
      <c r="J155" s="286">
        <f t="shared" si="4"/>
        <v>210000</v>
      </c>
    </row>
    <row r="156" spans="1:10" x14ac:dyDescent="0.25">
      <c r="A156" s="2"/>
      <c r="B156" s="4" t="s">
        <v>137</v>
      </c>
      <c r="C156" s="6">
        <v>10</v>
      </c>
      <c r="D156" s="168" t="s">
        <v>102</v>
      </c>
      <c r="E156" s="24">
        <v>45000</v>
      </c>
      <c r="F156" s="12">
        <f t="shared" si="3"/>
        <v>450000</v>
      </c>
      <c r="G156" s="152" t="s">
        <v>1682</v>
      </c>
      <c r="J156" s="286">
        <f t="shared" si="4"/>
        <v>450000</v>
      </c>
    </row>
    <row r="157" spans="1:10" x14ac:dyDescent="0.25">
      <c r="A157" s="2"/>
      <c r="B157" s="4" t="s">
        <v>138</v>
      </c>
      <c r="C157" s="6">
        <v>40</v>
      </c>
      <c r="D157" s="168" t="s">
        <v>139</v>
      </c>
      <c r="E157" s="24">
        <v>35000</v>
      </c>
      <c r="F157" s="12">
        <f t="shared" si="3"/>
        <v>1400000</v>
      </c>
      <c r="G157" s="152" t="s">
        <v>1682</v>
      </c>
      <c r="J157" s="286">
        <f t="shared" si="4"/>
        <v>1400000</v>
      </c>
    </row>
    <row r="158" spans="1:10" x14ac:dyDescent="0.25">
      <c r="A158" s="2"/>
      <c r="B158" s="4" t="s">
        <v>140</v>
      </c>
      <c r="C158" s="6">
        <v>450</v>
      </c>
      <c r="D158" s="168" t="s">
        <v>95</v>
      </c>
      <c r="E158" s="24">
        <v>3000</v>
      </c>
      <c r="F158" s="12">
        <f t="shared" si="3"/>
        <v>1350000</v>
      </c>
      <c r="G158" s="152" t="s">
        <v>1682</v>
      </c>
      <c r="J158" s="286">
        <f t="shared" si="4"/>
        <v>1350000</v>
      </c>
    </row>
    <row r="159" spans="1:10" x14ac:dyDescent="0.25">
      <c r="A159" s="2"/>
      <c r="B159" s="4" t="s">
        <v>141</v>
      </c>
      <c r="C159" s="6">
        <v>40</v>
      </c>
      <c r="D159" s="168" t="s">
        <v>142</v>
      </c>
      <c r="E159" s="24">
        <v>35000</v>
      </c>
      <c r="F159" s="12">
        <f t="shared" si="3"/>
        <v>1400000</v>
      </c>
      <c r="G159" s="152" t="s">
        <v>1682</v>
      </c>
      <c r="J159" s="286">
        <f t="shared" si="4"/>
        <v>1400000</v>
      </c>
    </row>
    <row r="160" spans="1:10" x14ac:dyDescent="0.25">
      <c r="A160" s="2"/>
      <c r="B160" s="4" t="s">
        <v>143</v>
      </c>
      <c r="C160" s="6">
        <v>12</v>
      </c>
      <c r="D160" s="168" t="s">
        <v>144</v>
      </c>
      <c r="E160" s="24">
        <v>10000</v>
      </c>
      <c r="F160" s="12">
        <f t="shared" si="3"/>
        <v>120000</v>
      </c>
      <c r="G160" s="152" t="s">
        <v>1682</v>
      </c>
      <c r="J160" s="286">
        <f t="shared" si="4"/>
        <v>120000</v>
      </c>
    </row>
    <row r="161" spans="1:10" ht="24.75" x14ac:dyDescent="0.25">
      <c r="A161" s="148" t="s">
        <v>145</v>
      </c>
      <c r="B161" s="4" t="s">
        <v>146</v>
      </c>
      <c r="C161" s="6"/>
      <c r="D161" s="168"/>
      <c r="E161" s="188"/>
      <c r="F161" s="12"/>
      <c r="G161" s="152"/>
      <c r="J161" s="286">
        <f t="shared" si="4"/>
        <v>0</v>
      </c>
    </row>
    <row r="162" spans="1:10" x14ac:dyDescent="0.25">
      <c r="A162" s="2"/>
      <c r="B162" s="4" t="s">
        <v>147</v>
      </c>
      <c r="C162" s="6">
        <f>3*12</f>
        <v>36</v>
      </c>
      <c r="D162" s="168" t="s">
        <v>148</v>
      </c>
      <c r="E162" s="24">
        <v>150000</v>
      </c>
      <c r="F162" s="12">
        <f t="shared" si="3"/>
        <v>5400000</v>
      </c>
      <c r="G162" s="152" t="s">
        <v>1682</v>
      </c>
      <c r="J162" s="286">
        <f t="shared" si="4"/>
        <v>5400000</v>
      </c>
    </row>
    <row r="163" spans="1:10" x14ac:dyDescent="0.25">
      <c r="A163" s="2"/>
      <c r="B163" s="4" t="s">
        <v>149</v>
      </c>
      <c r="C163" s="6">
        <v>12</v>
      </c>
      <c r="D163" s="168" t="s">
        <v>150</v>
      </c>
      <c r="E163" s="24">
        <v>1000000</v>
      </c>
      <c r="F163" s="12">
        <f t="shared" si="3"/>
        <v>12000000</v>
      </c>
      <c r="G163" s="152" t="s">
        <v>1682</v>
      </c>
      <c r="J163" s="286">
        <f t="shared" si="4"/>
        <v>12000000</v>
      </c>
    </row>
    <row r="164" spans="1:10" ht="24.75" x14ac:dyDescent="0.25">
      <c r="A164" s="148"/>
      <c r="B164" s="4" t="s">
        <v>151</v>
      </c>
      <c r="C164" s="6">
        <v>6</v>
      </c>
      <c r="D164" s="168" t="s">
        <v>152</v>
      </c>
      <c r="E164" s="24">
        <v>152000</v>
      </c>
      <c r="F164" s="12">
        <f t="shared" si="3"/>
        <v>912000</v>
      </c>
      <c r="G164" s="152" t="s">
        <v>1682</v>
      </c>
      <c r="J164" s="286">
        <f t="shared" si="4"/>
        <v>912000</v>
      </c>
    </row>
    <row r="165" spans="1:10" x14ac:dyDescent="0.25">
      <c r="A165" s="148"/>
      <c r="B165" s="4"/>
      <c r="C165" s="6"/>
      <c r="D165" s="168"/>
      <c r="E165" s="24"/>
      <c r="F165" s="12"/>
      <c r="G165" s="152"/>
      <c r="J165" s="286">
        <f t="shared" si="4"/>
        <v>0</v>
      </c>
    </row>
    <row r="166" spans="1:10" ht="24.75" x14ac:dyDescent="0.25">
      <c r="A166" s="148" t="s">
        <v>153</v>
      </c>
      <c r="B166" s="4" t="s">
        <v>154</v>
      </c>
      <c r="C166" s="6"/>
      <c r="D166" s="168"/>
      <c r="E166" s="24"/>
      <c r="F166" s="12"/>
      <c r="G166" s="152"/>
      <c r="J166" s="286">
        <f t="shared" si="4"/>
        <v>0</v>
      </c>
    </row>
    <row r="167" spans="1:10" x14ac:dyDescent="0.25">
      <c r="A167" s="148"/>
      <c r="B167" s="4" t="s">
        <v>155</v>
      </c>
      <c r="C167" s="6">
        <v>8</v>
      </c>
      <c r="D167" s="168" t="s">
        <v>102</v>
      </c>
      <c r="E167" s="24">
        <v>100000</v>
      </c>
      <c r="F167" s="12">
        <f>E167*C167</f>
        <v>800000</v>
      </c>
      <c r="G167" s="152" t="s">
        <v>1682</v>
      </c>
      <c r="J167" s="286">
        <f t="shared" si="4"/>
        <v>800000</v>
      </c>
    </row>
    <row r="168" spans="1:10" x14ac:dyDescent="0.25">
      <c r="A168" s="2"/>
      <c r="B168" s="4" t="s">
        <v>156</v>
      </c>
      <c r="C168" s="6">
        <v>160</v>
      </c>
      <c r="D168" s="168" t="s">
        <v>157</v>
      </c>
      <c r="E168" s="24">
        <v>1500</v>
      </c>
      <c r="F168" s="12">
        <f t="shared" ref="F168:F236" si="5">E168*C168</f>
        <v>240000</v>
      </c>
      <c r="G168" s="152" t="s">
        <v>1682</v>
      </c>
      <c r="J168" s="286">
        <f t="shared" si="4"/>
        <v>240000</v>
      </c>
    </row>
    <row r="169" spans="1:10" x14ac:dyDescent="0.25">
      <c r="A169" s="2"/>
      <c r="B169" s="4" t="s">
        <v>158</v>
      </c>
      <c r="C169" s="6">
        <v>20</v>
      </c>
      <c r="D169" s="168" t="s">
        <v>159</v>
      </c>
      <c r="E169" s="24">
        <v>10000</v>
      </c>
      <c r="F169" s="12">
        <f t="shared" si="5"/>
        <v>200000</v>
      </c>
      <c r="G169" s="152" t="s">
        <v>1682</v>
      </c>
      <c r="J169" s="286">
        <f t="shared" si="4"/>
        <v>200000</v>
      </c>
    </row>
    <row r="170" spans="1:10" x14ac:dyDescent="0.25">
      <c r="A170" s="2"/>
      <c r="B170" s="4" t="s">
        <v>160</v>
      </c>
      <c r="C170" s="6">
        <v>2</v>
      </c>
      <c r="D170" s="168" t="s">
        <v>102</v>
      </c>
      <c r="E170" s="24">
        <v>100000</v>
      </c>
      <c r="F170" s="12">
        <f t="shared" si="5"/>
        <v>200000</v>
      </c>
      <c r="G170" s="152" t="s">
        <v>1682</v>
      </c>
      <c r="J170" s="286">
        <f t="shared" si="4"/>
        <v>200000</v>
      </c>
    </row>
    <row r="171" spans="1:10" x14ac:dyDescent="0.25">
      <c r="A171" s="2"/>
      <c r="B171" s="4" t="s">
        <v>161</v>
      </c>
      <c r="C171" s="6">
        <v>1</v>
      </c>
      <c r="D171" s="168" t="s">
        <v>102</v>
      </c>
      <c r="E171" s="24">
        <v>148600</v>
      </c>
      <c r="F171" s="12">
        <f>E171*C171</f>
        <v>148600</v>
      </c>
      <c r="G171" s="152" t="s">
        <v>1682</v>
      </c>
      <c r="J171" s="286">
        <f t="shared" si="4"/>
        <v>148600</v>
      </c>
    </row>
    <row r="172" spans="1:10" x14ac:dyDescent="0.25">
      <c r="A172" s="2"/>
      <c r="B172" s="4" t="s">
        <v>162</v>
      </c>
      <c r="C172" s="6">
        <v>7</v>
      </c>
      <c r="D172" s="168" t="s">
        <v>102</v>
      </c>
      <c r="E172" s="24">
        <v>100000</v>
      </c>
      <c r="F172" s="12">
        <f t="shared" si="5"/>
        <v>700000</v>
      </c>
      <c r="G172" s="152" t="s">
        <v>1682</v>
      </c>
      <c r="H172" s="175"/>
      <c r="J172" s="286">
        <f t="shared" si="4"/>
        <v>700000</v>
      </c>
    </row>
    <row r="173" spans="1:10" x14ac:dyDescent="0.25">
      <c r="A173" s="2"/>
      <c r="B173" s="4" t="s">
        <v>163</v>
      </c>
      <c r="C173" s="6">
        <v>8</v>
      </c>
      <c r="D173" s="168" t="s">
        <v>102</v>
      </c>
      <c r="E173" s="24">
        <v>100000</v>
      </c>
      <c r="F173" s="12">
        <f t="shared" si="5"/>
        <v>800000</v>
      </c>
      <c r="G173" s="152" t="s">
        <v>1682</v>
      </c>
      <c r="J173" s="286">
        <f t="shared" si="4"/>
        <v>800000</v>
      </c>
    </row>
    <row r="174" spans="1:10" x14ac:dyDescent="0.25">
      <c r="A174" s="2"/>
      <c r="B174" s="4" t="s">
        <v>164</v>
      </c>
      <c r="C174" s="6">
        <v>10</v>
      </c>
      <c r="D174" s="168" t="s">
        <v>102</v>
      </c>
      <c r="E174" s="24">
        <v>100000</v>
      </c>
      <c r="F174" s="12">
        <f t="shared" si="5"/>
        <v>1000000</v>
      </c>
      <c r="G174" s="152" t="s">
        <v>1682</v>
      </c>
      <c r="J174" s="286">
        <f t="shared" si="4"/>
        <v>1000000</v>
      </c>
    </row>
    <row r="175" spans="1:10" x14ac:dyDescent="0.25">
      <c r="A175" s="2"/>
      <c r="B175" s="4" t="s">
        <v>165</v>
      </c>
      <c r="C175" s="6">
        <v>2</v>
      </c>
      <c r="D175" s="168" t="s">
        <v>102</v>
      </c>
      <c r="E175" s="24">
        <v>100000</v>
      </c>
      <c r="F175" s="12">
        <f t="shared" si="5"/>
        <v>200000</v>
      </c>
      <c r="G175" s="152" t="s">
        <v>1682</v>
      </c>
      <c r="J175" s="286">
        <f t="shared" si="4"/>
        <v>200000</v>
      </c>
    </row>
    <row r="176" spans="1:10" x14ac:dyDescent="0.25">
      <c r="A176" s="2"/>
      <c r="B176" s="4" t="s">
        <v>166</v>
      </c>
      <c r="C176" s="6">
        <v>2</v>
      </c>
      <c r="D176" s="168" t="s">
        <v>102</v>
      </c>
      <c r="E176" s="24">
        <v>100000</v>
      </c>
      <c r="F176" s="12">
        <f t="shared" si="5"/>
        <v>200000</v>
      </c>
      <c r="G176" s="152" t="s">
        <v>1682</v>
      </c>
      <c r="J176" s="286">
        <f t="shared" si="4"/>
        <v>200000</v>
      </c>
    </row>
    <row r="177" spans="1:10" x14ac:dyDescent="0.25">
      <c r="A177" s="2"/>
      <c r="B177" s="4" t="s">
        <v>167</v>
      </c>
      <c r="C177" s="6">
        <v>2</v>
      </c>
      <c r="D177" s="168" t="s">
        <v>102</v>
      </c>
      <c r="E177" s="24">
        <v>100000</v>
      </c>
      <c r="F177" s="12">
        <f t="shared" si="5"/>
        <v>200000</v>
      </c>
      <c r="G177" s="152" t="s">
        <v>1682</v>
      </c>
      <c r="J177" s="286">
        <f t="shared" si="4"/>
        <v>200000</v>
      </c>
    </row>
    <row r="178" spans="1:10" x14ac:dyDescent="0.25">
      <c r="A178" s="2"/>
      <c r="B178" s="4" t="s">
        <v>168</v>
      </c>
      <c r="C178" s="6">
        <v>200</v>
      </c>
      <c r="D178" s="168" t="s">
        <v>95</v>
      </c>
      <c r="E178" s="24">
        <v>10000</v>
      </c>
      <c r="F178" s="12">
        <f t="shared" si="5"/>
        <v>2000000</v>
      </c>
      <c r="G178" s="152" t="s">
        <v>1682</v>
      </c>
      <c r="J178" s="286">
        <f t="shared" si="4"/>
        <v>2000000</v>
      </c>
    </row>
    <row r="179" spans="1:10" x14ac:dyDescent="0.25">
      <c r="A179" s="2"/>
      <c r="B179" s="4" t="s">
        <v>169</v>
      </c>
      <c r="C179" s="6">
        <v>1</v>
      </c>
      <c r="D179" s="168" t="s">
        <v>123</v>
      </c>
      <c r="E179" s="24">
        <v>600000</v>
      </c>
      <c r="F179" s="12">
        <f t="shared" si="5"/>
        <v>600000</v>
      </c>
      <c r="G179" s="152" t="s">
        <v>1682</v>
      </c>
      <c r="J179" s="286">
        <f t="shared" si="4"/>
        <v>600000</v>
      </c>
    </row>
    <row r="180" spans="1:10" ht="24.75" x14ac:dyDescent="0.25">
      <c r="A180" s="2"/>
      <c r="B180" s="4" t="s">
        <v>170</v>
      </c>
      <c r="C180" s="167">
        <v>10</v>
      </c>
      <c r="D180" s="168" t="s">
        <v>123</v>
      </c>
      <c r="E180" s="28">
        <v>500000</v>
      </c>
      <c r="F180" s="12">
        <f t="shared" si="5"/>
        <v>5000000</v>
      </c>
      <c r="G180" s="152" t="s">
        <v>1682</v>
      </c>
      <c r="J180" s="286">
        <f t="shared" si="4"/>
        <v>5000000</v>
      </c>
    </row>
    <row r="181" spans="1:10" x14ac:dyDescent="0.25">
      <c r="A181" s="2"/>
      <c r="B181" s="4"/>
      <c r="C181" s="6"/>
      <c r="D181" s="168"/>
      <c r="E181" s="24"/>
      <c r="F181" s="12"/>
      <c r="G181" s="152"/>
      <c r="J181" s="286">
        <f t="shared" si="4"/>
        <v>0</v>
      </c>
    </row>
    <row r="182" spans="1:10" ht="24.75" x14ac:dyDescent="0.25">
      <c r="A182" s="148" t="s">
        <v>171</v>
      </c>
      <c r="B182" s="271" t="s">
        <v>172</v>
      </c>
      <c r="C182" s="6"/>
      <c r="D182" s="168"/>
      <c r="E182" s="24"/>
      <c r="F182" s="12"/>
      <c r="G182" s="152"/>
      <c r="J182" s="286">
        <f t="shared" si="4"/>
        <v>0</v>
      </c>
    </row>
    <row r="183" spans="1:10" x14ac:dyDescent="0.25">
      <c r="A183" s="148"/>
      <c r="B183" s="271" t="s">
        <v>173</v>
      </c>
      <c r="C183" s="6">
        <v>12</v>
      </c>
      <c r="D183" s="168" t="s">
        <v>174</v>
      </c>
      <c r="E183" s="24">
        <v>35000</v>
      </c>
      <c r="F183" s="12">
        <f>E183*C183</f>
        <v>420000</v>
      </c>
      <c r="G183" s="152" t="s">
        <v>1682</v>
      </c>
      <c r="J183" s="286">
        <f t="shared" ref="J183:J251" si="6">F183</f>
        <v>420000</v>
      </c>
    </row>
    <row r="184" spans="1:10" x14ac:dyDescent="0.25">
      <c r="A184" s="148"/>
      <c r="B184" s="271" t="s">
        <v>481</v>
      </c>
      <c r="C184" s="6">
        <v>5</v>
      </c>
      <c r="D184" s="168" t="s">
        <v>174</v>
      </c>
      <c r="E184" s="24">
        <v>85000</v>
      </c>
      <c r="F184" s="12">
        <f>E184*C184</f>
        <v>425000</v>
      </c>
      <c r="G184" s="152" t="s">
        <v>1682</v>
      </c>
      <c r="J184" s="286">
        <f t="shared" si="6"/>
        <v>425000</v>
      </c>
    </row>
    <row r="185" spans="1:10" x14ac:dyDescent="0.25">
      <c r="A185" s="148"/>
      <c r="B185" s="4" t="s">
        <v>175</v>
      </c>
      <c r="C185" s="6">
        <v>534</v>
      </c>
      <c r="D185" s="168" t="s">
        <v>176</v>
      </c>
      <c r="E185" s="24">
        <v>6000</v>
      </c>
      <c r="F185" s="12">
        <f t="shared" si="5"/>
        <v>3204000</v>
      </c>
      <c r="G185" s="152" t="s">
        <v>1682</v>
      </c>
      <c r="J185" s="286">
        <f t="shared" si="6"/>
        <v>3204000</v>
      </c>
    </row>
    <row r="186" spans="1:10" x14ac:dyDescent="0.25">
      <c r="A186" s="148"/>
      <c r="B186" s="4" t="s">
        <v>177</v>
      </c>
      <c r="C186" s="6">
        <v>96</v>
      </c>
      <c r="D186" s="168" t="s">
        <v>178</v>
      </c>
      <c r="E186" s="24">
        <v>20000</v>
      </c>
      <c r="F186" s="12">
        <f t="shared" si="5"/>
        <v>1920000</v>
      </c>
      <c r="G186" s="152" t="s">
        <v>1682</v>
      </c>
      <c r="J186" s="286">
        <f t="shared" si="6"/>
        <v>1920000</v>
      </c>
    </row>
    <row r="187" spans="1:10" x14ac:dyDescent="0.25">
      <c r="A187" s="148"/>
      <c r="B187" s="4" t="s">
        <v>179</v>
      </c>
      <c r="C187" s="6">
        <v>48</v>
      </c>
      <c r="D187" s="168" t="s">
        <v>180</v>
      </c>
      <c r="E187" s="24">
        <v>22000</v>
      </c>
      <c r="F187" s="12">
        <f t="shared" si="5"/>
        <v>1056000</v>
      </c>
      <c r="G187" s="152" t="s">
        <v>1682</v>
      </c>
      <c r="J187" s="286">
        <f t="shared" si="6"/>
        <v>1056000</v>
      </c>
    </row>
    <row r="188" spans="1:10" x14ac:dyDescent="0.25">
      <c r="A188" s="148"/>
      <c r="B188" s="4" t="s">
        <v>181</v>
      </c>
      <c r="C188" s="6">
        <v>200</v>
      </c>
      <c r="D188" s="168" t="s">
        <v>182</v>
      </c>
      <c r="E188" s="24">
        <v>15000</v>
      </c>
      <c r="F188" s="12">
        <f t="shared" si="5"/>
        <v>3000000</v>
      </c>
      <c r="G188" s="152" t="s">
        <v>1682</v>
      </c>
      <c r="J188" s="286">
        <f t="shared" si="6"/>
        <v>3000000</v>
      </c>
    </row>
    <row r="189" spans="1:10" x14ac:dyDescent="0.25">
      <c r="A189" s="148"/>
      <c r="B189" s="4"/>
      <c r="C189" s="6"/>
      <c r="D189" s="168"/>
      <c r="E189" s="24"/>
      <c r="F189" s="12"/>
      <c r="G189" s="152"/>
      <c r="J189" s="286">
        <f t="shared" si="6"/>
        <v>0</v>
      </c>
    </row>
    <row r="190" spans="1:10" x14ac:dyDescent="0.25">
      <c r="A190" s="148" t="s">
        <v>183</v>
      </c>
      <c r="B190" s="4" t="s">
        <v>184</v>
      </c>
      <c r="C190" s="6"/>
      <c r="D190" s="168"/>
      <c r="E190" s="24"/>
      <c r="F190" s="12"/>
      <c r="G190" s="152"/>
      <c r="J190" s="286">
        <f t="shared" si="6"/>
        <v>0</v>
      </c>
    </row>
    <row r="191" spans="1:10" x14ac:dyDescent="0.25">
      <c r="A191" s="148"/>
      <c r="B191" s="159" t="s">
        <v>185</v>
      </c>
      <c r="C191" s="6">
        <v>6000</v>
      </c>
      <c r="D191" s="173" t="s">
        <v>186</v>
      </c>
      <c r="E191" s="24">
        <v>1000</v>
      </c>
      <c r="F191" s="12">
        <f t="shared" si="5"/>
        <v>6000000</v>
      </c>
      <c r="G191" s="152" t="s">
        <v>1682</v>
      </c>
      <c r="J191" s="286">
        <f t="shared" si="6"/>
        <v>6000000</v>
      </c>
    </row>
    <row r="192" spans="1:10" x14ac:dyDescent="0.25">
      <c r="A192" s="148"/>
      <c r="B192" s="4" t="s">
        <v>187</v>
      </c>
      <c r="C192" s="6">
        <v>12</v>
      </c>
      <c r="D192" s="168" t="s">
        <v>123</v>
      </c>
      <c r="E192" s="24">
        <v>35000</v>
      </c>
      <c r="F192" s="12">
        <f t="shared" si="5"/>
        <v>420000</v>
      </c>
      <c r="G192" s="152" t="s">
        <v>1682</v>
      </c>
      <c r="J192" s="286">
        <f t="shared" si="6"/>
        <v>420000</v>
      </c>
    </row>
    <row r="193" spans="1:10" x14ac:dyDescent="0.25">
      <c r="A193" s="148"/>
      <c r="B193" s="4"/>
      <c r="C193" s="6"/>
      <c r="D193" s="168"/>
      <c r="E193" s="24"/>
      <c r="F193" s="12"/>
      <c r="G193" s="152"/>
      <c r="J193" s="286">
        <f t="shared" si="6"/>
        <v>0</v>
      </c>
    </row>
    <row r="194" spans="1:10" x14ac:dyDescent="0.25">
      <c r="A194" s="148" t="s">
        <v>188</v>
      </c>
      <c r="B194" s="4" t="s">
        <v>189</v>
      </c>
      <c r="C194" s="6"/>
      <c r="D194" s="168"/>
      <c r="E194" s="188"/>
      <c r="F194" s="12"/>
      <c r="G194" s="152"/>
      <c r="J194" s="286">
        <f t="shared" si="6"/>
        <v>0</v>
      </c>
    </row>
    <row r="195" spans="1:10" ht="24.75" x14ac:dyDescent="0.25">
      <c r="A195" s="2"/>
      <c r="B195" s="4" t="s">
        <v>190</v>
      </c>
      <c r="C195" s="6">
        <v>15</v>
      </c>
      <c r="D195" s="168" t="s">
        <v>95</v>
      </c>
      <c r="E195" s="24">
        <v>150000</v>
      </c>
      <c r="F195" s="12">
        <f t="shared" si="5"/>
        <v>2250000</v>
      </c>
      <c r="G195" s="152" t="s">
        <v>1682</v>
      </c>
      <c r="J195" s="286">
        <f t="shared" si="6"/>
        <v>2250000</v>
      </c>
    </row>
    <row r="196" spans="1:10" x14ac:dyDescent="0.25">
      <c r="A196" s="2"/>
      <c r="B196" s="4" t="s">
        <v>191</v>
      </c>
      <c r="C196" s="6">
        <v>5</v>
      </c>
      <c r="D196" s="168" t="s">
        <v>95</v>
      </c>
      <c r="E196" s="24">
        <v>200000</v>
      </c>
      <c r="F196" s="12">
        <f>E196*C196</f>
        <v>1000000</v>
      </c>
      <c r="G196" s="152" t="s">
        <v>1682</v>
      </c>
      <c r="J196" s="286">
        <f t="shared" si="6"/>
        <v>1000000</v>
      </c>
    </row>
    <row r="197" spans="1:10" x14ac:dyDescent="0.25">
      <c r="A197" s="2"/>
      <c r="B197" s="4" t="s">
        <v>192</v>
      </c>
      <c r="C197" s="6">
        <v>5</v>
      </c>
      <c r="D197" s="168" t="s">
        <v>157</v>
      </c>
      <c r="E197" s="24">
        <v>100000</v>
      </c>
      <c r="F197" s="12">
        <f t="shared" si="5"/>
        <v>500000</v>
      </c>
      <c r="G197" s="152" t="s">
        <v>1682</v>
      </c>
      <c r="J197" s="286">
        <f t="shared" si="6"/>
        <v>500000</v>
      </c>
    </row>
    <row r="198" spans="1:10" x14ac:dyDescent="0.25">
      <c r="A198" s="2"/>
      <c r="B198" s="4" t="s">
        <v>193</v>
      </c>
      <c r="C198" s="6">
        <v>5</v>
      </c>
      <c r="D198" s="168" t="s">
        <v>194</v>
      </c>
      <c r="E198" s="24">
        <v>140000</v>
      </c>
      <c r="F198" s="12">
        <f t="shared" si="5"/>
        <v>700000</v>
      </c>
      <c r="G198" s="152" t="s">
        <v>1682</v>
      </c>
      <c r="J198" s="286">
        <f t="shared" si="6"/>
        <v>700000</v>
      </c>
    </row>
    <row r="199" spans="1:10" x14ac:dyDescent="0.25">
      <c r="A199" s="2"/>
      <c r="B199" s="4" t="s">
        <v>195</v>
      </c>
      <c r="C199" s="6">
        <v>3</v>
      </c>
      <c r="D199" s="168" t="s">
        <v>152</v>
      </c>
      <c r="E199" s="24">
        <v>1000000</v>
      </c>
      <c r="F199" s="12">
        <f t="shared" si="5"/>
        <v>3000000</v>
      </c>
      <c r="G199" s="152" t="s">
        <v>1682</v>
      </c>
      <c r="J199" s="286">
        <f t="shared" si="6"/>
        <v>3000000</v>
      </c>
    </row>
    <row r="200" spans="1:10" ht="24.75" x14ac:dyDescent="0.25">
      <c r="A200" s="148"/>
      <c r="B200" s="4" t="s">
        <v>196</v>
      </c>
      <c r="C200" s="6">
        <v>1</v>
      </c>
      <c r="D200" s="168" t="s">
        <v>159</v>
      </c>
      <c r="E200" s="24">
        <v>450000</v>
      </c>
      <c r="F200" s="12">
        <f t="shared" si="5"/>
        <v>450000</v>
      </c>
      <c r="G200" s="152" t="s">
        <v>1682</v>
      </c>
      <c r="J200" s="286">
        <f t="shared" si="6"/>
        <v>450000</v>
      </c>
    </row>
    <row r="201" spans="1:10" x14ac:dyDescent="0.25">
      <c r="A201" s="148"/>
      <c r="B201" s="4"/>
      <c r="C201" s="6"/>
      <c r="D201" s="168"/>
      <c r="E201" s="24"/>
      <c r="F201" s="12"/>
      <c r="G201" s="152"/>
      <c r="J201" s="286">
        <f t="shared" si="6"/>
        <v>0</v>
      </c>
    </row>
    <row r="202" spans="1:10" x14ac:dyDescent="0.25">
      <c r="A202" s="148" t="s">
        <v>197</v>
      </c>
      <c r="B202" s="4" t="s">
        <v>198</v>
      </c>
      <c r="C202" s="6"/>
      <c r="D202" s="168"/>
      <c r="E202" s="188"/>
      <c r="F202" s="12"/>
      <c r="G202" s="152"/>
      <c r="J202" s="286">
        <f t="shared" si="6"/>
        <v>0</v>
      </c>
    </row>
    <row r="203" spans="1:10" x14ac:dyDescent="0.25">
      <c r="A203" s="2"/>
      <c r="B203" s="4" t="s">
        <v>199</v>
      </c>
      <c r="C203" s="6">
        <v>29</v>
      </c>
      <c r="D203" s="168" t="s">
        <v>200</v>
      </c>
      <c r="E203" s="24">
        <v>740000</v>
      </c>
      <c r="F203" s="12">
        <f t="shared" si="5"/>
        <v>21460000</v>
      </c>
      <c r="G203" s="152" t="s">
        <v>1682</v>
      </c>
      <c r="J203" s="286">
        <f t="shared" si="6"/>
        <v>21460000</v>
      </c>
    </row>
    <row r="204" spans="1:10" x14ac:dyDescent="0.25">
      <c r="A204" s="2"/>
      <c r="B204" s="4"/>
      <c r="C204" s="6"/>
      <c r="D204" s="168"/>
      <c r="E204" s="24"/>
      <c r="F204" s="12"/>
      <c r="G204" s="152"/>
      <c r="J204" s="286">
        <f t="shared" si="6"/>
        <v>0</v>
      </c>
    </row>
    <row r="205" spans="1:10" x14ac:dyDescent="0.25">
      <c r="A205" s="148" t="s">
        <v>201</v>
      </c>
      <c r="B205" s="4" t="s">
        <v>202</v>
      </c>
      <c r="C205" s="6"/>
      <c r="D205" s="168"/>
      <c r="E205" s="24"/>
      <c r="F205" s="12"/>
      <c r="G205" s="152"/>
      <c r="J205" s="286">
        <f t="shared" si="6"/>
        <v>0</v>
      </c>
    </row>
    <row r="206" spans="1:10" x14ac:dyDescent="0.25">
      <c r="A206" s="148"/>
      <c r="B206" s="4" t="s">
        <v>203</v>
      </c>
      <c r="C206" s="6">
        <v>1</v>
      </c>
      <c r="D206" s="168" t="s">
        <v>204</v>
      </c>
      <c r="E206" s="24">
        <v>500000</v>
      </c>
      <c r="F206" s="12">
        <f t="shared" si="5"/>
        <v>500000</v>
      </c>
      <c r="G206" s="152" t="s">
        <v>1682</v>
      </c>
      <c r="J206" s="286">
        <f t="shared" si="6"/>
        <v>500000</v>
      </c>
    </row>
    <row r="207" spans="1:10" x14ac:dyDescent="0.25">
      <c r="A207" s="148"/>
      <c r="B207" s="4"/>
      <c r="C207" s="6"/>
      <c r="D207" s="168"/>
      <c r="E207" s="24"/>
      <c r="F207" s="12"/>
      <c r="G207" s="152"/>
      <c r="J207" s="286">
        <f t="shared" si="6"/>
        <v>0</v>
      </c>
    </row>
    <row r="208" spans="1:10" x14ac:dyDescent="0.25">
      <c r="A208" s="148" t="s">
        <v>205</v>
      </c>
      <c r="B208" s="4" t="s">
        <v>206</v>
      </c>
      <c r="C208" s="6"/>
      <c r="D208" s="168"/>
      <c r="E208" s="24"/>
      <c r="F208" s="12"/>
      <c r="G208" s="152"/>
      <c r="J208" s="286">
        <f t="shared" si="6"/>
        <v>0</v>
      </c>
    </row>
    <row r="209" spans="1:10" ht="24.75" x14ac:dyDescent="0.25">
      <c r="A209" s="160" t="s">
        <v>207</v>
      </c>
      <c r="B209" s="4" t="s">
        <v>208</v>
      </c>
      <c r="C209" s="6"/>
      <c r="D209" s="168"/>
      <c r="E209" s="24"/>
      <c r="F209" s="12"/>
      <c r="G209" s="152"/>
      <c r="J209" s="286">
        <f t="shared" si="6"/>
        <v>0</v>
      </c>
    </row>
    <row r="210" spans="1:10" x14ac:dyDescent="0.25">
      <c r="A210" s="148"/>
      <c r="B210" s="4" t="s">
        <v>209</v>
      </c>
      <c r="C210" s="6">
        <v>12</v>
      </c>
      <c r="D210" s="168" t="s">
        <v>210</v>
      </c>
      <c r="E210" s="24">
        <v>800000</v>
      </c>
      <c r="F210" s="12">
        <f t="shared" si="5"/>
        <v>9600000</v>
      </c>
      <c r="G210" s="152" t="s">
        <v>1682</v>
      </c>
      <c r="J210" s="286">
        <f t="shared" si="6"/>
        <v>9600000</v>
      </c>
    </row>
    <row r="211" spans="1:10" x14ac:dyDescent="0.25">
      <c r="A211" s="148"/>
      <c r="B211" s="4" t="s">
        <v>211</v>
      </c>
      <c r="C211" s="6">
        <v>12</v>
      </c>
      <c r="D211" s="168" t="s">
        <v>210</v>
      </c>
      <c r="E211" s="24">
        <v>700000</v>
      </c>
      <c r="F211" s="12">
        <f t="shared" si="5"/>
        <v>8400000</v>
      </c>
      <c r="G211" s="152" t="s">
        <v>1682</v>
      </c>
      <c r="J211" s="286">
        <f t="shared" si="6"/>
        <v>8400000</v>
      </c>
    </row>
    <row r="212" spans="1:10" x14ac:dyDescent="0.25">
      <c r="A212" s="148"/>
      <c r="B212" s="4" t="s">
        <v>212</v>
      </c>
      <c r="C212" s="6">
        <f>12*6</f>
        <v>72</v>
      </c>
      <c r="D212" s="168" t="s">
        <v>210</v>
      </c>
      <c r="E212" s="24">
        <v>650000</v>
      </c>
      <c r="F212" s="12">
        <f t="shared" si="5"/>
        <v>46800000</v>
      </c>
      <c r="G212" s="152" t="s">
        <v>1682</v>
      </c>
      <c r="J212" s="286">
        <f t="shared" si="6"/>
        <v>46800000</v>
      </c>
    </row>
    <row r="213" spans="1:10" x14ac:dyDescent="0.25">
      <c r="A213" s="148"/>
      <c r="B213" s="4" t="s">
        <v>213</v>
      </c>
      <c r="C213" s="6"/>
      <c r="D213" s="168"/>
      <c r="E213" s="24"/>
      <c r="F213" s="12"/>
      <c r="G213" s="152"/>
      <c r="J213" s="286">
        <f t="shared" si="6"/>
        <v>0</v>
      </c>
    </row>
    <row r="214" spans="1:10" x14ac:dyDescent="0.25">
      <c r="A214" s="148"/>
      <c r="B214" s="4" t="s">
        <v>214</v>
      </c>
      <c r="C214" s="6">
        <v>1</v>
      </c>
      <c r="D214" s="168" t="s">
        <v>22</v>
      </c>
      <c r="E214" s="24">
        <v>300000</v>
      </c>
      <c r="F214" s="12">
        <f>E214*C214</f>
        <v>300000</v>
      </c>
      <c r="G214" s="152" t="s">
        <v>1682</v>
      </c>
      <c r="J214" s="286">
        <f t="shared" si="6"/>
        <v>300000</v>
      </c>
    </row>
    <row r="215" spans="1:10" x14ac:dyDescent="0.25">
      <c r="A215" s="148"/>
      <c r="B215" s="4" t="s">
        <v>215</v>
      </c>
      <c r="C215" s="6">
        <v>1</v>
      </c>
      <c r="D215" s="168" t="s">
        <v>22</v>
      </c>
      <c r="E215" s="24">
        <v>250000</v>
      </c>
      <c r="F215" s="12">
        <f>E215*C215</f>
        <v>250000</v>
      </c>
      <c r="G215" s="152" t="s">
        <v>1682</v>
      </c>
      <c r="J215" s="286">
        <f t="shared" si="6"/>
        <v>250000</v>
      </c>
    </row>
    <row r="216" spans="1:10" x14ac:dyDescent="0.25">
      <c r="A216" s="148"/>
      <c r="B216" s="4" t="s">
        <v>216</v>
      </c>
      <c r="C216" s="6">
        <v>3</v>
      </c>
      <c r="D216" s="168" t="s">
        <v>22</v>
      </c>
      <c r="E216" s="24">
        <v>200000</v>
      </c>
      <c r="F216" s="12">
        <f>E216*C216</f>
        <v>600000</v>
      </c>
      <c r="G216" s="152" t="s">
        <v>1682</v>
      </c>
      <c r="J216" s="286">
        <f t="shared" si="6"/>
        <v>600000</v>
      </c>
    </row>
    <row r="217" spans="1:10" x14ac:dyDescent="0.25">
      <c r="A217" s="148"/>
      <c r="B217" s="4"/>
      <c r="C217" s="6"/>
      <c r="D217" s="168"/>
      <c r="E217" s="24"/>
      <c r="F217" s="12"/>
      <c r="G217" s="152"/>
      <c r="J217" s="286">
        <f t="shared" si="6"/>
        <v>0</v>
      </c>
    </row>
    <row r="218" spans="1:10" x14ac:dyDescent="0.25">
      <c r="A218" s="148" t="s">
        <v>217</v>
      </c>
      <c r="B218" s="4" t="s">
        <v>218</v>
      </c>
      <c r="C218" s="6"/>
      <c r="D218" s="168"/>
      <c r="E218" s="24"/>
      <c r="F218" s="12"/>
      <c r="G218" s="152"/>
      <c r="J218" s="286">
        <f t="shared" si="6"/>
        <v>0</v>
      </c>
    </row>
    <row r="219" spans="1:10" x14ac:dyDescent="0.25">
      <c r="A219" s="2" t="s">
        <v>219</v>
      </c>
      <c r="B219" s="4" t="s">
        <v>220</v>
      </c>
      <c r="C219" s="6">
        <v>1</v>
      </c>
      <c r="D219" s="168" t="s">
        <v>221</v>
      </c>
      <c r="E219" s="24">
        <v>50000000</v>
      </c>
      <c r="F219" s="12">
        <f t="shared" si="5"/>
        <v>50000000</v>
      </c>
      <c r="G219" s="152" t="s">
        <v>1682</v>
      </c>
      <c r="J219" s="286">
        <f t="shared" si="6"/>
        <v>50000000</v>
      </c>
    </row>
    <row r="220" spans="1:10" x14ac:dyDescent="0.25">
      <c r="A220" s="148"/>
      <c r="B220" s="4"/>
      <c r="C220" s="6"/>
      <c r="D220" s="168"/>
      <c r="E220" s="24"/>
      <c r="F220" s="12"/>
      <c r="G220" s="152"/>
      <c r="J220" s="286">
        <f t="shared" si="6"/>
        <v>0</v>
      </c>
    </row>
    <row r="221" spans="1:10" x14ac:dyDescent="0.25">
      <c r="A221" s="148" t="s">
        <v>222</v>
      </c>
      <c r="B221" s="4" t="s">
        <v>223</v>
      </c>
      <c r="C221" s="6"/>
      <c r="D221" s="168"/>
      <c r="E221" s="24"/>
      <c r="F221" s="12"/>
      <c r="G221" s="152"/>
      <c r="H221">
        <f>3*7</f>
        <v>21</v>
      </c>
      <c r="J221" s="286">
        <f t="shared" si="6"/>
        <v>0</v>
      </c>
    </row>
    <row r="222" spans="1:10" x14ac:dyDescent="0.25">
      <c r="A222" s="1787" t="s">
        <v>224</v>
      </c>
      <c r="B222" s="1709" t="s">
        <v>225</v>
      </c>
      <c r="C222" s="1619">
        <v>12</v>
      </c>
      <c r="D222" s="1771" t="s">
        <v>210</v>
      </c>
      <c r="E222" s="1786">
        <v>3050000</v>
      </c>
      <c r="F222" s="1620">
        <f t="shared" si="5"/>
        <v>36600000</v>
      </c>
      <c r="G222" s="1648" t="s">
        <v>1682</v>
      </c>
      <c r="J222" s="286">
        <f t="shared" si="6"/>
        <v>36600000</v>
      </c>
    </row>
    <row r="223" spans="1:10" x14ac:dyDescent="0.25">
      <c r="A223" s="148"/>
      <c r="B223" s="4" t="s">
        <v>226</v>
      </c>
      <c r="C223" s="6">
        <v>1</v>
      </c>
      <c r="D223" s="168" t="s">
        <v>152</v>
      </c>
      <c r="E223" s="24">
        <v>5540000</v>
      </c>
      <c r="F223" s="12">
        <f t="shared" si="5"/>
        <v>5540000</v>
      </c>
      <c r="G223" s="152" t="s">
        <v>1682</v>
      </c>
      <c r="J223" s="286">
        <f t="shared" si="6"/>
        <v>5540000</v>
      </c>
    </row>
    <row r="224" spans="1:10" ht="24.75" x14ac:dyDescent="0.25">
      <c r="A224" s="148" t="s">
        <v>227</v>
      </c>
      <c r="B224" s="4" t="s">
        <v>228</v>
      </c>
      <c r="C224" s="6">
        <v>12</v>
      </c>
      <c r="D224" s="168" t="s">
        <v>210</v>
      </c>
      <c r="E224" s="24">
        <v>120000</v>
      </c>
      <c r="F224" s="12">
        <f t="shared" si="5"/>
        <v>1440000</v>
      </c>
      <c r="G224" s="152" t="s">
        <v>1682</v>
      </c>
      <c r="J224" s="286">
        <f t="shared" si="6"/>
        <v>1440000</v>
      </c>
    </row>
    <row r="225" spans="1:24" x14ac:dyDescent="0.25">
      <c r="A225" s="148" t="s">
        <v>229</v>
      </c>
      <c r="B225" s="4" t="s">
        <v>230</v>
      </c>
      <c r="C225" s="6">
        <v>12</v>
      </c>
      <c r="D225" s="168" t="s">
        <v>210</v>
      </c>
      <c r="E225" s="24">
        <v>400000</v>
      </c>
      <c r="F225" s="12">
        <f t="shared" si="5"/>
        <v>4800000</v>
      </c>
      <c r="G225" s="152" t="s">
        <v>1682</v>
      </c>
      <c r="J225" s="286">
        <f t="shared" si="6"/>
        <v>4800000</v>
      </c>
    </row>
    <row r="226" spans="1:24" x14ac:dyDescent="0.25">
      <c r="A226" s="148" t="s">
        <v>231</v>
      </c>
      <c r="B226" s="4" t="s">
        <v>232</v>
      </c>
      <c r="C226" s="6">
        <v>12</v>
      </c>
      <c r="D226" s="168" t="s">
        <v>210</v>
      </c>
      <c r="E226" s="24">
        <v>1300000</v>
      </c>
      <c r="F226" s="12">
        <f t="shared" si="5"/>
        <v>15600000</v>
      </c>
      <c r="G226" s="152" t="s">
        <v>1682</v>
      </c>
      <c r="J226" s="286">
        <f t="shared" si="6"/>
        <v>15600000</v>
      </c>
    </row>
    <row r="227" spans="1:24" x14ac:dyDescent="0.25">
      <c r="A227" s="148" t="s">
        <v>233</v>
      </c>
      <c r="B227" s="4" t="s">
        <v>234</v>
      </c>
      <c r="C227" s="6"/>
      <c r="D227" s="168"/>
      <c r="E227" s="24"/>
      <c r="F227" s="12"/>
      <c r="G227" s="152"/>
      <c r="J227" s="286">
        <f t="shared" si="6"/>
        <v>0</v>
      </c>
    </row>
    <row r="228" spans="1:24" x14ac:dyDescent="0.25">
      <c r="A228" s="2"/>
      <c r="B228" s="4" t="s">
        <v>235</v>
      </c>
      <c r="C228" s="6">
        <v>1</v>
      </c>
      <c r="D228" s="25" t="s">
        <v>152</v>
      </c>
      <c r="E228" s="24">
        <v>250000</v>
      </c>
      <c r="F228" s="12">
        <f t="shared" si="5"/>
        <v>250000</v>
      </c>
      <c r="G228" s="152" t="s">
        <v>1682</v>
      </c>
      <c r="J228" s="286">
        <f t="shared" si="6"/>
        <v>250000</v>
      </c>
    </row>
    <row r="229" spans="1:24" x14ac:dyDescent="0.25">
      <c r="A229" s="2"/>
      <c r="B229" s="4" t="s">
        <v>236</v>
      </c>
      <c r="C229" s="6">
        <v>1</v>
      </c>
      <c r="D229" s="25" t="s">
        <v>152</v>
      </c>
      <c r="E229" s="24">
        <v>250000</v>
      </c>
      <c r="F229" s="12">
        <f t="shared" si="5"/>
        <v>250000</v>
      </c>
      <c r="G229" s="152" t="s">
        <v>1682</v>
      </c>
      <c r="J229" s="286">
        <f t="shared" si="6"/>
        <v>250000</v>
      </c>
    </row>
    <row r="230" spans="1:24" x14ac:dyDescent="0.25">
      <c r="A230" s="2"/>
      <c r="B230" s="4" t="s">
        <v>237</v>
      </c>
      <c r="C230" s="6">
        <v>1</v>
      </c>
      <c r="D230" s="25" t="s">
        <v>152</v>
      </c>
      <c r="E230" s="24">
        <v>250000</v>
      </c>
      <c r="F230" s="12">
        <f t="shared" si="5"/>
        <v>250000</v>
      </c>
      <c r="G230" s="152" t="s">
        <v>1682</v>
      </c>
      <c r="J230" s="286">
        <f t="shared" si="6"/>
        <v>250000</v>
      </c>
    </row>
    <row r="231" spans="1:24" x14ac:dyDescent="0.25">
      <c r="A231" s="2"/>
      <c r="B231" s="4" t="s">
        <v>238</v>
      </c>
      <c r="C231" s="6">
        <v>1</v>
      </c>
      <c r="D231" s="25" t="s">
        <v>152</v>
      </c>
      <c r="E231" s="24">
        <v>2500000</v>
      </c>
      <c r="F231" s="12">
        <f t="shared" si="5"/>
        <v>2500000</v>
      </c>
      <c r="G231" s="152" t="s">
        <v>1682</v>
      </c>
      <c r="J231" s="286">
        <f t="shared" si="6"/>
        <v>2500000</v>
      </c>
    </row>
    <row r="232" spans="1:24" x14ac:dyDescent="0.25">
      <c r="A232" s="269"/>
      <c r="B232" s="4" t="s">
        <v>239</v>
      </c>
      <c r="C232" s="6">
        <v>2</v>
      </c>
      <c r="D232" s="25" t="s">
        <v>152</v>
      </c>
      <c r="E232" s="24">
        <v>350000</v>
      </c>
      <c r="F232" s="12">
        <f t="shared" si="5"/>
        <v>700000</v>
      </c>
      <c r="G232" s="152" t="s">
        <v>1682</v>
      </c>
      <c r="J232" s="286">
        <f t="shared" si="6"/>
        <v>700000</v>
      </c>
      <c r="X232" s="286"/>
    </row>
    <row r="233" spans="1:24" x14ac:dyDescent="0.25">
      <c r="A233" s="269"/>
      <c r="B233" s="4" t="s">
        <v>240</v>
      </c>
      <c r="C233" s="6">
        <v>1</v>
      </c>
      <c r="D233" s="25" t="s">
        <v>152</v>
      </c>
      <c r="E233" s="24">
        <v>3500000</v>
      </c>
      <c r="F233" s="12">
        <f t="shared" si="5"/>
        <v>3500000</v>
      </c>
      <c r="G233" s="152" t="s">
        <v>1682</v>
      </c>
      <c r="J233" s="286">
        <f t="shared" si="6"/>
        <v>3500000</v>
      </c>
    </row>
    <row r="234" spans="1:24" ht="24.75" x14ac:dyDescent="0.25">
      <c r="A234" s="160"/>
      <c r="B234" s="4" t="s">
        <v>2790</v>
      </c>
      <c r="C234" s="6">
        <v>3</v>
      </c>
      <c r="D234" s="25" t="s">
        <v>259</v>
      </c>
      <c r="E234" s="24">
        <v>100000</v>
      </c>
      <c r="F234" s="12">
        <f t="shared" si="5"/>
        <v>300000</v>
      </c>
      <c r="G234" s="272" t="s">
        <v>2914</v>
      </c>
      <c r="J234" s="286"/>
      <c r="X234" s="286">
        <f>F234</f>
        <v>300000</v>
      </c>
    </row>
    <row r="235" spans="1:24" x14ac:dyDescent="0.25">
      <c r="A235" s="148"/>
      <c r="B235" s="4" t="s">
        <v>241</v>
      </c>
      <c r="C235" s="6">
        <v>1</v>
      </c>
      <c r="D235" s="25" t="s">
        <v>152</v>
      </c>
      <c r="E235" s="24">
        <v>50000000</v>
      </c>
      <c r="F235" s="12">
        <f t="shared" si="5"/>
        <v>50000000</v>
      </c>
      <c r="G235" s="152" t="s">
        <v>1682</v>
      </c>
      <c r="J235" s="286">
        <f t="shared" si="6"/>
        <v>50000000</v>
      </c>
    </row>
    <row r="236" spans="1:24" ht="24.75" x14ac:dyDescent="0.25">
      <c r="A236" s="148"/>
      <c r="B236" s="4" t="s">
        <v>2960</v>
      </c>
      <c r="C236" s="6">
        <v>12</v>
      </c>
      <c r="D236" s="25" t="s">
        <v>148</v>
      </c>
      <c r="E236" s="24">
        <v>0</v>
      </c>
      <c r="F236" s="12">
        <f t="shared" si="5"/>
        <v>0</v>
      </c>
      <c r="G236" s="272" t="s">
        <v>2623</v>
      </c>
      <c r="J236" s="286"/>
      <c r="O236" s="286">
        <f>F236</f>
        <v>0</v>
      </c>
    </row>
    <row r="237" spans="1:24" x14ac:dyDescent="0.25">
      <c r="A237" s="148" t="s">
        <v>2957</v>
      </c>
      <c r="B237" s="4" t="s">
        <v>2958</v>
      </c>
      <c r="C237" s="6"/>
      <c r="D237" s="25"/>
      <c r="E237" s="24"/>
      <c r="F237" s="12"/>
      <c r="G237" s="152"/>
      <c r="J237" s="286"/>
    </row>
    <row r="238" spans="1:24" ht="24.75" x14ac:dyDescent="0.25">
      <c r="A238" s="148"/>
      <c r="B238" s="4" t="s">
        <v>2959</v>
      </c>
      <c r="C238" s="6">
        <v>12</v>
      </c>
      <c r="D238" s="25" t="s">
        <v>148</v>
      </c>
      <c r="E238" s="24">
        <v>9000</v>
      </c>
      <c r="F238" s="12">
        <f>E238*C238</f>
        <v>108000</v>
      </c>
      <c r="G238" s="272" t="s">
        <v>2623</v>
      </c>
      <c r="J238" s="286"/>
      <c r="O238" s="286">
        <f>F238</f>
        <v>108000</v>
      </c>
    </row>
    <row r="239" spans="1:24" x14ac:dyDescent="0.25">
      <c r="A239" s="148" t="s">
        <v>242</v>
      </c>
      <c r="B239" s="4" t="s">
        <v>243</v>
      </c>
      <c r="C239" s="6"/>
      <c r="D239" s="25"/>
      <c r="E239" s="24"/>
      <c r="F239" s="12"/>
      <c r="G239" s="152"/>
      <c r="J239" s="286">
        <f t="shared" si="6"/>
        <v>0</v>
      </c>
    </row>
    <row r="240" spans="1:24" ht="24.75" x14ac:dyDescent="0.25">
      <c r="A240" s="148" t="s">
        <v>244</v>
      </c>
      <c r="B240" s="4" t="s">
        <v>245</v>
      </c>
      <c r="C240" s="6"/>
      <c r="D240" s="25"/>
      <c r="E240" s="24"/>
      <c r="F240" s="12"/>
      <c r="G240" s="152"/>
      <c r="J240" s="286">
        <f t="shared" si="6"/>
        <v>0</v>
      </c>
    </row>
    <row r="241" spans="1:10" x14ac:dyDescent="0.25">
      <c r="A241" s="148"/>
      <c r="B241" s="4" t="s">
        <v>246</v>
      </c>
      <c r="C241" s="6"/>
      <c r="D241" s="168"/>
      <c r="E241" s="24"/>
      <c r="F241" s="12"/>
      <c r="G241" s="152"/>
      <c r="J241" s="286">
        <f t="shared" si="6"/>
        <v>0</v>
      </c>
    </row>
    <row r="242" spans="1:10" x14ac:dyDescent="0.25">
      <c r="A242" s="148"/>
      <c r="B242" s="4" t="s">
        <v>2791</v>
      </c>
      <c r="C242" s="6">
        <f>3*12</f>
        <v>36</v>
      </c>
      <c r="D242" s="168" t="s">
        <v>252</v>
      </c>
      <c r="E242" s="24">
        <v>100000</v>
      </c>
      <c r="F242" s="12">
        <f>E242*C242</f>
        <v>3600000</v>
      </c>
      <c r="G242" s="152" t="s">
        <v>1682</v>
      </c>
      <c r="J242" s="286">
        <f>F242</f>
        <v>3600000</v>
      </c>
    </row>
    <row r="243" spans="1:10" x14ac:dyDescent="0.25">
      <c r="A243" s="2"/>
      <c r="B243" s="4" t="s">
        <v>247</v>
      </c>
      <c r="C243" s="6">
        <v>9</v>
      </c>
      <c r="D243" s="168" t="s">
        <v>248</v>
      </c>
      <c r="E243" s="188">
        <v>300000</v>
      </c>
      <c r="F243" s="12">
        <f t="shared" ref="F243:F274" si="7">E243*C243</f>
        <v>2700000</v>
      </c>
      <c r="G243" s="152" t="s">
        <v>1682</v>
      </c>
      <c r="J243" s="286">
        <f t="shared" si="6"/>
        <v>2700000</v>
      </c>
    </row>
    <row r="244" spans="1:10" x14ac:dyDescent="0.25">
      <c r="A244" s="2"/>
      <c r="B244" s="4" t="s">
        <v>249</v>
      </c>
      <c r="C244" s="6">
        <v>3</v>
      </c>
      <c r="D244" s="168" t="s">
        <v>250</v>
      </c>
      <c r="E244" s="188">
        <v>750000</v>
      </c>
      <c r="F244" s="12">
        <f t="shared" si="7"/>
        <v>2250000</v>
      </c>
      <c r="G244" s="152" t="s">
        <v>1682</v>
      </c>
      <c r="J244" s="286">
        <f t="shared" si="6"/>
        <v>2250000</v>
      </c>
    </row>
    <row r="245" spans="1:10" x14ac:dyDescent="0.25">
      <c r="A245" s="2"/>
      <c r="B245" s="159" t="s">
        <v>251</v>
      </c>
      <c r="C245" s="6">
        <v>3</v>
      </c>
      <c r="D245" s="168" t="s">
        <v>252</v>
      </c>
      <c r="E245" s="24">
        <v>500000</v>
      </c>
      <c r="F245" s="12">
        <f t="shared" si="7"/>
        <v>1500000</v>
      </c>
      <c r="G245" s="152" t="s">
        <v>1682</v>
      </c>
      <c r="J245" s="286">
        <f t="shared" si="6"/>
        <v>1500000</v>
      </c>
    </row>
    <row r="246" spans="1:10" x14ac:dyDescent="0.25">
      <c r="A246" s="2"/>
      <c r="B246" s="159" t="s">
        <v>2792</v>
      </c>
      <c r="C246" s="6">
        <v>1</v>
      </c>
      <c r="D246" s="168" t="s">
        <v>259</v>
      </c>
      <c r="E246" s="24">
        <v>8000000</v>
      </c>
      <c r="F246" s="12">
        <f t="shared" si="7"/>
        <v>8000000</v>
      </c>
      <c r="G246" s="152" t="s">
        <v>1682</v>
      </c>
      <c r="J246" s="286">
        <f t="shared" si="6"/>
        <v>8000000</v>
      </c>
    </row>
    <row r="247" spans="1:10" x14ac:dyDescent="0.25">
      <c r="A247" s="2"/>
      <c r="B247" s="159" t="s">
        <v>253</v>
      </c>
      <c r="C247" s="6">
        <v>1</v>
      </c>
      <c r="D247" s="168" t="s">
        <v>250</v>
      </c>
      <c r="E247" s="24">
        <v>4000000</v>
      </c>
      <c r="F247" s="12">
        <f t="shared" si="7"/>
        <v>4000000</v>
      </c>
      <c r="G247" s="152" t="s">
        <v>1682</v>
      </c>
      <c r="J247" s="286">
        <f t="shared" si="6"/>
        <v>4000000</v>
      </c>
    </row>
    <row r="248" spans="1:10" x14ac:dyDescent="0.25">
      <c r="A248" s="2"/>
      <c r="B248" s="159"/>
      <c r="C248" s="6"/>
      <c r="D248" s="168"/>
      <c r="E248" s="24"/>
      <c r="F248" s="12"/>
      <c r="G248" s="152"/>
      <c r="J248" s="286">
        <f t="shared" si="6"/>
        <v>0</v>
      </c>
    </row>
    <row r="249" spans="1:10" x14ac:dyDescent="0.25">
      <c r="A249" s="2" t="s">
        <v>255</v>
      </c>
      <c r="B249" s="4" t="s">
        <v>256</v>
      </c>
      <c r="C249" s="6"/>
      <c r="D249" s="168"/>
      <c r="E249" s="24"/>
      <c r="F249" s="12"/>
      <c r="G249" s="152"/>
      <c r="J249" s="286">
        <f t="shared" si="6"/>
        <v>0</v>
      </c>
    </row>
    <row r="250" spans="1:10" x14ac:dyDescent="0.25">
      <c r="A250" s="2"/>
      <c r="B250" s="159" t="s">
        <v>254</v>
      </c>
      <c r="C250" s="6">
        <v>1</v>
      </c>
      <c r="D250" s="168" t="s">
        <v>129</v>
      </c>
      <c r="E250" s="24">
        <v>450000</v>
      </c>
      <c r="F250" s="12">
        <f>E250*C250</f>
        <v>450000</v>
      </c>
      <c r="G250" s="152" t="s">
        <v>1682</v>
      </c>
      <c r="J250" s="286">
        <f t="shared" si="6"/>
        <v>450000</v>
      </c>
    </row>
    <row r="251" spans="1:10" x14ac:dyDescent="0.25">
      <c r="A251" s="2"/>
      <c r="B251" s="4" t="s">
        <v>2603</v>
      </c>
      <c r="C251" s="6">
        <v>11</v>
      </c>
      <c r="D251" s="168" t="s">
        <v>252</v>
      </c>
      <c r="E251" s="29">
        <v>300000</v>
      </c>
      <c r="F251" s="12">
        <f t="shared" si="7"/>
        <v>3300000</v>
      </c>
      <c r="G251" s="152" t="s">
        <v>1682</v>
      </c>
      <c r="J251" s="286">
        <f t="shared" si="6"/>
        <v>3300000</v>
      </c>
    </row>
    <row r="252" spans="1:10" x14ac:dyDescent="0.25">
      <c r="A252" s="2"/>
      <c r="B252" s="4" t="s">
        <v>2604</v>
      </c>
      <c r="C252" s="6">
        <v>14</v>
      </c>
      <c r="D252" s="168" t="s">
        <v>129</v>
      </c>
      <c r="E252" s="300">
        <v>300000</v>
      </c>
      <c r="F252" s="12">
        <f t="shared" si="7"/>
        <v>4200000</v>
      </c>
      <c r="G252" s="152" t="s">
        <v>1682</v>
      </c>
      <c r="J252" s="286">
        <f t="shared" ref="J252:J274" si="8">F252</f>
        <v>4200000</v>
      </c>
    </row>
    <row r="253" spans="1:10" x14ac:dyDescent="0.25">
      <c r="A253" s="2"/>
      <c r="B253" s="4" t="s">
        <v>257</v>
      </c>
      <c r="C253" s="6">
        <v>3</v>
      </c>
      <c r="D253" s="168" t="s">
        <v>129</v>
      </c>
      <c r="E253" s="24">
        <v>300000</v>
      </c>
      <c r="F253" s="12">
        <f t="shared" si="7"/>
        <v>900000</v>
      </c>
      <c r="G253" s="152" t="s">
        <v>1682</v>
      </c>
      <c r="J253" s="286">
        <f t="shared" si="8"/>
        <v>900000</v>
      </c>
    </row>
    <row r="254" spans="1:10" x14ac:dyDescent="0.25">
      <c r="A254" s="2"/>
      <c r="B254" s="4" t="s">
        <v>258</v>
      </c>
      <c r="C254" s="6">
        <v>1</v>
      </c>
      <c r="D254" s="168" t="s">
        <v>221</v>
      </c>
      <c r="E254" s="24">
        <v>1000000</v>
      </c>
      <c r="F254" s="12">
        <f t="shared" si="7"/>
        <v>1000000</v>
      </c>
      <c r="G254" s="152" t="s">
        <v>1682</v>
      </c>
      <c r="J254" s="286">
        <f t="shared" si="8"/>
        <v>1000000</v>
      </c>
    </row>
    <row r="255" spans="1:10" x14ac:dyDescent="0.25">
      <c r="A255" s="2"/>
      <c r="B255" s="4" t="s">
        <v>2605</v>
      </c>
      <c r="C255" s="6">
        <v>3</v>
      </c>
      <c r="D255" s="168" t="s">
        <v>129</v>
      </c>
      <c r="E255" s="24">
        <v>500000</v>
      </c>
      <c r="F255" s="12">
        <f t="shared" si="7"/>
        <v>1500000</v>
      </c>
      <c r="G255" s="152" t="s">
        <v>1682</v>
      </c>
      <c r="J255" s="286">
        <f t="shared" si="8"/>
        <v>1500000</v>
      </c>
    </row>
    <row r="256" spans="1:10" x14ac:dyDescent="0.25">
      <c r="A256" s="2"/>
      <c r="B256" s="4" t="s">
        <v>2606</v>
      </c>
      <c r="C256" s="6">
        <v>17</v>
      </c>
      <c r="D256" s="168" t="s">
        <v>259</v>
      </c>
      <c r="E256" s="24">
        <v>200000</v>
      </c>
      <c r="F256" s="12">
        <f t="shared" si="7"/>
        <v>3400000</v>
      </c>
      <c r="G256" s="152" t="s">
        <v>1682</v>
      </c>
      <c r="J256" s="286">
        <f t="shared" si="8"/>
        <v>3400000</v>
      </c>
    </row>
    <row r="257" spans="1:22" x14ac:dyDescent="0.25">
      <c r="A257" s="2"/>
      <c r="B257" s="4" t="s">
        <v>260</v>
      </c>
      <c r="C257" s="6">
        <v>1</v>
      </c>
      <c r="D257" s="168" t="s">
        <v>221</v>
      </c>
      <c r="E257" s="24">
        <v>600000</v>
      </c>
      <c r="F257" s="12">
        <f t="shared" si="7"/>
        <v>600000</v>
      </c>
      <c r="G257" s="152" t="s">
        <v>1682</v>
      </c>
      <c r="J257" s="286">
        <f t="shared" si="8"/>
        <v>600000</v>
      </c>
    </row>
    <row r="258" spans="1:22" x14ac:dyDescent="0.25">
      <c r="A258" s="1784"/>
      <c r="B258" s="1709" t="s">
        <v>261</v>
      </c>
      <c r="C258" s="1619">
        <v>1</v>
      </c>
      <c r="D258" s="1771" t="s">
        <v>221</v>
      </c>
      <c r="E258" s="1788">
        <v>3447571</v>
      </c>
      <c r="F258" s="1620">
        <f t="shared" si="7"/>
        <v>3447571</v>
      </c>
      <c r="G258" s="1648" t="s">
        <v>1682</v>
      </c>
      <c r="J258" s="286">
        <f t="shared" si="8"/>
        <v>3447571</v>
      </c>
    </row>
    <row r="259" spans="1:22" x14ac:dyDescent="0.25">
      <c r="A259" s="2"/>
      <c r="B259" s="4" t="s">
        <v>262</v>
      </c>
      <c r="C259" s="6">
        <v>1</v>
      </c>
      <c r="D259" s="168" t="s">
        <v>221</v>
      </c>
      <c r="E259" s="24">
        <v>400000</v>
      </c>
      <c r="F259" s="12">
        <f t="shared" si="7"/>
        <v>400000</v>
      </c>
      <c r="G259" s="152" t="s">
        <v>1682</v>
      </c>
      <c r="J259" s="286">
        <f t="shared" si="8"/>
        <v>400000</v>
      </c>
    </row>
    <row r="260" spans="1:22" x14ac:dyDescent="0.25">
      <c r="A260" s="2"/>
      <c r="B260" s="4" t="s">
        <v>263</v>
      </c>
      <c r="C260" s="6">
        <v>1</v>
      </c>
      <c r="D260" s="168" t="s">
        <v>221</v>
      </c>
      <c r="E260" s="24">
        <v>3300000</v>
      </c>
      <c r="F260" s="12">
        <f t="shared" si="7"/>
        <v>3300000</v>
      </c>
      <c r="G260" s="152" t="s">
        <v>1682</v>
      </c>
      <c r="J260" s="286">
        <f t="shared" si="8"/>
        <v>3300000</v>
      </c>
    </row>
    <row r="261" spans="1:22" x14ac:dyDescent="0.25">
      <c r="A261" s="148"/>
      <c r="B261" s="4" t="s">
        <v>264</v>
      </c>
      <c r="C261" s="6">
        <v>1</v>
      </c>
      <c r="D261" s="168" t="s">
        <v>221</v>
      </c>
      <c r="E261" s="24">
        <v>3135360</v>
      </c>
      <c r="F261" s="12">
        <f t="shared" si="7"/>
        <v>3135360</v>
      </c>
      <c r="G261" s="152" t="s">
        <v>1682</v>
      </c>
      <c r="J261" s="286">
        <f t="shared" si="8"/>
        <v>3135360</v>
      </c>
    </row>
    <row r="262" spans="1:22" x14ac:dyDescent="0.25">
      <c r="A262" s="148"/>
      <c r="B262" s="4" t="s">
        <v>265</v>
      </c>
      <c r="C262" s="6">
        <v>37</v>
      </c>
      <c r="D262" s="168" t="s">
        <v>259</v>
      </c>
      <c r="E262" s="24">
        <v>150000</v>
      </c>
      <c r="F262" s="12">
        <f t="shared" si="7"/>
        <v>5550000</v>
      </c>
      <c r="G262" s="152" t="s">
        <v>1682</v>
      </c>
      <c r="J262" s="286">
        <f t="shared" si="8"/>
        <v>5550000</v>
      </c>
    </row>
    <row r="263" spans="1:22" x14ac:dyDescent="0.25">
      <c r="A263" s="148"/>
      <c r="B263" s="4" t="s">
        <v>266</v>
      </c>
      <c r="C263" s="6">
        <v>1</v>
      </c>
      <c r="D263" s="168" t="s">
        <v>221</v>
      </c>
      <c r="E263" s="24">
        <v>1000000</v>
      </c>
      <c r="F263" s="12">
        <f t="shared" si="7"/>
        <v>1000000</v>
      </c>
      <c r="G263" s="152" t="s">
        <v>1682</v>
      </c>
      <c r="J263" s="286">
        <f t="shared" si="8"/>
        <v>1000000</v>
      </c>
    </row>
    <row r="264" spans="1:22" x14ac:dyDescent="0.25">
      <c r="A264" s="148"/>
      <c r="B264" s="4" t="s">
        <v>524</v>
      </c>
      <c r="C264" s="6">
        <v>1</v>
      </c>
      <c r="D264" s="168" t="s">
        <v>152</v>
      </c>
      <c r="E264" s="24">
        <v>15000000</v>
      </c>
      <c r="F264" s="12">
        <f>C264*E264</f>
        <v>15000000</v>
      </c>
      <c r="G264" s="152" t="s">
        <v>1682</v>
      </c>
      <c r="J264" s="286">
        <f t="shared" si="8"/>
        <v>15000000</v>
      </c>
    </row>
    <row r="265" spans="1:22" ht="24.75" x14ac:dyDescent="0.25">
      <c r="A265" s="148"/>
      <c r="B265" s="4" t="s">
        <v>2962</v>
      </c>
      <c r="C265" s="6">
        <v>1</v>
      </c>
      <c r="D265" s="168" t="s">
        <v>152</v>
      </c>
      <c r="E265" s="24">
        <v>14976369</v>
      </c>
      <c r="F265" s="12">
        <f>C265*E265</f>
        <v>14976369</v>
      </c>
      <c r="G265" s="272" t="s">
        <v>2639</v>
      </c>
      <c r="J265" s="286"/>
      <c r="V265" s="286">
        <f>F265</f>
        <v>14976369</v>
      </c>
    </row>
    <row r="266" spans="1:22" x14ac:dyDescent="0.25">
      <c r="A266" s="1787"/>
      <c r="B266" s="1709" t="s">
        <v>2305</v>
      </c>
      <c r="C266" s="1619">
        <v>1</v>
      </c>
      <c r="D266" s="1771" t="s">
        <v>2306</v>
      </c>
      <c r="E266" s="1786"/>
      <c r="F266" s="1620">
        <f>C266*E266</f>
        <v>0</v>
      </c>
      <c r="G266" s="1648" t="s">
        <v>1682</v>
      </c>
      <c r="J266" s="286">
        <f t="shared" si="8"/>
        <v>0</v>
      </c>
    </row>
    <row r="267" spans="1:22" x14ac:dyDescent="0.25">
      <c r="A267" s="148"/>
      <c r="B267" s="4"/>
      <c r="C267" s="6"/>
      <c r="D267" s="168"/>
      <c r="E267" s="24"/>
      <c r="F267" s="12"/>
      <c r="G267" s="152"/>
      <c r="J267" s="286">
        <f t="shared" si="8"/>
        <v>0</v>
      </c>
    </row>
    <row r="268" spans="1:22" ht="36.75" x14ac:dyDescent="0.25">
      <c r="A268" s="2" t="s">
        <v>267</v>
      </c>
      <c r="B268" s="4" t="s">
        <v>268</v>
      </c>
      <c r="C268" s="6"/>
      <c r="D268" s="168"/>
      <c r="E268" s="24"/>
      <c r="F268" s="12"/>
      <c r="G268" s="152"/>
      <c r="J268" s="286">
        <f t="shared" si="8"/>
        <v>0</v>
      </c>
    </row>
    <row r="269" spans="1:22" x14ac:dyDescent="0.25">
      <c r="A269" s="2"/>
      <c r="B269" s="4" t="s">
        <v>269</v>
      </c>
      <c r="C269" s="6">
        <v>1</v>
      </c>
      <c r="D269" s="168" t="s">
        <v>221</v>
      </c>
      <c r="E269" s="24">
        <v>5000000</v>
      </c>
      <c r="F269" s="12">
        <f t="shared" si="7"/>
        <v>5000000</v>
      </c>
      <c r="G269" s="152" t="s">
        <v>1682</v>
      </c>
      <c r="J269" s="286">
        <f t="shared" si="8"/>
        <v>5000000</v>
      </c>
    </row>
    <row r="270" spans="1:22" x14ac:dyDescent="0.25">
      <c r="A270" s="148"/>
      <c r="B270" s="4" t="s">
        <v>270</v>
      </c>
      <c r="C270" s="6">
        <v>1</v>
      </c>
      <c r="D270" s="168" t="s">
        <v>221</v>
      </c>
      <c r="E270" s="24">
        <v>1000000</v>
      </c>
      <c r="F270" s="12">
        <f t="shared" si="7"/>
        <v>1000000</v>
      </c>
      <c r="G270" s="152" t="s">
        <v>1682</v>
      </c>
      <c r="J270" s="286">
        <f t="shared" si="8"/>
        <v>1000000</v>
      </c>
    </row>
    <row r="271" spans="1:22" x14ac:dyDescent="0.25">
      <c r="A271" s="148"/>
      <c r="B271" s="4" t="s">
        <v>271</v>
      </c>
      <c r="C271" s="6">
        <v>1</v>
      </c>
      <c r="D271" s="168" t="s">
        <v>221</v>
      </c>
      <c r="E271" s="24">
        <v>1000000</v>
      </c>
      <c r="F271" s="12">
        <f t="shared" si="7"/>
        <v>1000000</v>
      </c>
      <c r="G271" s="152" t="s">
        <v>1682</v>
      </c>
      <c r="J271" s="286">
        <f t="shared" si="8"/>
        <v>1000000</v>
      </c>
    </row>
    <row r="272" spans="1:22" x14ac:dyDescent="0.25">
      <c r="A272" s="148"/>
      <c r="B272" s="4" t="s">
        <v>272</v>
      </c>
      <c r="C272" s="6">
        <v>1</v>
      </c>
      <c r="D272" s="168" t="s">
        <v>221</v>
      </c>
      <c r="E272" s="24">
        <v>528290</v>
      </c>
      <c r="F272" s="12">
        <f t="shared" si="7"/>
        <v>528290</v>
      </c>
      <c r="G272" s="152" t="s">
        <v>1682</v>
      </c>
      <c r="J272" s="286">
        <f t="shared" si="8"/>
        <v>528290</v>
      </c>
    </row>
    <row r="273" spans="1:10" x14ac:dyDescent="0.25">
      <c r="A273" s="2"/>
      <c r="B273" s="4" t="s">
        <v>273</v>
      </c>
      <c r="C273" s="6">
        <v>1</v>
      </c>
      <c r="D273" s="168" t="s">
        <v>221</v>
      </c>
      <c r="E273" s="24">
        <v>3000000</v>
      </c>
      <c r="F273" s="12">
        <f t="shared" si="7"/>
        <v>3000000</v>
      </c>
      <c r="G273" s="152" t="s">
        <v>1682</v>
      </c>
      <c r="J273" s="286">
        <f t="shared" si="8"/>
        <v>3000000</v>
      </c>
    </row>
    <row r="274" spans="1:10" x14ac:dyDescent="0.25">
      <c r="A274" s="148"/>
      <c r="B274" s="4" t="s">
        <v>274</v>
      </c>
      <c r="C274" s="6">
        <v>1</v>
      </c>
      <c r="D274" s="168" t="s">
        <v>221</v>
      </c>
      <c r="E274" s="24">
        <v>503159</v>
      </c>
      <c r="F274" s="12">
        <f t="shared" si="7"/>
        <v>503159</v>
      </c>
      <c r="G274" s="152" t="s">
        <v>1682</v>
      </c>
      <c r="J274" s="286">
        <f t="shared" si="8"/>
        <v>503159</v>
      </c>
    </row>
    <row r="275" spans="1:10" x14ac:dyDescent="0.25">
      <c r="A275" s="148"/>
      <c r="B275" s="4"/>
      <c r="C275" s="6"/>
      <c r="D275" s="168"/>
      <c r="E275" s="24"/>
      <c r="F275" s="31"/>
      <c r="G275" s="32"/>
    </row>
    <row r="276" spans="1:10" x14ac:dyDescent="0.25">
      <c r="A276" s="2"/>
      <c r="B276" s="4"/>
      <c r="C276" s="6"/>
      <c r="D276" s="168"/>
      <c r="E276" s="24"/>
      <c r="F276" s="31"/>
      <c r="G276" s="32"/>
    </row>
    <row r="277" spans="1:10" x14ac:dyDescent="0.25">
      <c r="A277" s="1861" t="s">
        <v>27</v>
      </c>
      <c r="B277" s="1805"/>
      <c r="C277" s="1805"/>
      <c r="D277" s="1805"/>
      <c r="E277" s="1806"/>
      <c r="F277" s="12">
        <f>SUM(F118:F276)</f>
        <v>486652349</v>
      </c>
      <c r="G277" s="32"/>
    </row>
    <row r="278" spans="1:10" x14ac:dyDescent="0.25">
      <c r="F278" t="s">
        <v>525</v>
      </c>
    </row>
    <row r="280" spans="1:10" x14ac:dyDescent="0.25">
      <c r="A280" s="1807" t="s">
        <v>614</v>
      </c>
      <c r="B280" s="1807"/>
      <c r="C280" s="5" t="s">
        <v>28</v>
      </c>
      <c r="D280" s="1808" t="s">
        <v>1698</v>
      </c>
      <c r="E280" s="1808"/>
      <c r="F280" s="1808"/>
      <c r="G280" s="5"/>
    </row>
    <row r="281" spans="1:10" x14ac:dyDescent="0.25">
      <c r="A281" s="1807" t="s">
        <v>29</v>
      </c>
      <c r="B281" s="1807"/>
      <c r="C281" s="5"/>
      <c r="D281" s="1809" t="s">
        <v>2988</v>
      </c>
      <c r="E281" s="1809"/>
      <c r="F281" s="1809"/>
      <c r="G281" s="5"/>
    </row>
    <row r="282" spans="1:10" x14ac:dyDescent="0.25">
      <c r="A282" s="1"/>
      <c r="B282" s="3"/>
      <c r="C282" s="5"/>
      <c r="D282" s="7"/>
      <c r="E282" s="17"/>
      <c r="F282" s="17"/>
      <c r="G282" s="5"/>
    </row>
    <row r="283" spans="1:10" x14ac:dyDescent="0.25">
      <c r="A283" s="1"/>
      <c r="B283" s="3"/>
      <c r="C283" s="5"/>
      <c r="D283" s="7"/>
      <c r="E283" s="17"/>
      <c r="F283" s="17"/>
      <c r="G283" s="5"/>
    </row>
    <row r="284" spans="1:10" x14ac:dyDescent="0.25">
      <c r="A284" s="1807"/>
      <c r="B284" s="1807"/>
      <c r="C284" s="5"/>
      <c r="D284" s="7"/>
      <c r="E284" s="1807"/>
      <c r="F284" s="1807"/>
      <c r="G284" s="5"/>
    </row>
    <row r="285" spans="1:10" x14ac:dyDescent="0.25">
      <c r="A285" s="1807" t="s">
        <v>30</v>
      </c>
      <c r="B285" s="1807"/>
      <c r="C285" s="5"/>
      <c r="D285" s="1807" t="s">
        <v>2989</v>
      </c>
      <c r="E285" s="1807"/>
      <c r="F285" s="1807"/>
      <c r="G285" s="5"/>
    </row>
    <row r="287" spans="1:10" x14ac:dyDescent="0.25">
      <c r="A287" s="1800" t="s">
        <v>0</v>
      </c>
      <c r="B287" s="1800"/>
      <c r="C287" s="1800"/>
      <c r="D287" s="1800"/>
      <c r="E287" s="1800"/>
      <c r="F287" s="1800"/>
      <c r="G287" s="1800"/>
    </row>
    <row r="288" spans="1:10" x14ac:dyDescent="0.25">
      <c r="A288" s="1800" t="s">
        <v>1</v>
      </c>
      <c r="B288" s="1800"/>
      <c r="C288" s="1800"/>
      <c r="D288" s="1800"/>
      <c r="E288" s="1800"/>
      <c r="F288" s="1800"/>
      <c r="G288" s="1800"/>
    </row>
    <row r="289" spans="1:7" x14ac:dyDescent="0.25">
      <c r="A289" s="1800" t="s">
        <v>1697</v>
      </c>
      <c r="B289" s="1800"/>
      <c r="C289" s="1800"/>
      <c r="D289" s="1800"/>
      <c r="E289" s="1800"/>
      <c r="F289" s="1800"/>
      <c r="G289" s="1800"/>
    </row>
    <row r="290" spans="1:7" x14ac:dyDescent="0.25">
      <c r="A290" s="138"/>
      <c r="B290" s="138"/>
      <c r="C290" s="138"/>
      <c r="D290" s="138"/>
      <c r="E290" s="138"/>
      <c r="F290" s="138"/>
      <c r="G290" s="162"/>
    </row>
    <row r="291" spans="1:7" x14ac:dyDescent="0.25">
      <c r="A291" s="283" t="s">
        <v>276</v>
      </c>
      <c r="B291" s="164" t="s">
        <v>3</v>
      </c>
      <c r="C291" s="5"/>
      <c r="D291" s="7"/>
      <c r="E291" s="8"/>
      <c r="F291" s="13"/>
      <c r="G291" s="5"/>
    </row>
    <row r="292" spans="1:7" ht="36.75" x14ac:dyDescent="0.25">
      <c r="A292" s="163" t="s">
        <v>277</v>
      </c>
      <c r="B292" s="3" t="s">
        <v>5</v>
      </c>
      <c r="C292" s="5"/>
      <c r="D292" s="7"/>
      <c r="E292" s="23"/>
      <c r="F292" s="13"/>
      <c r="G292" s="5"/>
    </row>
    <row r="293" spans="1:7" ht="24" x14ac:dyDescent="0.25">
      <c r="A293" s="163" t="s">
        <v>7</v>
      </c>
      <c r="B293" s="164" t="s">
        <v>522</v>
      </c>
      <c r="C293" s="5"/>
      <c r="D293" s="7"/>
      <c r="E293" s="10"/>
      <c r="F293" s="15"/>
      <c r="G293" s="5"/>
    </row>
    <row r="294" spans="1:7" x14ac:dyDescent="0.25">
      <c r="A294" s="140" t="s">
        <v>36</v>
      </c>
      <c r="B294" s="3"/>
      <c r="C294" s="5"/>
      <c r="D294" s="7"/>
      <c r="E294" s="8"/>
      <c r="F294" s="13"/>
      <c r="G294" s="5"/>
    </row>
    <row r="295" spans="1:7" x14ac:dyDescent="0.25">
      <c r="A295" s="140" t="s">
        <v>11</v>
      </c>
      <c r="B295" s="3"/>
      <c r="C295" s="5"/>
      <c r="D295" s="7"/>
      <c r="E295" s="8"/>
      <c r="F295" s="13"/>
      <c r="G295" s="5"/>
    </row>
    <row r="296" spans="1:7" ht="24" x14ac:dyDescent="0.25">
      <c r="A296" s="146" t="s">
        <v>31</v>
      </c>
      <c r="B296" s="144" t="s">
        <v>32</v>
      </c>
      <c r="C296" s="1801" t="s">
        <v>13</v>
      </c>
      <c r="D296" s="1802"/>
      <c r="E296" s="144" t="s">
        <v>33</v>
      </c>
      <c r="F296" s="152" t="s">
        <v>34</v>
      </c>
      <c r="G296" s="146" t="s">
        <v>35</v>
      </c>
    </row>
    <row r="297" spans="1:7" x14ac:dyDescent="0.25">
      <c r="A297" s="145">
        <v>1</v>
      </c>
      <c r="B297" s="145">
        <v>2</v>
      </c>
      <c r="C297" s="1803">
        <v>3</v>
      </c>
      <c r="D297" s="1803"/>
      <c r="E297" s="18">
        <v>4</v>
      </c>
      <c r="F297" s="147">
        <v>5</v>
      </c>
      <c r="G297" s="147">
        <v>6</v>
      </c>
    </row>
    <row r="298" spans="1:7" x14ac:dyDescent="0.25">
      <c r="A298" s="148" t="s">
        <v>85</v>
      </c>
      <c r="B298" s="257" t="s">
        <v>86</v>
      </c>
      <c r="C298" s="167"/>
      <c r="D298" s="168"/>
      <c r="E298" s="146"/>
      <c r="F298" s="152"/>
      <c r="G298" s="146"/>
    </row>
    <row r="299" spans="1:7" x14ac:dyDescent="0.25">
      <c r="A299" s="148" t="s">
        <v>87</v>
      </c>
      <c r="B299" s="257" t="s">
        <v>88</v>
      </c>
      <c r="C299" s="167"/>
      <c r="D299" s="168"/>
      <c r="E299" s="146"/>
      <c r="F299" s="152"/>
      <c r="G299" s="146"/>
    </row>
    <row r="300" spans="1:7" ht="36.75" x14ac:dyDescent="0.25">
      <c r="A300" s="301" t="s">
        <v>171</v>
      </c>
      <c r="B300" s="4" t="s">
        <v>446</v>
      </c>
      <c r="C300" s="6"/>
      <c r="D300" s="25"/>
      <c r="E300" s="12"/>
      <c r="F300" s="12"/>
      <c r="G300" s="152"/>
    </row>
    <row r="301" spans="1:7" x14ac:dyDescent="0.25">
      <c r="A301" s="186"/>
      <c r="B301" s="16" t="s">
        <v>2607</v>
      </c>
      <c r="C301" s="6">
        <v>1548</v>
      </c>
      <c r="D301" s="25" t="s">
        <v>315</v>
      </c>
      <c r="E301" s="12">
        <v>15000</v>
      </c>
      <c r="F301" s="12">
        <f>E301*C301</f>
        <v>23220000</v>
      </c>
      <c r="G301" s="152"/>
    </row>
    <row r="302" spans="1:7" x14ac:dyDescent="0.25">
      <c r="A302" s="180"/>
      <c r="B302" s="208"/>
      <c r="C302" s="6"/>
      <c r="D302" s="25"/>
      <c r="E302" s="12"/>
      <c r="F302" s="12"/>
      <c r="G302" s="152"/>
    </row>
    <row r="303" spans="1:7" x14ac:dyDescent="0.25">
      <c r="A303" s="148" t="s">
        <v>523</v>
      </c>
      <c r="B303" s="257" t="s">
        <v>379</v>
      </c>
      <c r="C303" s="167"/>
      <c r="D303" s="168"/>
      <c r="E303" s="30"/>
      <c r="F303" s="27"/>
      <c r="G303" s="146"/>
    </row>
    <row r="304" spans="1:7" x14ac:dyDescent="0.25">
      <c r="A304" s="148"/>
      <c r="B304" s="257" t="s">
        <v>332</v>
      </c>
      <c r="C304" s="167">
        <v>36</v>
      </c>
      <c r="D304" s="168" t="s">
        <v>333</v>
      </c>
      <c r="E304" s="30">
        <v>50000</v>
      </c>
      <c r="F304" s="27">
        <f>E304*C304</f>
        <v>1800000</v>
      </c>
      <c r="G304" s="146"/>
    </row>
    <row r="305" spans="1:11" x14ac:dyDescent="0.25">
      <c r="A305" s="148"/>
      <c r="B305" s="257" t="s">
        <v>321</v>
      </c>
      <c r="C305" s="167">
        <f>C304*5</f>
        <v>180</v>
      </c>
      <c r="D305" s="168" t="s">
        <v>186</v>
      </c>
      <c r="E305" s="30">
        <v>1000</v>
      </c>
      <c r="F305" s="27">
        <f>E305*C305</f>
        <v>180000</v>
      </c>
      <c r="G305" s="146"/>
    </row>
    <row r="306" spans="1:11" x14ac:dyDescent="0.25">
      <c r="A306" s="148"/>
      <c r="B306" s="257" t="s">
        <v>335</v>
      </c>
      <c r="C306" s="167">
        <v>36</v>
      </c>
      <c r="D306" s="168" t="s">
        <v>336</v>
      </c>
      <c r="E306" s="30">
        <v>10000</v>
      </c>
      <c r="F306" s="27">
        <f>E306*C306</f>
        <v>360000</v>
      </c>
      <c r="G306" s="146"/>
    </row>
    <row r="307" spans="1:11" x14ac:dyDescent="0.25">
      <c r="A307" s="148"/>
      <c r="B307" s="257"/>
      <c r="C307" s="167"/>
      <c r="D307" s="168"/>
      <c r="E307" s="30"/>
      <c r="F307" s="27"/>
      <c r="G307" s="146"/>
    </row>
    <row r="308" spans="1:11" x14ac:dyDescent="0.25">
      <c r="A308" s="1854" t="s">
        <v>27</v>
      </c>
      <c r="B308" s="1848"/>
      <c r="C308" s="1848"/>
      <c r="D308" s="1848"/>
      <c r="E308" s="1849"/>
      <c r="F308" s="12">
        <f>SUM(F300:F307)</f>
        <v>25560000</v>
      </c>
      <c r="G308" s="16" t="s">
        <v>2620</v>
      </c>
      <c r="K308" s="286">
        <f>F308</f>
        <v>25560000</v>
      </c>
    </row>
    <row r="309" spans="1:11" x14ac:dyDescent="0.25">
      <c r="A309" s="136"/>
      <c r="B309" s="136"/>
      <c r="C309" s="136"/>
      <c r="D309" s="136"/>
      <c r="E309" s="136"/>
      <c r="F309" s="302"/>
      <c r="G309" s="5"/>
    </row>
    <row r="310" spans="1:11" x14ac:dyDescent="0.25">
      <c r="A310" s="1807" t="s">
        <v>614</v>
      </c>
      <c r="B310" s="1807"/>
      <c r="C310" s="5" t="s">
        <v>28</v>
      </c>
      <c r="D310" s="1808" t="s">
        <v>1698</v>
      </c>
      <c r="E310" s="1808"/>
      <c r="F310" s="1808"/>
      <c r="G310" s="5"/>
    </row>
    <row r="311" spans="1:11" x14ac:dyDescent="0.25">
      <c r="A311" s="1807" t="s">
        <v>29</v>
      </c>
      <c r="B311" s="1807"/>
      <c r="C311" s="5"/>
      <c r="D311" s="1809" t="s">
        <v>2988</v>
      </c>
      <c r="E311" s="1809"/>
      <c r="F311" s="1809"/>
      <c r="G311" s="5"/>
    </row>
    <row r="312" spans="1:11" x14ac:dyDescent="0.25">
      <c r="A312" s="1"/>
      <c r="B312" s="3"/>
      <c r="C312" s="5"/>
      <c r="D312" s="7"/>
      <c r="E312" s="17"/>
      <c r="F312" s="17"/>
      <c r="G312" s="5"/>
    </row>
    <row r="313" spans="1:11" x14ac:dyDescent="0.25">
      <c r="A313" s="1"/>
      <c r="B313" s="3"/>
      <c r="C313" s="5"/>
      <c r="D313" s="7"/>
      <c r="E313" s="17"/>
      <c r="F313" s="17"/>
      <c r="G313" s="5"/>
    </row>
    <row r="314" spans="1:11" x14ac:dyDescent="0.25">
      <c r="A314" s="1807"/>
      <c r="B314" s="1807"/>
      <c r="C314" s="5"/>
      <c r="D314" s="7"/>
      <c r="E314" s="1807"/>
      <c r="F314" s="1807"/>
      <c r="G314" s="5"/>
    </row>
    <row r="315" spans="1:11" x14ac:dyDescent="0.25">
      <c r="A315" s="1807" t="s">
        <v>30</v>
      </c>
      <c r="B315" s="1807"/>
      <c r="C315" s="5"/>
      <c r="D315" s="1807" t="s">
        <v>2989</v>
      </c>
      <c r="E315" s="1807"/>
      <c r="F315" s="1807"/>
      <c r="G315" s="5"/>
    </row>
    <row r="317" spans="1:11" x14ac:dyDescent="0.25">
      <c r="A317" s="1800" t="s">
        <v>0</v>
      </c>
      <c r="B317" s="1800"/>
      <c r="C317" s="1800"/>
      <c r="D317" s="1800"/>
      <c r="E317" s="1800"/>
      <c r="F317" s="1800"/>
      <c r="G317" s="162"/>
    </row>
    <row r="318" spans="1:11" x14ac:dyDescent="0.25">
      <c r="A318" s="1800" t="s">
        <v>1</v>
      </c>
      <c r="B318" s="1800"/>
      <c r="C318" s="1800"/>
      <c r="D318" s="1800"/>
      <c r="E318" s="1800"/>
      <c r="F318" s="1800"/>
      <c r="G318" s="162"/>
    </row>
    <row r="319" spans="1:11" x14ac:dyDescent="0.25">
      <c r="A319" s="1800" t="s">
        <v>1697</v>
      </c>
      <c r="B319" s="1800"/>
      <c r="C319" s="1800"/>
      <c r="D319" s="1800"/>
      <c r="E319" s="1800"/>
      <c r="F319" s="1800"/>
      <c r="G319" s="162"/>
    </row>
    <row r="320" spans="1:11" x14ac:dyDescent="0.25">
      <c r="A320" s="138"/>
      <c r="B320" s="138"/>
      <c r="C320" s="138"/>
      <c r="D320" s="138"/>
      <c r="E320" s="138"/>
      <c r="F320" s="138"/>
      <c r="G320" s="162"/>
    </row>
    <row r="321" spans="1:11" x14ac:dyDescent="0.25">
      <c r="A321" s="1" t="s">
        <v>276</v>
      </c>
      <c r="B321" s="164" t="s">
        <v>3</v>
      </c>
      <c r="C321" s="5"/>
      <c r="D321" s="7"/>
      <c r="E321" s="8"/>
      <c r="F321" s="13"/>
      <c r="G321" s="5"/>
    </row>
    <row r="322" spans="1:11" ht="36.75" x14ac:dyDescent="0.25">
      <c r="A322" s="163" t="s">
        <v>277</v>
      </c>
      <c r="B322" s="3" t="s">
        <v>5</v>
      </c>
      <c r="C322" s="5"/>
      <c r="D322" s="7"/>
      <c r="E322" s="23" t="s">
        <v>6</v>
      </c>
      <c r="F322" s="13"/>
      <c r="G322" s="5"/>
    </row>
    <row r="323" spans="1:11" x14ac:dyDescent="0.25">
      <c r="A323" s="140" t="s">
        <v>7</v>
      </c>
      <c r="B323" s="3" t="s">
        <v>278</v>
      </c>
      <c r="C323" s="5"/>
      <c r="D323" s="7"/>
      <c r="E323" s="10" t="s">
        <v>9</v>
      </c>
      <c r="F323" s="13"/>
      <c r="G323" s="5"/>
    </row>
    <row r="324" spans="1:11" x14ac:dyDescent="0.25">
      <c r="A324" s="285" t="s">
        <v>38</v>
      </c>
      <c r="B324" s="3" t="s">
        <v>295</v>
      </c>
      <c r="C324" s="5"/>
      <c r="D324" s="7"/>
      <c r="E324" s="8"/>
      <c r="F324" s="13"/>
      <c r="G324" s="5"/>
    </row>
    <row r="325" spans="1:11" x14ac:dyDescent="0.25">
      <c r="A325" s="140" t="s">
        <v>11</v>
      </c>
      <c r="B325" s="3"/>
      <c r="C325" s="5"/>
      <c r="D325" s="7"/>
      <c r="E325" s="8"/>
      <c r="F325" s="13"/>
      <c r="G325" s="5"/>
    </row>
    <row r="326" spans="1:11" x14ac:dyDescent="0.25">
      <c r="A326" s="140"/>
      <c r="B326" s="3"/>
      <c r="C326" s="5"/>
      <c r="D326" s="7"/>
      <c r="E326" s="8"/>
      <c r="F326" s="13"/>
      <c r="G326" s="5"/>
    </row>
    <row r="327" spans="1:11" ht="24" x14ac:dyDescent="0.25">
      <c r="A327" s="146" t="s">
        <v>31</v>
      </c>
      <c r="B327" s="144" t="s">
        <v>32</v>
      </c>
      <c r="C327" s="1801" t="s">
        <v>13</v>
      </c>
      <c r="D327" s="1802"/>
      <c r="E327" s="144" t="s">
        <v>33</v>
      </c>
      <c r="F327" s="152" t="s">
        <v>34</v>
      </c>
      <c r="G327" s="146" t="s">
        <v>35</v>
      </c>
    </row>
    <row r="328" spans="1:11" x14ac:dyDescent="0.25">
      <c r="A328" s="145">
        <v>1</v>
      </c>
      <c r="B328" s="145">
        <v>2</v>
      </c>
      <c r="C328" s="1803">
        <v>3</v>
      </c>
      <c r="D328" s="1803"/>
      <c r="E328" s="18">
        <v>4</v>
      </c>
      <c r="F328" s="147">
        <v>5</v>
      </c>
      <c r="G328" s="147">
        <v>6</v>
      </c>
    </row>
    <row r="329" spans="1:11" x14ac:dyDescent="0.25">
      <c r="A329" s="269" t="s">
        <v>279</v>
      </c>
      <c r="B329" s="4" t="s">
        <v>280</v>
      </c>
      <c r="C329" s="6"/>
      <c r="D329" s="168"/>
      <c r="E329" s="12"/>
      <c r="F329" s="12"/>
      <c r="G329" s="16"/>
    </row>
    <row r="330" spans="1:11" x14ac:dyDescent="0.25">
      <c r="A330" s="269" t="s">
        <v>281</v>
      </c>
      <c r="B330" s="4" t="s">
        <v>282</v>
      </c>
      <c r="C330" s="6"/>
      <c r="D330" s="168"/>
      <c r="E330" s="12"/>
      <c r="F330" s="12"/>
      <c r="G330" s="16"/>
    </row>
    <row r="331" spans="1:11" x14ac:dyDescent="0.25">
      <c r="A331" s="2" t="s">
        <v>283</v>
      </c>
      <c r="B331" s="4" t="s">
        <v>284</v>
      </c>
      <c r="C331" s="236"/>
      <c r="D331" s="168"/>
      <c r="E331" s="16"/>
      <c r="F331" s="16"/>
      <c r="G331" s="16"/>
    </row>
    <row r="332" spans="1:11" x14ac:dyDescent="0.25">
      <c r="A332" s="2"/>
      <c r="B332" s="4" t="s">
        <v>214</v>
      </c>
      <c r="C332" s="6">
        <v>12</v>
      </c>
      <c r="D332" s="168" t="s">
        <v>22</v>
      </c>
      <c r="E332" s="12">
        <v>4000000</v>
      </c>
      <c r="F332" s="12">
        <f>C332*E332</f>
        <v>48000000</v>
      </c>
      <c r="G332" s="16" t="s">
        <v>2620</v>
      </c>
      <c r="H332" s="451"/>
      <c r="K332" s="286">
        <f>F332</f>
        <v>48000000</v>
      </c>
    </row>
    <row r="333" spans="1:11" x14ac:dyDescent="0.25">
      <c r="A333" s="2"/>
      <c r="B333" s="4" t="s">
        <v>285</v>
      </c>
      <c r="C333" s="6">
        <v>1</v>
      </c>
      <c r="D333" s="168" t="s">
        <v>22</v>
      </c>
      <c r="E333" s="12">
        <v>4000000</v>
      </c>
      <c r="F333" s="12">
        <f t="shared" ref="F333:F347" si="9">C333*E333</f>
        <v>4000000</v>
      </c>
      <c r="G333" s="16" t="s">
        <v>2620</v>
      </c>
      <c r="K333" s="286">
        <f>F333</f>
        <v>4000000</v>
      </c>
    </row>
    <row r="334" spans="1:11" x14ac:dyDescent="0.25">
      <c r="A334" s="2"/>
      <c r="B334" s="4" t="s">
        <v>286</v>
      </c>
      <c r="C334" s="6">
        <v>1</v>
      </c>
      <c r="D334" s="168" t="s">
        <v>22</v>
      </c>
      <c r="E334" s="12">
        <v>4000000</v>
      </c>
      <c r="F334" s="12">
        <f t="shared" si="9"/>
        <v>4000000</v>
      </c>
      <c r="G334" s="16" t="s">
        <v>2620</v>
      </c>
      <c r="K334" s="286">
        <f>F334</f>
        <v>4000000</v>
      </c>
    </row>
    <row r="335" spans="1:11" x14ac:dyDescent="0.25">
      <c r="A335" s="2"/>
      <c r="B335" s="4"/>
      <c r="C335" s="6"/>
      <c r="D335" s="168"/>
      <c r="E335" s="12"/>
      <c r="F335" s="12"/>
      <c r="G335" s="16"/>
    </row>
    <row r="336" spans="1:11" x14ac:dyDescent="0.25">
      <c r="A336" s="2"/>
      <c r="B336" s="4" t="s">
        <v>287</v>
      </c>
      <c r="C336" s="6">
        <v>12</v>
      </c>
      <c r="D336" s="168" t="s">
        <v>22</v>
      </c>
      <c r="E336" s="12">
        <v>3800000</v>
      </c>
      <c r="F336" s="12">
        <f t="shared" si="9"/>
        <v>45600000</v>
      </c>
      <c r="G336" s="16" t="s">
        <v>2620</v>
      </c>
      <c r="K336" s="286">
        <f>F336</f>
        <v>45600000</v>
      </c>
    </row>
    <row r="337" spans="1:11" x14ac:dyDescent="0.25">
      <c r="A337" s="2"/>
      <c r="B337" s="4" t="s">
        <v>288</v>
      </c>
      <c r="C337" s="6">
        <v>1</v>
      </c>
      <c r="D337" s="168" t="s">
        <v>22</v>
      </c>
      <c r="E337" s="12">
        <v>3800000</v>
      </c>
      <c r="F337" s="12">
        <f t="shared" si="9"/>
        <v>3800000</v>
      </c>
      <c r="G337" s="16" t="s">
        <v>2620</v>
      </c>
      <c r="K337" s="286">
        <f t="shared" ref="K337:K338" si="10">F337</f>
        <v>3800000</v>
      </c>
    </row>
    <row r="338" spans="1:11" x14ac:dyDescent="0.25">
      <c r="A338" s="2"/>
      <c r="B338" s="4" t="s">
        <v>289</v>
      </c>
      <c r="C338" s="6">
        <v>1</v>
      </c>
      <c r="D338" s="168" t="s">
        <v>22</v>
      </c>
      <c r="E338" s="12">
        <v>3800000</v>
      </c>
      <c r="F338" s="12">
        <f t="shared" si="9"/>
        <v>3800000</v>
      </c>
      <c r="G338" s="16" t="s">
        <v>2620</v>
      </c>
      <c r="K338" s="286">
        <f t="shared" si="10"/>
        <v>3800000</v>
      </c>
    </row>
    <row r="339" spans="1:11" x14ac:dyDescent="0.25">
      <c r="A339" s="2"/>
      <c r="B339" s="4"/>
      <c r="C339" s="6"/>
      <c r="D339" s="168"/>
      <c r="E339" s="12"/>
      <c r="F339" s="12"/>
      <c r="G339" s="16"/>
    </row>
    <row r="340" spans="1:11" x14ac:dyDescent="0.25">
      <c r="A340" s="2"/>
      <c r="B340" s="4" t="s">
        <v>215</v>
      </c>
      <c r="C340" s="6">
        <v>12</v>
      </c>
      <c r="D340" s="168" t="s">
        <v>22</v>
      </c>
      <c r="E340" s="12">
        <v>3500000</v>
      </c>
      <c r="F340" s="12">
        <f t="shared" si="9"/>
        <v>42000000</v>
      </c>
      <c r="G340" s="16" t="s">
        <v>2620</v>
      </c>
      <c r="K340" s="286">
        <f>F340</f>
        <v>42000000</v>
      </c>
    </row>
    <row r="341" spans="1:11" x14ac:dyDescent="0.25">
      <c r="A341" s="2"/>
      <c r="B341" s="4" t="s">
        <v>290</v>
      </c>
      <c r="C341" s="6">
        <v>1</v>
      </c>
      <c r="D341" s="168" t="s">
        <v>22</v>
      </c>
      <c r="E341" s="12">
        <v>3500000</v>
      </c>
      <c r="F341" s="12">
        <f t="shared" si="9"/>
        <v>3500000</v>
      </c>
      <c r="G341" s="16" t="s">
        <v>2620</v>
      </c>
      <c r="K341" s="286">
        <f t="shared" ref="K341:K342" si="11">F341</f>
        <v>3500000</v>
      </c>
    </row>
    <row r="342" spans="1:11" x14ac:dyDescent="0.25">
      <c r="A342" s="2"/>
      <c r="B342" s="4" t="s">
        <v>291</v>
      </c>
      <c r="C342" s="6">
        <v>1</v>
      </c>
      <c r="D342" s="168" t="s">
        <v>22</v>
      </c>
      <c r="E342" s="12">
        <v>3500000</v>
      </c>
      <c r="F342" s="12">
        <f t="shared" si="9"/>
        <v>3500000</v>
      </c>
      <c r="G342" s="16" t="s">
        <v>2620</v>
      </c>
      <c r="K342" s="286">
        <f t="shared" si="11"/>
        <v>3500000</v>
      </c>
    </row>
    <row r="343" spans="1:11" x14ac:dyDescent="0.25">
      <c r="A343" s="2"/>
      <c r="B343" s="4"/>
      <c r="C343" s="6"/>
      <c r="D343" s="168"/>
      <c r="E343" s="12"/>
      <c r="F343" s="12"/>
      <c r="G343" s="16"/>
    </row>
    <row r="344" spans="1:11" x14ac:dyDescent="0.25">
      <c r="A344" s="2"/>
      <c r="B344" s="4" t="s">
        <v>391</v>
      </c>
      <c r="C344" s="6"/>
      <c r="D344" s="168"/>
      <c r="E344" s="12"/>
      <c r="F344" s="12"/>
      <c r="G344" s="16"/>
    </row>
    <row r="345" spans="1:11" x14ac:dyDescent="0.25">
      <c r="A345" s="2"/>
      <c r="B345" s="4" t="s">
        <v>292</v>
      </c>
      <c r="C345" s="6">
        <v>72</v>
      </c>
      <c r="D345" s="168" t="s">
        <v>22</v>
      </c>
      <c r="E345" s="12">
        <v>3000000</v>
      </c>
      <c r="F345" s="12">
        <f t="shared" si="9"/>
        <v>216000000</v>
      </c>
      <c r="G345" s="16" t="s">
        <v>2620</v>
      </c>
      <c r="K345" s="286">
        <f>F345</f>
        <v>216000000</v>
      </c>
    </row>
    <row r="346" spans="1:11" x14ac:dyDescent="0.25">
      <c r="A346" s="2"/>
      <c r="B346" s="4" t="s">
        <v>293</v>
      </c>
      <c r="C346" s="6">
        <v>6</v>
      </c>
      <c r="D346" s="168" t="s">
        <v>22</v>
      </c>
      <c r="E346" s="12">
        <v>3000000</v>
      </c>
      <c r="F346" s="12">
        <f t="shared" si="9"/>
        <v>18000000</v>
      </c>
      <c r="G346" s="16" t="s">
        <v>2620</v>
      </c>
      <c r="K346" s="286">
        <f t="shared" ref="K346:K347" si="12">F346</f>
        <v>18000000</v>
      </c>
    </row>
    <row r="347" spans="1:11" x14ac:dyDescent="0.25">
      <c r="A347" s="2"/>
      <c r="B347" s="4" t="s">
        <v>294</v>
      </c>
      <c r="C347" s="6">
        <v>6</v>
      </c>
      <c r="D347" s="168" t="s">
        <v>22</v>
      </c>
      <c r="E347" s="12">
        <v>3000000</v>
      </c>
      <c r="F347" s="12">
        <f t="shared" si="9"/>
        <v>18000000</v>
      </c>
      <c r="G347" s="16" t="s">
        <v>2620</v>
      </c>
      <c r="K347" s="286">
        <f t="shared" si="12"/>
        <v>18000000</v>
      </c>
    </row>
    <row r="348" spans="1:11" x14ac:dyDescent="0.25">
      <c r="A348" s="2"/>
      <c r="B348" s="4"/>
      <c r="C348" s="6"/>
      <c r="D348" s="168"/>
      <c r="E348" s="12"/>
      <c r="F348" s="12"/>
      <c r="G348" s="16"/>
    </row>
    <row r="349" spans="1:11" x14ac:dyDescent="0.25">
      <c r="A349" s="1861" t="s">
        <v>27</v>
      </c>
      <c r="B349" s="1805"/>
      <c r="C349" s="1805"/>
      <c r="D349" s="1805"/>
      <c r="E349" s="1806"/>
      <c r="F349" s="12">
        <f>SUM(F332:F348)</f>
        <v>410200000</v>
      </c>
      <c r="G349" s="16"/>
    </row>
    <row r="350" spans="1:11" x14ac:dyDescent="0.25">
      <c r="A350" s="1807" t="s">
        <v>614</v>
      </c>
      <c r="B350" s="1807"/>
      <c r="C350" s="5" t="s">
        <v>28</v>
      </c>
      <c r="D350" s="1808" t="s">
        <v>1698</v>
      </c>
      <c r="E350" s="1808"/>
      <c r="F350" s="1808"/>
      <c r="G350" s="5"/>
    </row>
    <row r="351" spans="1:11" x14ac:dyDescent="0.25">
      <c r="A351" s="1807" t="s">
        <v>29</v>
      </c>
      <c r="B351" s="1807"/>
      <c r="C351" s="5"/>
      <c r="D351" s="1809" t="s">
        <v>2988</v>
      </c>
      <c r="E351" s="1809"/>
      <c r="F351" s="1809"/>
      <c r="G351" s="5"/>
    </row>
    <row r="352" spans="1:11" x14ac:dyDescent="0.25">
      <c r="A352" s="1"/>
      <c r="B352" s="3"/>
      <c r="C352" s="5"/>
      <c r="D352" s="7"/>
      <c r="E352" s="17"/>
      <c r="F352" s="17"/>
      <c r="G352" s="5"/>
    </row>
    <row r="353" spans="1:7" x14ac:dyDescent="0.25">
      <c r="A353" s="1"/>
      <c r="B353" s="3"/>
      <c r="C353" s="5"/>
      <c r="D353" s="7"/>
      <c r="E353" s="17"/>
      <c r="F353" s="17"/>
      <c r="G353" s="5"/>
    </row>
    <row r="354" spans="1:7" x14ac:dyDescent="0.25">
      <c r="A354" s="1807"/>
      <c r="B354" s="1807"/>
      <c r="C354" s="5"/>
      <c r="D354" s="7"/>
      <c r="E354" s="1807"/>
      <c r="F354" s="1807"/>
      <c r="G354" s="5"/>
    </row>
    <row r="355" spans="1:7" x14ac:dyDescent="0.25">
      <c r="A355" s="1807" t="s">
        <v>30</v>
      </c>
      <c r="B355" s="1807"/>
      <c r="C355" s="5"/>
      <c r="D355" s="1807" t="s">
        <v>2989</v>
      </c>
      <c r="E355" s="1807"/>
      <c r="F355" s="1807"/>
      <c r="G355" s="5"/>
    </row>
    <row r="359" spans="1:7" x14ac:dyDescent="0.25">
      <c r="A359" s="1864" t="s">
        <v>0</v>
      </c>
      <c r="B359" s="1864"/>
      <c r="C359" s="1864"/>
      <c r="D359" s="1864"/>
      <c r="E359" s="1864"/>
      <c r="F359" s="1864"/>
      <c r="G359" s="1864"/>
    </row>
    <row r="360" spans="1:7" x14ac:dyDescent="0.25">
      <c r="A360" s="1864" t="s">
        <v>1</v>
      </c>
      <c r="B360" s="1864"/>
      <c r="C360" s="1864"/>
      <c r="D360" s="1864"/>
      <c r="E360" s="1864"/>
      <c r="F360" s="1864"/>
      <c r="G360" s="1864"/>
    </row>
    <row r="361" spans="1:7" x14ac:dyDescent="0.25">
      <c r="A361" s="1800" t="s">
        <v>1697</v>
      </c>
      <c r="B361" s="1800"/>
      <c r="C361" s="1800"/>
      <c r="D361" s="1800"/>
      <c r="E361" s="1800"/>
      <c r="F361" s="1800"/>
      <c r="G361" s="1800"/>
    </row>
    <row r="362" spans="1:7" x14ac:dyDescent="0.25">
      <c r="A362" s="303"/>
      <c r="B362" s="303"/>
      <c r="C362" s="303"/>
      <c r="D362" s="303"/>
      <c r="E362" s="303"/>
      <c r="F362" s="303"/>
      <c r="G362" s="303"/>
    </row>
    <row r="363" spans="1:7" ht="25.5" x14ac:dyDescent="0.25">
      <c r="A363" s="304" t="s">
        <v>296</v>
      </c>
      <c r="B363" s="297" t="s">
        <v>3</v>
      </c>
      <c r="C363" s="304"/>
      <c r="D363" s="304"/>
      <c r="E363" s="23" t="s">
        <v>6</v>
      </c>
      <c r="F363" s="13"/>
      <c r="G363" s="305"/>
    </row>
    <row r="364" spans="1:7" ht="51" x14ac:dyDescent="0.25">
      <c r="A364" s="304" t="s">
        <v>297</v>
      </c>
      <c r="B364" s="297" t="s">
        <v>5</v>
      </c>
      <c r="C364" s="304"/>
      <c r="D364" s="304"/>
      <c r="E364" s="10" t="s">
        <v>9</v>
      </c>
      <c r="F364" s="15"/>
      <c r="G364" s="305"/>
    </row>
    <row r="365" spans="1:7" x14ac:dyDescent="0.25">
      <c r="A365" s="306" t="s">
        <v>298</v>
      </c>
      <c r="B365" s="306" t="s">
        <v>299</v>
      </c>
      <c r="C365" s="306"/>
      <c r="D365" s="306"/>
      <c r="E365" s="306"/>
      <c r="F365" s="306"/>
      <c r="G365" s="305"/>
    </row>
    <row r="366" spans="1:7" x14ac:dyDescent="0.25">
      <c r="A366" s="307" t="s">
        <v>62</v>
      </c>
      <c r="B366" s="298" t="s">
        <v>63</v>
      </c>
      <c r="C366" s="298"/>
      <c r="D366" s="5"/>
      <c r="E366" s="5"/>
      <c r="F366" s="5"/>
    </row>
    <row r="367" spans="1:7" x14ac:dyDescent="0.25">
      <c r="A367" s="298" t="s">
        <v>64</v>
      </c>
      <c r="B367" s="298"/>
      <c r="C367" s="298"/>
      <c r="D367" s="1808"/>
      <c r="E367" s="1808"/>
      <c r="F367" s="5"/>
    </row>
    <row r="368" spans="1:7" x14ac:dyDescent="0.25">
      <c r="A368" s="3"/>
      <c r="B368" s="3"/>
      <c r="C368" s="3"/>
      <c r="D368" s="3"/>
      <c r="E368" s="3"/>
      <c r="F368" s="3"/>
    </row>
    <row r="369" spans="1:7" ht="24" x14ac:dyDescent="0.25">
      <c r="A369" s="144" t="s">
        <v>300</v>
      </c>
      <c r="B369" s="144" t="s">
        <v>12</v>
      </c>
      <c r="C369" s="1804" t="s">
        <v>13</v>
      </c>
      <c r="D369" s="1804"/>
      <c r="E369" s="11" t="s">
        <v>14</v>
      </c>
      <c r="F369" s="165" t="s">
        <v>15</v>
      </c>
      <c r="G369" s="267" t="s">
        <v>301</v>
      </c>
    </row>
    <row r="370" spans="1:7" x14ac:dyDescent="0.25">
      <c r="A370" s="144">
        <v>1</v>
      </c>
      <c r="B370" s="144">
        <v>2</v>
      </c>
      <c r="C370" s="1811">
        <v>3</v>
      </c>
      <c r="D370" s="1812"/>
      <c r="E370" s="33">
        <v>4</v>
      </c>
      <c r="F370" s="165">
        <v>5</v>
      </c>
      <c r="G370" s="268">
        <v>6</v>
      </c>
    </row>
    <row r="371" spans="1:7" x14ac:dyDescent="0.25">
      <c r="A371" s="148" t="s">
        <v>302</v>
      </c>
      <c r="B371" s="308" t="s">
        <v>86</v>
      </c>
      <c r="C371" s="309"/>
      <c r="D371" s="310"/>
      <c r="E371" s="311"/>
      <c r="F371" s="312"/>
      <c r="G371" s="313"/>
    </row>
    <row r="372" spans="1:7" x14ac:dyDescent="0.25">
      <c r="A372" s="148" t="s">
        <v>303</v>
      </c>
      <c r="B372" s="308" t="s">
        <v>88</v>
      </c>
      <c r="C372" s="309"/>
      <c r="D372" s="310"/>
      <c r="E372" s="311"/>
      <c r="F372" s="312"/>
      <c r="G372" s="313"/>
    </row>
    <row r="373" spans="1:7" ht="26.25" x14ac:dyDescent="0.25">
      <c r="A373" s="148" t="s">
        <v>304</v>
      </c>
      <c r="B373" s="314" t="s">
        <v>305</v>
      </c>
      <c r="C373" s="315"/>
      <c r="D373" s="316"/>
      <c r="E373" s="34"/>
      <c r="F373" s="35"/>
      <c r="G373" s="313"/>
    </row>
    <row r="374" spans="1:7" x14ac:dyDescent="0.25">
      <c r="A374" s="317"/>
      <c r="B374" s="317" t="s">
        <v>306</v>
      </c>
      <c r="C374" s="318">
        <v>180</v>
      </c>
      <c r="D374" s="316" t="s">
        <v>307</v>
      </c>
      <c r="E374" s="34">
        <v>5300</v>
      </c>
      <c r="F374" s="35">
        <f>C374*E374</f>
        <v>954000</v>
      </c>
      <c r="G374" s="313"/>
    </row>
    <row r="375" spans="1:7" x14ac:dyDescent="0.25">
      <c r="A375" s="317"/>
      <c r="B375" s="317" t="s">
        <v>308</v>
      </c>
      <c r="C375" s="318">
        <v>5</v>
      </c>
      <c r="D375" s="316" t="s">
        <v>91</v>
      </c>
      <c r="E375" s="34">
        <v>75000</v>
      </c>
      <c r="F375" s="35">
        <f>C375*E375</f>
        <v>375000</v>
      </c>
      <c r="G375" s="313"/>
    </row>
    <row r="376" spans="1:7" x14ac:dyDescent="0.25">
      <c r="A376" s="317"/>
      <c r="B376" s="317" t="s">
        <v>309</v>
      </c>
      <c r="C376" s="318">
        <v>15</v>
      </c>
      <c r="D376" s="316" t="s">
        <v>123</v>
      </c>
      <c r="E376" s="34">
        <v>100000</v>
      </c>
      <c r="F376" s="35">
        <f>E376*C376</f>
        <v>1500000</v>
      </c>
      <c r="G376" s="313"/>
    </row>
    <row r="377" spans="1:7" x14ac:dyDescent="0.25">
      <c r="A377" s="148"/>
      <c r="B377" s="257" t="s">
        <v>310</v>
      </c>
      <c r="C377" s="167">
        <v>10</v>
      </c>
      <c r="D377" s="203" t="s">
        <v>102</v>
      </c>
      <c r="E377" s="30">
        <v>50000</v>
      </c>
      <c r="F377" s="27">
        <f>E377*C377</f>
        <v>500000</v>
      </c>
      <c r="G377" s="256"/>
    </row>
    <row r="378" spans="1:7" x14ac:dyDescent="0.25">
      <c r="A378" s="317"/>
      <c r="B378" s="317" t="s">
        <v>311</v>
      </c>
      <c r="C378" s="318">
        <v>4000</v>
      </c>
      <c r="D378" s="316" t="s">
        <v>312</v>
      </c>
      <c r="E378" s="34">
        <v>250</v>
      </c>
      <c r="F378" s="35">
        <f>E378*C378</f>
        <v>1000000</v>
      </c>
      <c r="G378" s="313"/>
    </row>
    <row r="379" spans="1:7" x14ac:dyDescent="0.25">
      <c r="A379" s="319"/>
      <c r="B379" s="320"/>
      <c r="C379" s="318"/>
      <c r="D379" s="316"/>
      <c r="E379" s="34"/>
      <c r="F379" s="35"/>
      <c r="G379" s="313"/>
    </row>
    <row r="380" spans="1:7" ht="39" x14ac:dyDescent="0.25">
      <c r="A380" s="148" t="s">
        <v>313</v>
      </c>
      <c r="B380" s="321" t="s">
        <v>172</v>
      </c>
      <c r="C380" s="318"/>
      <c r="D380" s="316"/>
      <c r="E380" s="34"/>
      <c r="F380" s="35"/>
      <c r="G380" s="313"/>
    </row>
    <row r="381" spans="1:7" ht="26.25" x14ac:dyDescent="0.25">
      <c r="A381" s="317"/>
      <c r="B381" s="314" t="s">
        <v>314</v>
      </c>
      <c r="C381" s="318">
        <v>240</v>
      </c>
      <c r="D381" s="310" t="s">
        <v>315</v>
      </c>
      <c r="E381" s="34">
        <v>15000</v>
      </c>
      <c r="F381" s="322">
        <f>E381*C381</f>
        <v>3600000</v>
      </c>
      <c r="G381" s="313"/>
    </row>
    <row r="382" spans="1:7" x14ac:dyDescent="0.25">
      <c r="A382" s="317"/>
      <c r="B382" s="314" t="s">
        <v>316</v>
      </c>
      <c r="C382" s="318">
        <v>36</v>
      </c>
      <c r="D382" s="310" t="s">
        <v>315</v>
      </c>
      <c r="E382" s="34">
        <v>15000</v>
      </c>
      <c r="F382" s="322">
        <f>E382*C382</f>
        <v>540000</v>
      </c>
      <c r="G382" s="313"/>
    </row>
    <row r="383" spans="1:7" x14ac:dyDescent="0.25">
      <c r="A383" s="317"/>
      <c r="B383" s="320"/>
      <c r="C383" s="318"/>
      <c r="D383" s="316"/>
      <c r="E383" s="34"/>
      <c r="F383" s="35"/>
      <c r="G383" s="313"/>
    </row>
    <row r="384" spans="1:7" ht="26.25" x14ac:dyDescent="0.25">
      <c r="A384" s="148" t="s">
        <v>317</v>
      </c>
      <c r="B384" s="314" t="s">
        <v>198</v>
      </c>
      <c r="C384" s="318"/>
      <c r="D384" s="316"/>
      <c r="E384" s="34"/>
      <c r="F384" s="35"/>
      <c r="G384" s="313"/>
    </row>
    <row r="385" spans="1:10" x14ac:dyDescent="0.25">
      <c r="A385" s="317"/>
      <c r="B385" s="317" t="s">
        <v>199</v>
      </c>
      <c r="C385" s="318">
        <v>9</v>
      </c>
      <c r="D385" s="316" t="s">
        <v>123</v>
      </c>
      <c r="E385" s="34">
        <v>750000</v>
      </c>
      <c r="F385" s="35">
        <f>E385*C385</f>
        <v>6750000</v>
      </c>
      <c r="G385" s="313"/>
    </row>
    <row r="386" spans="1:10" x14ac:dyDescent="0.25">
      <c r="A386" s="317"/>
      <c r="B386" s="308"/>
      <c r="C386" s="309"/>
      <c r="D386" s="310"/>
      <c r="E386" s="36"/>
      <c r="F386" s="37"/>
      <c r="G386" s="313"/>
    </row>
    <row r="387" spans="1:10" x14ac:dyDescent="0.25">
      <c r="A387" s="148" t="s">
        <v>318</v>
      </c>
      <c r="B387" s="308" t="s">
        <v>319</v>
      </c>
      <c r="C387" s="309"/>
      <c r="D387" s="310"/>
      <c r="E387" s="36"/>
      <c r="F387" s="37"/>
      <c r="G387" s="313"/>
    </row>
    <row r="388" spans="1:10" x14ac:dyDescent="0.25">
      <c r="A388" s="317"/>
      <c r="B388" s="308" t="s">
        <v>320</v>
      </c>
      <c r="C388" s="309">
        <v>12</v>
      </c>
      <c r="D388" s="310" t="s">
        <v>186</v>
      </c>
      <c r="E388" s="36">
        <v>50000</v>
      </c>
      <c r="F388" s="37">
        <f>E388*C388</f>
        <v>600000</v>
      </c>
      <c r="G388" s="313"/>
    </row>
    <row r="389" spans="1:10" x14ac:dyDescent="0.25">
      <c r="A389" s="317"/>
      <c r="B389" s="323" t="s">
        <v>321</v>
      </c>
      <c r="C389" s="324">
        <v>12</v>
      </c>
      <c r="D389" s="310" t="s">
        <v>186</v>
      </c>
      <c r="E389" s="38">
        <v>15000</v>
      </c>
      <c r="F389" s="325">
        <f>E389*C389</f>
        <v>180000</v>
      </c>
      <c r="G389" s="313"/>
    </row>
    <row r="390" spans="1:10" x14ac:dyDescent="0.25">
      <c r="A390" s="317"/>
      <c r="B390" s="1831" t="s">
        <v>27</v>
      </c>
      <c r="C390" s="1831"/>
      <c r="D390" s="1831"/>
      <c r="E390" s="1831"/>
      <c r="F390" s="322">
        <f>SUM(F374:F389)</f>
        <v>15999000</v>
      </c>
      <c r="G390" s="326" t="s">
        <v>1682</v>
      </c>
      <c r="J390" s="175">
        <f>F390</f>
        <v>15999000</v>
      </c>
    </row>
    <row r="392" spans="1:10" x14ac:dyDescent="0.25">
      <c r="A392" s="1807" t="s">
        <v>614</v>
      </c>
      <c r="B392" s="1807"/>
      <c r="C392" s="5" t="s">
        <v>28</v>
      </c>
      <c r="D392" s="1808" t="s">
        <v>1698</v>
      </c>
      <c r="E392" s="1808"/>
      <c r="F392" s="1808"/>
      <c r="G392" s="5"/>
    </row>
    <row r="393" spans="1:10" x14ac:dyDescent="0.25">
      <c r="A393" s="1807" t="s">
        <v>29</v>
      </c>
      <c r="B393" s="1807"/>
      <c r="C393" s="5"/>
      <c r="D393" s="1809" t="s">
        <v>2988</v>
      </c>
      <c r="E393" s="1809"/>
      <c r="F393" s="1809"/>
      <c r="G393" s="5"/>
    </row>
    <row r="394" spans="1:10" x14ac:dyDescent="0.25">
      <c r="A394" s="1"/>
      <c r="B394" s="3"/>
      <c r="C394" s="5"/>
      <c r="D394" s="7"/>
      <c r="E394" s="17"/>
      <c r="F394" s="17"/>
      <c r="G394" s="5"/>
    </row>
    <row r="395" spans="1:10" x14ac:dyDescent="0.25">
      <c r="A395" s="1"/>
      <c r="B395" s="3"/>
      <c r="C395" s="5"/>
      <c r="D395" s="7"/>
      <c r="E395" s="17"/>
      <c r="F395" s="17"/>
      <c r="G395" s="5"/>
    </row>
    <row r="396" spans="1:10" x14ac:dyDescent="0.25">
      <c r="A396" s="1807"/>
      <c r="B396" s="1807"/>
      <c r="C396" s="5"/>
      <c r="D396" s="7"/>
      <c r="E396" s="1807"/>
      <c r="F396" s="1807"/>
      <c r="G396" s="5"/>
    </row>
    <row r="397" spans="1:10" x14ac:dyDescent="0.25">
      <c r="A397" s="1807" t="s">
        <v>30</v>
      </c>
      <c r="B397" s="1807"/>
      <c r="C397" s="5"/>
      <c r="D397" s="1807" t="s">
        <v>2989</v>
      </c>
      <c r="E397" s="1807"/>
      <c r="F397" s="1807"/>
      <c r="G397" s="5"/>
    </row>
    <row r="400" spans="1:10" x14ac:dyDescent="0.25">
      <c r="A400" s="1800" t="s">
        <v>0</v>
      </c>
      <c r="B400" s="1800"/>
      <c r="C400" s="1800"/>
      <c r="D400" s="1800"/>
      <c r="E400" s="1800"/>
      <c r="F400" s="1800"/>
      <c r="G400" s="162"/>
    </row>
    <row r="401" spans="1:7" x14ac:dyDescent="0.25">
      <c r="A401" s="1800" t="s">
        <v>1</v>
      </c>
      <c r="B401" s="1800"/>
      <c r="C401" s="1800"/>
      <c r="D401" s="1800"/>
      <c r="E401" s="1800"/>
      <c r="F401" s="1800"/>
      <c r="G401" s="162"/>
    </row>
    <row r="402" spans="1:7" x14ac:dyDescent="0.25">
      <c r="A402" s="1800" t="s">
        <v>1697</v>
      </c>
      <c r="B402" s="1800"/>
      <c r="C402" s="1800"/>
      <c r="D402" s="1800"/>
      <c r="E402" s="1800"/>
      <c r="F402" s="1800"/>
      <c r="G402" s="162"/>
    </row>
    <row r="403" spans="1:7" x14ac:dyDescent="0.25">
      <c r="A403" s="138"/>
      <c r="B403" s="138"/>
      <c r="C403" s="5"/>
      <c r="D403" s="7"/>
      <c r="E403" s="8"/>
      <c r="F403" s="13"/>
      <c r="G403" s="5"/>
    </row>
    <row r="404" spans="1:7" x14ac:dyDescent="0.25">
      <c r="A404" s="1" t="s">
        <v>276</v>
      </c>
      <c r="B404" s="284" t="s">
        <v>3</v>
      </c>
      <c r="C404" s="284"/>
      <c r="D404" s="284"/>
      <c r="E404" s="23" t="s">
        <v>6</v>
      </c>
      <c r="F404" s="13"/>
      <c r="G404" s="5"/>
    </row>
    <row r="405" spans="1:7" ht="36" x14ac:dyDescent="0.25">
      <c r="A405" s="140" t="s">
        <v>277</v>
      </c>
      <c r="B405" s="284" t="s">
        <v>5</v>
      </c>
      <c r="C405" s="284"/>
      <c r="D405" s="284"/>
      <c r="E405" s="10" t="s">
        <v>9</v>
      </c>
      <c r="F405" s="15"/>
      <c r="G405" s="5"/>
    </row>
    <row r="406" spans="1:7" ht="24" x14ac:dyDescent="0.25">
      <c r="A406" s="140" t="s">
        <v>7</v>
      </c>
      <c r="B406" s="284" t="s">
        <v>322</v>
      </c>
      <c r="C406" s="284"/>
      <c r="D406" s="284"/>
      <c r="E406" s="8"/>
      <c r="F406" s="13"/>
      <c r="G406" s="5"/>
    </row>
    <row r="407" spans="1:7" x14ac:dyDescent="0.25">
      <c r="A407" s="298" t="s">
        <v>62</v>
      </c>
      <c r="B407" s="298" t="s">
        <v>63</v>
      </c>
      <c r="C407" s="298"/>
      <c r="D407" s="5"/>
      <c r="E407" s="5"/>
      <c r="F407" s="5"/>
    </row>
    <row r="408" spans="1:7" x14ac:dyDescent="0.25">
      <c r="A408" s="298" t="s">
        <v>64</v>
      </c>
      <c r="B408" s="298" t="s">
        <v>65</v>
      </c>
      <c r="C408" s="298"/>
      <c r="D408" s="1808"/>
      <c r="E408" s="1808"/>
      <c r="F408" s="5"/>
    </row>
    <row r="409" spans="1:7" x14ac:dyDescent="0.25">
      <c r="A409" s="3"/>
      <c r="B409" s="3"/>
      <c r="C409" s="3"/>
      <c r="D409" s="3"/>
      <c r="E409" s="3"/>
      <c r="F409" s="3"/>
    </row>
    <row r="410" spans="1:7" ht="24" x14ac:dyDescent="0.25">
      <c r="A410" s="144" t="s">
        <v>300</v>
      </c>
      <c r="B410" s="144" t="s">
        <v>12</v>
      </c>
      <c r="C410" s="1804" t="s">
        <v>13</v>
      </c>
      <c r="D410" s="1804"/>
      <c r="E410" s="11" t="s">
        <v>14</v>
      </c>
      <c r="F410" s="165" t="s">
        <v>15</v>
      </c>
      <c r="G410" s="267" t="s">
        <v>301</v>
      </c>
    </row>
    <row r="411" spans="1:7" x14ac:dyDescent="0.25">
      <c r="A411" s="144">
        <v>1</v>
      </c>
      <c r="B411" s="144">
        <v>2</v>
      </c>
      <c r="C411" s="1811">
        <v>3</v>
      </c>
      <c r="D411" s="1812"/>
      <c r="E411" s="33">
        <v>4</v>
      </c>
      <c r="F411" s="165">
        <v>5</v>
      </c>
      <c r="G411" s="268">
        <v>6</v>
      </c>
    </row>
    <row r="412" spans="1:7" x14ac:dyDescent="0.25">
      <c r="A412" s="148" t="s">
        <v>302</v>
      </c>
      <c r="B412" s="257" t="s">
        <v>323</v>
      </c>
      <c r="C412" s="165"/>
      <c r="D412" s="166"/>
      <c r="E412" s="33"/>
      <c r="F412" s="165"/>
      <c r="G412" s="327"/>
    </row>
    <row r="413" spans="1:7" x14ac:dyDescent="0.25">
      <c r="A413" s="148" t="s">
        <v>303</v>
      </c>
      <c r="B413" s="257" t="s">
        <v>88</v>
      </c>
      <c r="C413" s="167"/>
      <c r="D413" s="168"/>
      <c r="E413" s="146"/>
      <c r="F413" s="152"/>
      <c r="G413" s="256"/>
    </row>
    <row r="414" spans="1:7" ht="24" x14ac:dyDescent="0.25">
      <c r="A414" s="148" t="s">
        <v>303</v>
      </c>
      <c r="B414" s="257" t="s">
        <v>324</v>
      </c>
      <c r="C414" s="167"/>
      <c r="D414" s="203"/>
      <c r="E414" s="30"/>
      <c r="F414" s="27"/>
      <c r="G414" s="256"/>
    </row>
    <row r="415" spans="1:7" ht="24" x14ac:dyDescent="0.25">
      <c r="A415" s="148" t="s">
        <v>325</v>
      </c>
      <c r="B415" s="257" t="s">
        <v>326</v>
      </c>
      <c r="C415" s="167"/>
      <c r="D415" s="203"/>
      <c r="E415" s="30"/>
      <c r="F415" s="27"/>
      <c r="G415" s="256"/>
    </row>
    <row r="416" spans="1:7" x14ac:dyDescent="0.25">
      <c r="A416" s="148"/>
      <c r="B416" s="257" t="s">
        <v>327</v>
      </c>
      <c r="C416" s="167">
        <v>20000</v>
      </c>
      <c r="D416" s="203" t="s">
        <v>312</v>
      </c>
      <c r="E416" s="30">
        <v>250</v>
      </c>
      <c r="F416" s="27">
        <f>E416*C416</f>
        <v>5000000</v>
      </c>
      <c r="G416" s="16"/>
    </row>
    <row r="417" spans="1:11" x14ac:dyDescent="0.25">
      <c r="A417" s="148"/>
      <c r="B417" s="257" t="s">
        <v>328</v>
      </c>
      <c r="C417" s="167">
        <v>8</v>
      </c>
      <c r="D417" s="203" t="s">
        <v>123</v>
      </c>
      <c r="E417" s="30">
        <v>90000</v>
      </c>
      <c r="F417" s="27">
        <f>E417*C417</f>
        <v>720000</v>
      </c>
      <c r="G417" s="16"/>
    </row>
    <row r="418" spans="1:11" x14ac:dyDescent="0.25">
      <c r="A418" s="148"/>
      <c r="B418" s="257"/>
      <c r="C418" s="167"/>
      <c r="D418" s="203"/>
      <c r="E418" s="30"/>
      <c r="F418" s="27"/>
      <c r="G418" s="208"/>
    </row>
    <row r="419" spans="1:11" ht="36" x14ac:dyDescent="0.25">
      <c r="A419" s="148" t="s">
        <v>313</v>
      </c>
      <c r="B419" s="257" t="s">
        <v>329</v>
      </c>
      <c r="C419" s="167"/>
      <c r="D419" s="203"/>
      <c r="E419" s="30"/>
      <c r="F419" s="27"/>
      <c r="G419" s="256"/>
    </row>
    <row r="420" spans="1:11" x14ac:dyDescent="0.25">
      <c r="A420" s="148"/>
      <c r="B420" s="257" t="s">
        <v>330</v>
      </c>
      <c r="C420" s="167">
        <f>50*8</f>
        <v>400</v>
      </c>
      <c r="D420" s="203" t="s">
        <v>315</v>
      </c>
      <c r="E420" s="30">
        <v>15000</v>
      </c>
      <c r="F420" s="27">
        <f>E420*C420</f>
        <v>6000000</v>
      </c>
      <c r="G420" s="16"/>
    </row>
    <row r="421" spans="1:11" x14ac:dyDescent="0.25">
      <c r="A421" s="148"/>
      <c r="B421" s="257"/>
      <c r="C421" s="167"/>
      <c r="D421" s="203"/>
      <c r="E421" s="30"/>
      <c r="F421" s="27"/>
      <c r="G421" s="208"/>
    </row>
    <row r="422" spans="1:11" x14ac:dyDescent="0.25">
      <c r="A422" s="148" t="s">
        <v>318</v>
      </c>
      <c r="B422" s="257" t="s">
        <v>331</v>
      </c>
      <c r="C422" s="167"/>
      <c r="D422" s="203"/>
      <c r="E422" s="30"/>
      <c r="F422" s="27"/>
      <c r="G422" s="256"/>
    </row>
    <row r="423" spans="1:11" x14ac:dyDescent="0.25">
      <c r="A423" s="148"/>
      <c r="B423" s="257" t="s">
        <v>332</v>
      </c>
      <c r="C423" s="167">
        <v>8</v>
      </c>
      <c r="D423" s="203" t="s">
        <v>333</v>
      </c>
      <c r="E423" s="30">
        <v>50000</v>
      </c>
      <c r="F423" s="27">
        <f>E423*C423</f>
        <v>400000</v>
      </c>
      <c r="G423" s="16"/>
    </row>
    <row r="424" spans="1:11" x14ac:dyDescent="0.25">
      <c r="A424" s="148"/>
      <c r="B424" s="257" t="s">
        <v>334</v>
      </c>
      <c r="C424" s="167">
        <f>4*8</f>
        <v>32</v>
      </c>
      <c r="D424" s="203" t="s">
        <v>186</v>
      </c>
      <c r="E424" s="30">
        <v>5000</v>
      </c>
      <c r="F424" s="27">
        <f>E424*C424</f>
        <v>160000</v>
      </c>
      <c r="G424" s="16"/>
    </row>
    <row r="425" spans="1:11" x14ac:dyDescent="0.25">
      <c r="A425" s="148"/>
      <c r="B425" s="257" t="s">
        <v>321</v>
      </c>
      <c r="C425" s="167">
        <f>5*8</f>
        <v>40</v>
      </c>
      <c r="D425" s="203" t="s">
        <v>186</v>
      </c>
      <c r="E425" s="30">
        <v>1000</v>
      </c>
      <c r="F425" s="27">
        <f>E425*C425</f>
        <v>40000</v>
      </c>
      <c r="G425" s="16"/>
    </row>
    <row r="426" spans="1:11" x14ac:dyDescent="0.25">
      <c r="A426" s="148"/>
      <c r="B426" s="257" t="s">
        <v>335</v>
      </c>
      <c r="C426" s="167">
        <v>8</v>
      </c>
      <c r="D426" s="203" t="s">
        <v>336</v>
      </c>
      <c r="E426" s="30">
        <v>10000</v>
      </c>
      <c r="F426" s="27">
        <f>E426*C426</f>
        <v>80000</v>
      </c>
      <c r="G426" s="16"/>
    </row>
    <row r="427" spans="1:11" x14ac:dyDescent="0.25">
      <c r="A427" s="148"/>
      <c r="B427" s="257"/>
      <c r="C427" s="167"/>
      <c r="D427" s="168"/>
      <c r="E427" s="30"/>
      <c r="F427" s="27"/>
      <c r="G427" s="16"/>
    </row>
    <row r="428" spans="1:11" x14ac:dyDescent="0.25">
      <c r="A428" s="269"/>
      <c r="B428" s="4"/>
      <c r="C428" s="236"/>
      <c r="D428" s="168"/>
      <c r="E428" s="22"/>
      <c r="F428" s="31"/>
      <c r="G428" s="16"/>
    </row>
    <row r="429" spans="1:11" x14ac:dyDescent="0.25">
      <c r="A429" s="328"/>
      <c r="B429" s="1805" t="s">
        <v>27</v>
      </c>
      <c r="C429" s="1805"/>
      <c r="D429" s="1805"/>
      <c r="E429" s="1806"/>
      <c r="F429" s="12">
        <f>SUM(F415:F426)</f>
        <v>12400000</v>
      </c>
      <c r="G429" s="4" t="s">
        <v>2620</v>
      </c>
      <c r="K429" s="286">
        <f>F429</f>
        <v>12400000</v>
      </c>
    </row>
    <row r="431" spans="1:11" x14ac:dyDescent="0.25">
      <c r="A431" s="1807" t="s">
        <v>614</v>
      </c>
      <c r="B431" s="1807"/>
      <c r="C431" s="5" t="s">
        <v>28</v>
      </c>
      <c r="D431" s="1808" t="s">
        <v>1698</v>
      </c>
      <c r="E431" s="1808"/>
      <c r="F431" s="1808"/>
      <c r="G431" s="5"/>
    </row>
    <row r="432" spans="1:11" x14ac:dyDescent="0.25">
      <c r="A432" s="1807" t="s">
        <v>29</v>
      </c>
      <c r="B432" s="1807"/>
      <c r="C432" s="5"/>
      <c r="D432" s="1809" t="s">
        <v>2988</v>
      </c>
      <c r="E432" s="1809"/>
      <c r="F432" s="1809"/>
      <c r="G432" s="5"/>
    </row>
    <row r="433" spans="1:25" x14ac:dyDescent="0.25">
      <c r="A433" s="1"/>
      <c r="B433" s="3"/>
      <c r="C433" s="5"/>
      <c r="D433" s="7"/>
      <c r="E433" s="17"/>
      <c r="F433" s="17"/>
      <c r="G433" s="5"/>
    </row>
    <row r="434" spans="1:25" x14ac:dyDescent="0.25">
      <c r="A434" s="1"/>
      <c r="B434" s="3"/>
      <c r="C434" s="5"/>
      <c r="D434" s="7"/>
      <c r="E434" s="17"/>
      <c r="F434" s="17"/>
      <c r="G434" s="5"/>
    </row>
    <row r="435" spans="1:25" x14ac:dyDescent="0.25">
      <c r="A435" s="1807"/>
      <c r="B435" s="1807"/>
      <c r="C435" s="5"/>
      <c r="D435" s="7"/>
      <c r="E435" s="1807"/>
      <c r="F435" s="1807"/>
      <c r="G435" s="5"/>
    </row>
    <row r="436" spans="1:25" x14ac:dyDescent="0.25">
      <c r="A436" s="1807" t="s">
        <v>30</v>
      </c>
      <c r="B436" s="1807"/>
      <c r="C436" s="5"/>
      <c r="D436" s="1807" t="s">
        <v>2989</v>
      </c>
      <c r="E436" s="1807"/>
      <c r="F436" s="1807"/>
      <c r="G436" s="5"/>
    </row>
    <row r="438" spans="1:25" s="240" customFormat="1" x14ac:dyDescent="0.25">
      <c r="A438" s="1865" t="s">
        <v>0</v>
      </c>
      <c r="B438" s="1865"/>
      <c r="C438" s="1865"/>
      <c r="D438" s="1865"/>
      <c r="E438" s="1865"/>
      <c r="F438" s="1865"/>
      <c r="G438" s="863"/>
      <c r="I438" s="943"/>
      <c r="J438" s="943"/>
      <c r="K438" s="943"/>
      <c r="L438" s="943"/>
      <c r="M438" s="943"/>
      <c r="N438" s="943"/>
      <c r="O438" s="943"/>
      <c r="P438" s="943"/>
      <c r="Q438" s="943"/>
      <c r="R438" s="943"/>
      <c r="S438" s="943"/>
      <c r="T438" s="943"/>
      <c r="U438" s="943"/>
      <c r="V438" s="943"/>
      <c r="W438" s="943"/>
      <c r="X438" s="943"/>
      <c r="Y438" s="943"/>
    </row>
    <row r="439" spans="1:25" s="240" customFormat="1" x14ac:dyDescent="0.25">
      <c r="A439" s="1865" t="s">
        <v>1</v>
      </c>
      <c r="B439" s="1865"/>
      <c r="C439" s="1865"/>
      <c r="D439" s="1865"/>
      <c r="E439" s="1865"/>
      <c r="F439" s="1865"/>
      <c r="G439" s="863"/>
      <c r="I439" s="943"/>
      <c r="J439" s="943"/>
      <c r="K439" s="943"/>
      <c r="L439" s="943"/>
      <c r="M439" s="943"/>
      <c r="N439" s="943"/>
      <c r="O439" s="943"/>
      <c r="P439" s="943"/>
      <c r="Q439" s="943"/>
      <c r="R439" s="943"/>
      <c r="S439" s="943"/>
      <c r="T439" s="943"/>
      <c r="U439" s="943"/>
      <c r="V439" s="943"/>
      <c r="W439" s="943"/>
      <c r="X439" s="943"/>
      <c r="Y439" s="943"/>
    </row>
    <row r="440" spans="1:25" s="240" customFormat="1" x14ac:dyDescent="0.25">
      <c r="A440" s="1865" t="s">
        <v>1697</v>
      </c>
      <c r="B440" s="1865"/>
      <c r="C440" s="1865"/>
      <c r="D440" s="1865"/>
      <c r="E440" s="1865"/>
      <c r="F440" s="1865"/>
      <c r="G440" s="863"/>
      <c r="I440" s="943"/>
      <c r="J440" s="943"/>
      <c r="K440" s="943"/>
      <c r="L440" s="943"/>
      <c r="M440" s="943"/>
      <c r="N440" s="943"/>
      <c r="O440" s="943"/>
      <c r="P440" s="943"/>
      <c r="Q440" s="943"/>
      <c r="R440" s="943"/>
      <c r="S440" s="943"/>
      <c r="T440" s="943"/>
      <c r="U440" s="943"/>
      <c r="V440" s="943"/>
      <c r="W440" s="943"/>
      <c r="X440" s="943"/>
      <c r="Y440" s="943"/>
    </row>
    <row r="441" spans="1:25" s="240" customFormat="1" x14ac:dyDescent="0.25">
      <c r="A441" s="597"/>
      <c r="B441" s="597"/>
      <c r="C441" s="280"/>
      <c r="D441" s="274"/>
      <c r="E441" s="633"/>
      <c r="F441" s="19"/>
      <c r="G441" s="280"/>
      <c r="I441" s="943"/>
      <c r="J441" s="943"/>
      <c r="K441" s="943"/>
      <c r="L441" s="943"/>
      <c r="M441" s="943"/>
      <c r="N441" s="943"/>
      <c r="O441" s="943"/>
      <c r="P441" s="943"/>
      <c r="Q441" s="943"/>
      <c r="R441" s="943"/>
      <c r="S441" s="943"/>
      <c r="T441" s="943"/>
      <c r="U441" s="943"/>
      <c r="V441" s="943"/>
      <c r="W441" s="943"/>
      <c r="X441" s="943"/>
      <c r="Y441" s="943"/>
    </row>
    <row r="442" spans="1:25" s="240" customFormat="1" ht="30" x14ac:dyDescent="0.25">
      <c r="A442" s="372" t="s">
        <v>276</v>
      </c>
      <c r="B442" s="371" t="s">
        <v>3</v>
      </c>
      <c r="C442" s="371"/>
      <c r="D442" s="371"/>
      <c r="E442" s="632" t="s">
        <v>6</v>
      </c>
      <c r="F442" s="19"/>
      <c r="G442" s="280"/>
      <c r="I442" s="943"/>
      <c r="J442" s="943"/>
      <c r="K442" s="943"/>
      <c r="L442" s="943"/>
      <c r="M442" s="943"/>
      <c r="N442" s="943"/>
      <c r="O442" s="943"/>
      <c r="P442" s="943"/>
      <c r="Q442" s="943"/>
      <c r="R442" s="943"/>
      <c r="S442" s="943"/>
      <c r="T442" s="943"/>
      <c r="U442" s="943"/>
      <c r="V442" s="943"/>
      <c r="W442" s="943"/>
      <c r="X442" s="943"/>
      <c r="Y442" s="943"/>
    </row>
    <row r="443" spans="1:25" s="240" customFormat="1" ht="45" x14ac:dyDescent="0.25">
      <c r="A443" s="370" t="s">
        <v>277</v>
      </c>
      <c r="B443" s="371" t="s">
        <v>2135</v>
      </c>
      <c r="C443" s="371"/>
      <c r="D443" s="371"/>
      <c r="E443" s="989" t="s">
        <v>9</v>
      </c>
      <c r="F443" s="990"/>
      <c r="G443" s="280"/>
      <c r="I443" s="943"/>
      <c r="J443" s="943"/>
      <c r="K443" s="943"/>
      <c r="L443" s="943"/>
      <c r="M443" s="943"/>
      <c r="N443" s="943"/>
      <c r="O443" s="943"/>
      <c r="P443" s="943"/>
      <c r="Q443" s="943"/>
      <c r="R443" s="943"/>
      <c r="S443" s="943"/>
      <c r="T443" s="943"/>
      <c r="U443" s="943"/>
      <c r="V443" s="943"/>
      <c r="W443" s="943"/>
      <c r="X443" s="943"/>
      <c r="Y443" s="943"/>
    </row>
    <row r="444" spans="1:25" s="240" customFormat="1" ht="30" x14ac:dyDescent="0.25">
      <c r="A444" s="370" t="s">
        <v>7</v>
      </c>
      <c r="B444" s="371" t="s">
        <v>2136</v>
      </c>
      <c r="C444" s="371"/>
      <c r="D444" s="371"/>
      <c r="E444" s="633"/>
      <c r="F444" s="19"/>
      <c r="G444" s="280"/>
      <c r="I444" s="943"/>
      <c r="J444" s="943"/>
      <c r="K444" s="943"/>
      <c r="L444" s="943"/>
      <c r="M444" s="943"/>
      <c r="N444" s="943"/>
      <c r="O444" s="943"/>
      <c r="P444" s="943"/>
      <c r="Q444" s="943"/>
      <c r="R444" s="943"/>
      <c r="S444" s="943"/>
      <c r="T444" s="943"/>
      <c r="U444" s="943"/>
      <c r="V444" s="943"/>
      <c r="W444" s="943"/>
      <c r="X444" s="943"/>
      <c r="Y444" s="943"/>
    </row>
    <row r="445" spans="1:25" s="240" customFormat="1" x14ac:dyDescent="0.25">
      <c r="A445" s="280" t="s">
        <v>62</v>
      </c>
      <c r="B445" s="280" t="s">
        <v>63</v>
      </c>
      <c r="C445" s="280"/>
      <c r="D445" s="280"/>
      <c r="E445" s="280"/>
      <c r="F445" s="280"/>
      <c r="I445" s="943"/>
      <c r="J445" s="943"/>
      <c r="K445" s="943"/>
      <c r="L445" s="943"/>
      <c r="M445" s="943"/>
      <c r="N445" s="943"/>
      <c r="O445" s="943"/>
      <c r="P445" s="943"/>
      <c r="Q445" s="943"/>
      <c r="R445" s="943"/>
      <c r="S445" s="943"/>
      <c r="T445" s="943"/>
      <c r="U445" s="943"/>
      <c r="V445" s="943"/>
      <c r="W445" s="943"/>
      <c r="X445" s="943"/>
      <c r="Y445" s="943"/>
    </row>
    <row r="446" spans="1:25" s="240" customFormat="1" x14ac:dyDescent="0.25">
      <c r="A446" s="280" t="s">
        <v>64</v>
      </c>
      <c r="B446" s="280" t="s">
        <v>65</v>
      </c>
      <c r="C446" s="280"/>
      <c r="D446" s="1817"/>
      <c r="E446" s="1817"/>
      <c r="F446" s="280"/>
      <c r="I446" s="943"/>
      <c r="J446" s="943"/>
      <c r="K446" s="943"/>
      <c r="L446" s="943"/>
      <c r="M446" s="943"/>
      <c r="N446" s="943"/>
      <c r="O446" s="943"/>
      <c r="P446" s="943"/>
      <c r="Q446" s="943"/>
      <c r="R446" s="943"/>
      <c r="S446" s="943"/>
      <c r="T446" s="943"/>
      <c r="U446" s="943"/>
      <c r="V446" s="943"/>
      <c r="W446" s="943"/>
      <c r="X446" s="943"/>
      <c r="Y446" s="943"/>
    </row>
    <row r="447" spans="1:25" s="240" customFormat="1" x14ac:dyDescent="0.25">
      <c r="A447" s="279"/>
      <c r="B447" s="279"/>
      <c r="C447" s="279"/>
      <c r="D447" s="279"/>
      <c r="E447" s="279"/>
      <c r="F447" s="279"/>
      <c r="I447" s="943"/>
      <c r="J447" s="943"/>
      <c r="K447" s="943"/>
      <c r="L447" s="943"/>
      <c r="M447" s="943"/>
      <c r="N447" s="943"/>
      <c r="O447" s="943"/>
      <c r="P447" s="943"/>
      <c r="Q447" s="943"/>
      <c r="R447" s="943"/>
      <c r="S447" s="943"/>
      <c r="T447" s="943"/>
      <c r="U447" s="943"/>
      <c r="V447" s="943"/>
      <c r="W447" s="943"/>
      <c r="X447" s="943"/>
      <c r="Y447" s="943"/>
    </row>
    <row r="448" spans="1:25" s="240" customFormat="1" ht="30" x14ac:dyDescent="0.25">
      <c r="A448" s="601" t="s">
        <v>300</v>
      </c>
      <c r="B448" s="601" t="s">
        <v>12</v>
      </c>
      <c r="C448" s="1866" t="s">
        <v>13</v>
      </c>
      <c r="D448" s="1866"/>
      <c r="E448" s="602" t="s">
        <v>14</v>
      </c>
      <c r="F448" s="691" t="s">
        <v>15</v>
      </c>
      <c r="G448" s="365" t="s">
        <v>301</v>
      </c>
      <c r="I448" s="943"/>
      <c r="J448" s="943"/>
      <c r="K448" s="943"/>
      <c r="L448" s="943"/>
      <c r="M448" s="943"/>
      <c r="N448" s="943"/>
      <c r="O448" s="943"/>
      <c r="P448" s="943"/>
      <c r="Q448" s="943"/>
      <c r="R448" s="943"/>
      <c r="S448" s="943"/>
      <c r="T448" s="943"/>
      <c r="U448" s="943"/>
      <c r="V448" s="943"/>
      <c r="W448" s="943"/>
      <c r="X448" s="943"/>
      <c r="Y448" s="943"/>
    </row>
    <row r="449" spans="1:25" s="240" customFormat="1" x14ac:dyDescent="0.25">
      <c r="A449" s="601">
        <v>1</v>
      </c>
      <c r="B449" s="601">
        <v>2</v>
      </c>
      <c r="C449" s="1818">
        <v>3</v>
      </c>
      <c r="D449" s="1819"/>
      <c r="E449" s="991">
        <v>4</v>
      </c>
      <c r="F449" s="691">
        <v>5</v>
      </c>
      <c r="G449" s="346">
        <v>6</v>
      </c>
      <c r="I449" s="943"/>
      <c r="J449" s="943"/>
      <c r="K449" s="943"/>
      <c r="L449" s="943"/>
      <c r="M449" s="943"/>
      <c r="N449" s="943"/>
      <c r="O449" s="943"/>
      <c r="P449" s="943"/>
      <c r="Q449" s="943"/>
      <c r="R449" s="943"/>
      <c r="S449" s="943"/>
      <c r="T449" s="943"/>
      <c r="U449" s="943"/>
      <c r="V449" s="943"/>
      <c r="W449" s="943"/>
      <c r="X449" s="943"/>
      <c r="Y449" s="943"/>
    </row>
    <row r="450" spans="1:25" s="240" customFormat="1" x14ac:dyDescent="0.25">
      <c r="A450" s="992" t="s">
        <v>302</v>
      </c>
      <c r="B450" s="639" t="s">
        <v>323</v>
      </c>
      <c r="C450" s="691"/>
      <c r="D450" s="692"/>
      <c r="E450" s="991"/>
      <c r="F450" s="691"/>
      <c r="G450" s="993"/>
      <c r="I450" s="943"/>
      <c r="J450" s="943"/>
      <c r="K450" s="943"/>
      <c r="L450" s="943"/>
      <c r="M450" s="943"/>
      <c r="N450" s="943"/>
      <c r="O450" s="943"/>
      <c r="P450" s="943"/>
      <c r="Q450" s="943"/>
      <c r="R450" s="943"/>
      <c r="S450" s="943"/>
      <c r="T450" s="943"/>
      <c r="U450" s="943"/>
      <c r="V450" s="943"/>
      <c r="W450" s="943"/>
      <c r="X450" s="943"/>
      <c r="Y450" s="943"/>
    </row>
    <row r="451" spans="1:25" s="240" customFormat="1" x14ac:dyDescent="0.25">
      <c r="A451" s="992" t="s">
        <v>303</v>
      </c>
      <c r="B451" s="639" t="s">
        <v>88</v>
      </c>
      <c r="C451" s="605"/>
      <c r="D451" s="606"/>
      <c r="E451" s="604"/>
      <c r="F451" s="890"/>
      <c r="G451" s="875"/>
      <c r="I451" s="943"/>
      <c r="J451" s="943"/>
      <c r="K451" s="943"/>
      <c r="L451" s="943"/>
      <c r="M451" s="943"/>
      <c r="N451" s="943"/>
      <c r="O451" s="943"/>
      <c r="P451" s="943"/>
      <c r="Q451" s="943"/>
      <c r="R451" s="943"/>
      <c r="S451" s="943"/>
      <c r="T451" s="943"/>
      <c r="U451" s="943"/>
      <c r="V451" s="943"/>
      <c r="W451" s="943"/>
      <c r="X451" s="943"/>
      <c r="Y451" s="943"/>
    </row>
    <row r="452" spans="1:25" s="240" customFormat="1" ht="45" x14ac:dyDescent="0.25">
      <c r="A452" s="992" t="s">
        <v>325</v>
      </c>
      <c r="B452" s="639" t="s">
        <v>326</v>
      </c>
      <c r="C452" s="605"/>
      <c r="D452" s="994"/>
      <c r="E452" s="995"/>
      <c r="F452" s="948"/>
      <c r="G452" s="875"/>
      <c r="I452" s="943"/>
      <c r="J452" s="943"/>
      <c r="K452" s="943"/>
      <c r="L452" s="943"/>
      <c r="M452" s="943"/>
      <c r="N452" s="943"/>
      <c r="O452" s="943"/>
      <c r="P452" s="943"/>
      <c r="Q452" s="943"/>
      <c r="R452" s="943"/>
      <c r="S452" s="943"/>
      <c r="T452" s="943"/>
      <c r="U452" s="943"/>
      <c r="V452" s="943"/>
      <c r="W452" s="943"/>
      <c r="X452" s="943"/>
      <c r="Y452" s="943"/>
    </row>
    <row r="453" spans="1:25" s="240" customFormat="1" x14ac:dyDescent="0.25">
      <c r="A453" s="992"/>
      <c r="B453" s="639" t="s">
        <v>328</v>
      </c>
      <c r="C453" s="605">
        <v>4</v>
      </c>
      <c r="D453" s="994" t="s">
        <v>123</v>
      </c>
      <c r="E453" s="995">
        <v>90000</v>
      </c>
      <c r="F453" s="948">
        <f>E453*C453</f>
        <v>360000</v>
      </c>
      <c r="G453" s="624"/>
      <c r="I453" s="943"/>
      <c r="J453" s="943"/>
      <c r="K453" s="943"/>
      <c r="L453" s="943"/>
      <c r="M453" s="943"/>
      <c r="N453" s="943"/>
      <c r="O453" s="943"/>
      <c r="P453" s="943"/>
      <c r="Q453" s="943"/>
      <c r="R453" s="943"/>
      <c r="S453" s="943"/>
      <c r="T453" s="943"/>
      <c r="U453" s="943"/>
      <c r="V453" s="943"/>
      <c r="W453" s="943"/>
      <c r="X453" s="943"/>
      <c r="Y453" s="943"/>
    </row>
    <row r="454" spans="1:25" s="240" customFormat="1" x14ac:dyDescent="0.25">
      <c r="A454" s="992"/>
      <c r="B454" s="639"/>
      <c r="C454" s="605"/>
      <c r="D454" s="994"/>
      <c r="E454" s="995"/>
      <c r="F454" s="948"/>
      <c r="G454" s="996"/>
      <c r="I454" s="943"/>
      <c r="J454" s="943"/>
      <c r="K454" s="943"/>
      <c r="L454" s="943"/>
      <c r="M454" s="943"/>
      <c r="N454" s="943"/>
      <c r="O454" s="943"/>
      <c r="P454" s="943"/>
      <c r="Q454" s="943"/>
      <c r="R454" s="943"/>
      <c r="S454" s="943"/>
      <c r="T454" s="943"/>
      <c r="U454" s="943"/>
      <c r="V454" s="943"/>
      <c r="W454" s="943"/>
      <c r="X454" s="943"/>
      <c r="Y454" s="943"/>
    </row>
    <row r="455" spans="1:25" s="240" customFormat="1" ht="45" x14ac:dyDescent="0.25">
      <c r="A455" s="992" t="s">
        <v>313</v>
      </c>
      <c r="B455" s="639" t="s">
        <v>329</v>
      </c>
      <c r="C455" s="605"/>
      <c r="D455" s="994"/>
      <c r="E455" s="995"/>
      <c r="F455" s="948"/>
      <c r="G455" s="875"/>
      <c r="I455" s="943"/>
      <c r="J455" s="943"/>
      <c r="K455" s="943"/>
      <c r="L455" s="943"/>
      <c r="M455" s="943"/>
      <c r="N455" s="943"/>
      <c r="O455" s="943"/>
      <c r="P455" s="943"/>
      <c r="Q455" s="943"/>
      <c r="R455" s="943"/>
      <c r="S455" s="943"/>
      <c r="T455" s="943"/>
      <c r="U455" s="943"/>
      <c r="V455" s="943"/>
      <c r="W455" s="943"/>
      <c r="X455" s="943"/>
      <c r="Y455" s="943"/>
    </row>
    <row r="456" spans="1:25" s="240" customFormat="1" x14ac:dyDescent="0.25">
      <c r="A456" s="992"/>
      <c r="B456" s="639" t="s">
        <v>2137</v>
      </c>
      <c r="C456" s="605">
        <f>50*8</f>
        <v>400</v>
      </c>
      <c r="D456" s="994" t="s">
        <v>315</v>
      </c>
      <c r="E456" s="995">
        <v>15000</v>
      </c>
      <c r="F456" s="948">
        <f>E456*C456</f>
        <v>6000000</v>
      </c>
      <c r="G456" s="624"/>
      <c r="I456" s="943"/>
      <c r="J456" s="943"/>
      <c r="K456" s="943"/>
      <c r="L456" s="943"/>
      <c r="M456" s="943"/>
      <c r="N456" s="943"/>
      <c r="O456" s="943"/>
      <c r="P456" s="943"/>
      <c r="Q456" s="943"/>
      <c r="R456" s="943"/>
      <c r="S456" s="943"/>
      <c r="T456" s="943"/>
      <c r="U456" s="943"/>
      <c r="V456" s="943"/>
      <c r="W456" s="943"/>
      <c r="X456" s="943"/>
      <c r="Y456" s="943"/>
    </row>
    <row r="457" spans="1:25" s="240" customFormat="1" x14ac:dyDescent="0.25">
      <c r="A457" s="992"/>
      <c r="B457" s="639"/>
      <c r="C457" s="605"/>
      <c r="D457" s="994"/>
      <c r="E457" s="995"/>
      <c r="F457" s="948"/>
      <c r="G457" s="996"/>
      <c r="I457" s="943"/>
      <c r="J457" s="943"/>
      <c r="K457" s="943"/>
      <c r="L457" s="943"/>
      <c r="M457" s="943"/>
      <c r="N457" s="943"/>
      <c r="O457" s="943"/>
      <c r="P457" s="943"/>
      <c r="Q457" s="943"/>
      <c r="R457" s="943"/>
      <c r="S457" s="943"/>
      <c r="T457" s="943"/>
      <c r="U457" s="943"/>
      <c r="V457" s="943"/>
      <c r="W457" s="943"/>
      <c r="X457" s="943"/>
      <c r="Y457" s="943"/>
    </row>
    <row r="458" spans="1:25" s="240" customFormat="1" ht="30" x14ac:dyDescent="0.25">
      <c r="A458" s="992" t="s">
        <v>318</v>
      </c>
      <c r="B458" s="639" t="s">
        <v>331</v>
      </c>
      <c r="C458" s="605"/>
      <c r="D458" s="994"/>
      <c r="E458" s="995"/>
      <c r="F458" s="948"/>
      <c r="G458" s="875"/>
      <c r="I458" s="943"/>
      <c r="J458" s="943"/>
      <c r="K458" s="943"/>
      <c r="L458" s="943"/>
      <c r="M458" s="943"/>
      <c r="N458" s="943"/>
      <c r="O458" s="943"/>
      <c r="P458" s="943"/>
      <c r="Q458" s="943"/>
      <c r="R458" s="943"/>
      <c r="S458" s="943"/>
      <c r="T458" s="943"/>
      <c r="U458" s="943"/>
      <c r="V458" s="943"/>
      <c r="W458" s="943"/>
      <c r="X458" s="943"/>
      <c r="Y458" s="943"/>
    </row>
    <row r="459" spans="1:25" s="240" customFormat="1" x14ac:dyDescent="0.25">
      <c r="A459" s="992"/>
      <c r="B459" s="639" t="s">
        <v>332</v>
      </c>
      <c r="C459" s="605">
        <v>4</v>
      </c>
      <c r="D459" s="994" t="s">
        <v>333</v>
      </c>
      <c r="E459" s="995">
        <v>50000</v>
      </c>
      <c r="F459" s="948">
        <f>E459*C459</f>
        <v>200000</v>
      </c>
      <c r="G459" s="624"/>
      <c r="I459" s="943"/>
      <c r="J459" s="943"/>
      <c r="K459" s="943"/>
      <c r="L459" s="943"/>
      <c r="M459" s="943"/>
      <c r="N459" s="943"/>
      <c r="O459" s="943"/>
      <c r="P459" s="943"/>
      <c r="Q459" s="943"/>
      <c r="R459" s="943"/>
      <c r="S459" s="943"/>
      <c r="T459" s="943"/>
      <c r="U459" s="943"/>
      <c r="V459" s="943"/>
      <c r="W459" s="943"/>
      <c r="X459" s="943"/>
      <c r="Y459" s="943"/>
    </row>
    <row r="460" spans="1:25" s="240" customFormat="1" x14ac:dyDescent="0.25">
      <c r="A460" s="992"/>
      <c r="B460" s="639" t="s">
        <v>334</v>
      </c>
      <c r="C460" s="605">
        <v>16</v>
      </c>
      <c r="D460" s="994" t="s">
        <v>186</v>
      </c>
      <c r="E460" s="995">
        <v>5000</v>
      </c>
      <c r="F460" s="948">
        <f>E460*C460</f>
        <v>80000</v>
      </c>
      <c r="G460" s="624"/>
      <c r="I460" s="943"/>
      <c r="J460" s="943"/>
      <c r="K460" s="943"/>
      <c r="L460" s="943"/>
      <c r="M460" s="943"/>
      <c r="N460" s="943"/>
      <c r="O460" s="943"/>
      <c r="P460" s="943"/>
      <c r="Q460" s="943"/>
      <c r="R460" s="943"/>
      <c r="S460" s="943"/>
      <c r="T460" s="943"/>
      <c r="U460" s="943"/>
      <c r="V460" s="943"/>
      <c r="W460" s="943"/>
      <c r="X460" s="943"/>
      <c r="Y460" s="943"/>
    </row>
    <row r="461" spans="1:25" s="240" customFormat="1" x14ac:dyDescent="0.25">
      <c r="A461" s="992"/>
      <c r="B461" s="639" t="s">
        <v>321</v>
      </c>
      <c r="C461" s="605">
        <v>5</v>
      </c>
      <c r="D461" s="994" t="s">
        <v>186</v>
      </c>
      <c r="E461" s="995">
        <v>1000</v>
      </c>
      <c r="F461" s="948">
        <f>E461*C461</f>
        <v>5000</v>
      </c>
      <c r="G461" s="624"/>
      <c r="I461" s="943"/>
      <c r="J461" s="943"/>
      <c r="K461" s="943"/>
      <c r="L461" s="943"/>
      <c r="M461" s="943"/>
      <c r="N461" s="943"/>
      <c r="O461" s="943"/>
      <c r="P461" s="943"/>
      <c r="Q461" s="943"/>
      <c r="R461" s="943"/>
      <c r="S461" s="943"/>
      <c r="T461" s="943"/>
      <c r="U461" s="943"/>
      <c r="V461" s="943"/>
      <c r="W461" s="943"/>
      <c r="X461" s="943"/>
      <c r="Y461" s="943"/>
    </row>
    <row r="462" spans="1:25" s="240" customFormat="1" x14ac:dyDescent="0.25">
      <c r="A462" s="992"/>
      <c r="B462" s="639" t="s">
        <v>335</v>
      </c>
      <c r="C462" s="605">
        <v>4</v>
      </c>
      <c r="D462" s="994" t="s">
        <v>336</v>
      </c>
      <c r="E462" s="995">
        <v>10000</v>
      </c>
      <c r="F462" s="948">
        <f>E462*C462</f>
        <v>40000</v>
      </c>
      <c r="G462" s="624"/>
      <c r="I462" s="943"/>
      <c r="J462" s="943"/>
      <c r="K462" s="943"/>
      <c r="L462" s="943"/>
      <c r="M462" s="943"/>
      <c r="N462" s="943"/>
      <c r="O462" s="943"/>
      <c r="P462" s="943"/>
      <c r="Q462" s="943"/>
      <c r="R462" s="943"/>
      <c r="S462" s="943"/>
      <c r="T462" s="943"/>
      <c r="U462" s="943"/>
      <c r="V462" s="943"/>
      <c r="W462" s="943"/>
      <c r="X462" s="943"/>
      <c r="Y462" s="943"/>
    </row>
    <row r="463" spans="1:25" s="240" customFormat="1" x14ac:dyDescent="0.25">
      <c r="A463" s="992"/>
      <c r="B463" s="639"/>
      <c r="C463" s="605"/>
      <c r="D463" s="606"/>
      <c r="E463" s="995"/>
      <c r="F463" s="948"/>
      <c r="G463" s="624"/>
      <c r="I463" s="943"/>
      <c r="J463" s="943"/>
      <c r="K463" s="943"/>
      <c r="L463" s="943"/>
      <c r="M463" s="943"/>
      <c r="N463" s="943"/>
      <c r="O463" s="943"/>
      <c r="P463" s="943"/>
      <c r="Q463" s="943"/>
      <c r="R463" s="943"/>
      <c r="S463" s="943"/>
      <c r="T463" s="943"/>
      <c r="U463" s="943"/>
      <c r="V463" s="943"/>
      <c r="W463" s="943"/>
      <c r="X463" s="943"/>
      <c r="Y463" s="943"/>
    </row>
    <row r="464" spans="1:25" s="240" customFormat="1" x14ac:dyDescent="0.25">
      <c r="A464" s="700"/>
      <c r="B464" s="618"/>
      <c r="C464" s="997"/>
      <c r="D464" s="606"/>
      <c r="E464" s="962"/>
      <c r="F464" s="969"/>
      <c r="G464" s="624"/>
      <c r="I464" s="943"/>
      <c r="J464" s="943"/>
      <c r="K464" s="943"/>
      <c r="L464" s="943"/>
      <c r="M464" s="943"/>
      <c r="N464" s="943"/>
      <c r="O464" s="943"/>
      <c r="P464" s="943"/>
      <c r="Q464" s="943"/>
      <c r="R464" s="943"/>
      <c r="S464" s="943"/>
      <c r="T464" s="943"/>
      <c r="U464" s="943"/>
      <c r="V464" s="943"/>
      <c r="W464" s="943"/>
      <c r="X464" s="943"/>
      <c r="Y464" s="943"/>
    </row>
    <row r="465" spans="1:25" s="240" customFormat="1" x14ac:dyDescent="0.25">
      <c r="A465" s="998"/>
      <c r="B465" s="1867" t="s">
        <v>27</v>
      </c>
      <c r="C465" s="1867"/>
      <c r="D465" s="1867"/>
      <c r="E465" s="1868"/>
      <c r="F465" s="638">
        <f>SUM(F452:F462)</f>
        <v>6685000</v>
      </c>
      <c r="G465" s="618" t="s">
        <v>1682</v>
      </c>
      <c r="I465" s="943"/>
      <c r="J465" s="943">
        <f>F465</f>
        <v>6685000</v>
      </c>
      <c r="K465" s="943"/>
      <c r="L465" s="943"/>
      <c r="M465" s="943"/>
      <c r="N465" s="943"/>
      <c r="O465" s="943"/>
      <c r="P465" s="943"/>
      <c r="Q465" s="943"/>
      <c r="R465" s="943"/>
      <c r="S465" s="943"/>
      <c r="T465" s="943"/>
      <c r="U465" s="943"/>
      <c r="V465" s="943"/>
      <c r="W465" s="943"/>
      <c r="X465" s="943"/>
      <c r="Y465" s="943"/>
    </row>
    <row r="466" spans="1:25" x14ac:dyDescent="0.25">
      <c r="A466" s="1807" t="s">
        <v>614</v>
      </c>
      <c r="B466" s="1807"/>
      <c r="C466" s="5" t="s">
        <v>28</v>
      </c>
      <c r="D466" s="1808" t="s">
        <v>1698</v>
      </c>
      <c r="E466" s="1808"/>
      <c r="F466" s="1808"/>
      <c r="G466" s="5"/>
    </row>
    <row r="467" spans="1:25" x14ac:dyDescent="0.25">
      <c r="A467" s="1807" t="s">
        <v>29</v>
      </c>
      <c r="B467" s="1807"/>
      <c r="C467" s="5"/>
      <c r="D467" s="1809" t="s">
        <v>2988</v>
      </c>
      <c r="E467" s="1809"/>
      <c r="F467" s="1809"/>
      <c r="G467" s="5"/>
    </row>
    <row r="468" spans="1:25" x14ac:dyDescent="0.25">
      <c r="A468" s="1"/>
      <c r="B468" s="3"/>
      <c r="C468" s="5"/>
      <c r="D468" s="7"/>
      <c r="E468" s="17"/>
      <c r="F468" s="17"/>
      <c r="G468" s="5"/>
    </row>
    <row r="469" spans="1:25" x14ac:dyDescent="0.25">
      <c r="A469" s="1"/>
      <c r="B469" s="3"/>
      <c r="C469" s="5"/>
      <c r="D469" s="7"/>
      <c r="E469" s="17"/>
      <c r="F469" s="17"/>
      <c r="G469" s="5"/>
    </row>
    <row r="470" spans="1:25" x14ac:dyDescent="0.25">
      <c r="A470" s="1807"/>
      <c r="B470" s="1807"/>
      <c r="C470" s="5"/>
      <c r="D470" s="7"/>
      <c r="E470" s="1807"/>
      <c r="F470" s="1807"/>
      <c r="G470" s="5"/>
    </row>
    <row r="471" spans="1:25" x14ac:dyDescent="0.25">
      <c r="A471" s="1807" t="s">
        <v>30</v>
      </c>
      <c r="B471" s="1807"/>
      <c r="C471" s="5"/>
      <c r="D471" s="1807" t="s">
        <v>2989</v>
      </c>
      <c r="E471" s="1807"/>
      <c r="F471" s="1807"/>
      <c r="G471" s="5"/>
    </row>
    <row r="473" spans="1:25" x14ac:dyDescent="0.25">
      <c r="A473" s="1800" t="s">
        <v>0</v>
      </c>
      <c r="B473" s="1800"/>
      <c r="C473" s="1800"/>
      <c r="D473" s="1800"/>
      <c r="E473" s="1800"/>
      <c r="F473" s="1800"/>
      <c r="G473" s="162"/>
    </row>
    <row r="474" spans="1:25" x14ac:dyDescent="0.25">
      <c r="A474" s="1800" t="s">
        <v>1</v>
      </c>
      <c r="B474" s="1800"/>
      <c r="C474" s="1800"/>
      <c r="D474" s="1800"/>
      <c r="E474" s="1800"/>
      <c r="F474" s="1800"/>
      <c r="G474" s="162"/>
    </row>
    <row r="475" spans="1:25" x14ac:dyDescent="0.25">
      <c r="A475" s="1800" t="s">
        <v>1697</v>
      </c>
      <c r="B475" s="1800"/>
      <c r="C475" s="1800"/>
      <c r="D475" s="1800"/>
      <c r="E475" s="1800"/>
      <c r="F475" s="1800"/>
      <c r="G475" s="162"/>
    </row>
    <row r="476" spans="1:25" x14ac:dyDescent="0.25">
      <c r="A476" s="138"/>
      <c r="B476" s="138"/>
      <c r="C476" s="138"/>
      <c r="D476" s="138"/>
      <c r="E476" s="138"/>
      <c r="F476" s="138"/>
      <c r="G476" s="162"/>
    </row>
    <row r="477" spans="1:25" x14ac:dyDescent="0.25">
      <c r="A477" s="1" t="s">
        <v>276</v>
      </c>
      <c r="B477" s="3" t="s">
        <v>3</v>
      </c>
      <c r="C477" s="5"/>
      <c r="D477" s="7"/>
      <c r="E477" s="8"/>
      <c r="F477" s="13"/>
      <c r="G477" s="5"/>
    </row>
    <row r="478" spans="1:25" ht="36.75" x14ac:dyDescent="0.25">
      <c r="A478" s="140" t="s">
        <v>277</v>
      </c>
      <c r="B478" s="3" t="s">
        <v>5</v>
      </c>
      <c r="C478" s="5"/>
      <c r="D478" s="7"/>
      <c r="E478" s="23" t="s">
        <v>6</v>
      </c>
      <c r="F478" s="13"/>
      <c r="G478" s="5"/>
    </row>
    <row r="479" spans="1:25" x14ac:dyDescent="0.25">
      <c r="A479" s="140" t="s">
        <v>7</v>
      </c>
      <c r="B479" s="3" t="s">
        <v>337</v>
      </c>
      <c r="C479" s="5"/>
      <c r="D479" s="7"/>
      <c r="E479" s="10" t="s">
        <v>9</v>
      </c>
      <c r="F479" s="15"/>
      <c r="G479" s="5"/>
    </row>
    <row r="480" spans="1:25" x14ac:dyDescent="0.25">
      <c r="A480" s="285" t="s">
        <v>38</v>
      </c>
      <c r="B480" s="3" t="s">
        <v>63</v>
      </c>
      <c r="C480" s="5"/>
      <c r="D480" s="7"/>
      <c r="E480" s="8"/>
      <c r="F480" s="13"/>
      <c r="G480" s="5"/>
    </row>
    <row r="481" spans="1:11" x14ac:dyDescent="0.25">
      <c r="A481" s="140" t="s">
        <v>11</v>
      </c>
      <c r="B481" s="3"/>
      <c r="C481" s="5"/>
      <c r="D481" s="7"/>
      <c r="E481" s="1382"/>
      <c r="F481" s="13"/>
      <c r="G481" s="5"/>
    </row>
    <row r="482" spans="1:11" x14ac:dyDescent="0.25">
      <c r="A482" s="140"/>
      <c r="B482" s="3"/>
      <c r="C482" s="5"/>
      <c r="D482" s="7"/>
      <c r="E482" s="8"/>
      <c r="F482" s="13"/>
      <c r="G482" s="5"/>
    </row>
    <row r="483" spans="1:11" ht="24" x14ac:dyDescent="0.25">
      <c r="A483" s="146" t="s">
        <v>31</v>
      </c>
      <c r="B483" s="144" t="s">
        <v>32</v>
      </c>
      <c r="C483" s="1801" t="s">
        <v>13</v>
      </c>
      <c r="D483" s="1802"/>
      <c r="E483" s="144" t="s">
        <v>33</v>
      </c>
      <c r="F483" s="152" t="s">
        <v>34</v>
      </c>
      <c r="G483" s="146" t="s">
        <v>35</v>
      </c>
    </row>
    <row r="484" spans="1:11" x14ac:dyDescent="0.25">
      <c r="A484" s="145">
        <v>1</v>
      </c>
      <c r="B484" s="145">
        <v>2</v>
      </c>
      <c r="C484" s="1803">
        <v>3</v>
      </c>
      <c r="D484" s="1803"/>
      <c r="E484" s="18">
        <v>4</v>
      </c>
      <c r="F484" s="147">
        <v>5</v>
      </c>
      <c r="G484" s="147">
        <v>6</v>
      </c>
    </row>
    <row r="485" spans="1:11" x14ac:dyDescent="0.25">
      <c r="A485" s="2" t="s">
        <v>338</v>
      </c>
      <c r="B485" s="153" t="s">
        <v>323</v>
      </c>
      <c r="C485" s="167"/>
      <c r="D485" s="168"/>
      <c r="E485" s="146"/>
      <c r="F485" s="152"/>
      <c r="G485" s="146"/>
    </row>
    <row r="486" spans="1:11" x14ac:dyDescent="0.25">
      <c r="A486" s="269" t="s">
        <v>339</v>
      </c>
      <c r="B486" s="4" t="s">
        <v>340</v>
      </c>
      <c r="C486" s="6"/>
      <c r="D486" s="168"/>
      <c r="E486" s="12"/>
      <c r="F486" s="12"/>
      <c r="G486" s="16"/>
    </row>
    <row r="487" spans="1:11" x14ac:dyDescent="0.25">
      <c r="A487" s="2" t="s">
        <v>341</v>
      </c>
      <c r="B487" s="4" t="s">
        <v>342</v>
      </c>
      <c r="C487" s="236"/>
      <c r="D487" s="168"/>
      <c r="E487" s="16"/>
      <c r="F487" s="16"/>
      <c r="G487" s="16"/>
    </row>
    <row r="488" spans="1:11" ht="24.75" x14ac:dyDescent="0.25">
      <c r="A488" s="2"/>
      <c r="B488" s="4" t="s">
        <v>2941</v>
      </c>
      <c r="C488" s="6">
        <f>8*12</f>
        <v>96</v>
      </c>
      <c r="D488" s="25" t="s">
        <v>22</v>
      </c>
      <c r="E488" s="12">
        <v>3096800</v>
      </c>
      <c r="F488" s="12">
        <f t="shared" ref="F488:F492" si="13">C488*E488</f>
        <v>297292800</v>
      </c>
      <c r="G488" s="16"/>
      <c r="H488" s="451"/>
      <c r="K488" s="286"/>
    </row>
    <row r="489" spans="1:11" x14ac:dyDescent="0.25">
      <c r="A489" s="2"/>
      <c r="B489" s="4" t="s">
        <v>343</v>
      </c>
      <c r="C489" s="6">
        <v>12</v>
      </c>
      <c r="D489" s="25" t="s">
        <v>22</v>
      </c>
      <c r="E489" s="12">
        <v>3400000</v>
      </c>
      <c r="F489" s="12">
        <f t="shared" si="13"/>
        <v>40800000</v>
      </c>
      <c r="G489" s="16"/>
      <c r="H489" s="451"/>
      <c r="K489" s="286"/>
    </row>
    <row r="490" spans="1:11" x14ac:dyDescent="0.25">
      <c r="A490" s="2"/>
      <c r="B490" s="4" t="s">
        <v>344</v>
      </c>
      <c r="C490" s="6">
        <v>12</v>
      </c>
      <c r="D490" s="25" t="s">
        <v>22</v>
      </c>
      <c r="E490" s="12">
        <v>3096800</v>
      </c>
      <c r="F490" s="12">
        <f t="shared" si="13"/>
        <v>37161600</v>
      </c>
      <c r="G490" s="16"/>
      <c r="K490" s="286"/>
    </row>
    <row r="491" spans="1:11" x14ac:dyDescent="0.25">
      <c r="A491" s="2"/>
      <c r="B491" s="16" t="s">
        <v>345</v>
      </c>
      <c r="C491" s="6">
        <v>12</v>
      </c>
      <c r="D491" s="25" t="s">
        <v>22</v>
      </c>
      <c r="E491" s="12">
        <v>3400000</v>
      </c>
      <c r="F491" s="12">
        <f t="shared" si="13"/>
        <v>40800000</v>
      </c>
      <c r="G491" s="16"/>
      <c r="H491" s="451"/>
      <c r="K491" s="286"/>
    </row>
    <row r="492" spans="1:11" x14ac:dyDescent="0.25">
      <c r="A492" s="2"/>
      <c r="B492" s="16" t="s">
        <v>346</v>
      </c>
      <c r="C492" s="6">
        <v>12</v>
      </c>
      <c r="D492" s="25" t="s">
        <v>22</v>
      </c>
      <c r="E492" s="12">
        <v>2500000</v>
      </c>
      <c r="F492" s="12">
        <f t="shared" si="13"/>
        <v>30000000</v>
      </c>
      <c r="G492" s="16"/>
      <c r="H492" s="451"/>
      <c r="K492" s="286"/>
    </row>
    <row r="493" spans="1:11" x14ac:dyDescent="0.25">
      <c r="A493" s="172"/>
      <c r="B493" s="4" t="s">
        <v>2915</v>
      </c>
      <c r="C493" s="6">
        <v>24</v>
      </c>
      <c r="D493" s="25" t="s">
        <v>22</v>
      </c>
      <c r="E493" s="12">
        <f>1500000</f>
        <v>1500000</v>
      </c>
      <c r="F493" s="12">
        <f>E493*C493</f>
        <v>36000000</v>
      </c>
      <c r="G493" s="16"/>
      <c r="K493" s="286"/>
    </row>
    <row r="494" spans="1:11" x14ac:dyDescent="0.25">
      <c r="A494" s="172"/>
      <c r="B494" s="4"/>
      <c r="C494" s="6"/>
      <c r="D494" s="25"/>
      <c r="E494" s="12"/>
      <c r="F494" s="12"/>
      <c r="G494" s="16"/>
    </row>
    <row r="495" spans="1:11" x14ac:dyDescent="0.25">
      <c r="A495" s="328"/>
      <c r="B495" s="1805" t="s">
        <v>27</v>
      </c>
      <c r="C495" s="1805"/>
      <c r="D495" s="1805"/>
      <c r="E495" s="1806"/>
      <c r="F495" s="12">
        <f>SUM(F488:F494)</f>
        <v>482054400</v>
      </c>
      <c r="G495" s="16" t="s">
        <v>2620</v>
      </c>
      <c r="K495" s="286">
        <f>F495</f>
        <v>482054400</v>
      </c>
    </row>
    <row r="496" spans="1:11" x14ac:dyDescent="0.25">
      <c r="E496" s="286"/>
    </row>
    <row r="497" spans="1:25" x14ac:dyDescent="0.25">
      <c r="A497" s="1807" t="s">
        <v>614</v>
      </c>
      <c r="B497" s="1807"/>
      <c r="C497" s="5" t="s">
        <v>28</v>
      </c>
      <c r="D497" s="1808" t="s">
        <v>1698</v>
      </c>
      <c r="E497" s="1808"/>
      <c r="F497" s="1808"/>
      <c r="G497" s="5"/>
    </row>
    <row r="498" spans="1:25" x14ac:dyDescent="0.25">
      <c r="A498" s="1807" t="s">
        <v>29</v>
      </c>
      <c r="B498" s="1807"/>
      <c r="C498" s="5"/>
      <c r="D498" s="1809" t="s">
        <v>2988</v>
      </c>
      <c r="E498" s="1809"/>
      <c r="F498" s="1809"/>
      <c r="G498" s="5"/>
    </row>
    <row r="499" spans="1:25" x14ac:dyDescent="0.25">
      <c r="A499" s="1"/>
      <c r="B499" s="3"/>
      <c r="C499" s="5"/>
      <c r="D499" s="7"/>
      <c r="E499" s="17"/>
      <c r="F499" s="17"/>
      <c r="G499" s="5"/>
    </row>
    <row r="500" spans="1:25" x14ac:dyDescent="0.25">
      <c r="A500" s="1"/>
      <c r="B500" s="3"/>
      <c r="C500" s="5"/>
      <c r="D500" s="7"/>
      <c r="E500" s="17"/>
      <c r="F500" s="17"/>
      <c r="G500" s="5"/>
    </row>
    <row r="501" spans="1:25" x14ac:dyDescent="0.25">
      <c r="A501" s="1807"/>
      <c r="B501" s="1807"/>
      <c r="C501" s="5"/>
      <c r="D501" s="7"/>
      <c r="E501" s="1807"/>
      <c r="F501" s="1807"/>
      <c r="G501" s="5"/>
    </row>
    <row r="502" spans="1:25" x14ac:dyDescent="0.25">
      <c r="A502" s="1807" t="s">
        <v>30</v>
      </c>
      <c r="B502" s="1807"/>
      <c r="C502" s="5"/>
      <c r="D502" s="1807" t="s">
        <v>2989</v>
      </c>
      <c r="E502" s="1807"/>
      <c r="F502" s="1807"/>
      <c r="G502" s="5"/>
    </row>
    <row r="504" spans="1:25" s="240" customFormat="1" x14ac:dyDescent="0.25">
      <c r="A504" s="1865" t="s">
        <v>0</v>
      </c>
      <c r="B504" s="1865"/>
      <c r="C504" s="1865"/>
      <c r="D504" s="1865"/>
      <c r="E504" s="1865"/>
      <c r="F504" s="1865"/>
      <c r="G504" s="863"/>
      <c r="I504" s="943"/>
      <c r="J504" s="943"/>
      <c r="K504" s="943"/>
      <c r="L504" s="943"/>
      <c r="M504" s="943"/>
      <c r="N504" s="943"/>
      <c r="O504" s="943"/>
      <c r="P504" s="943"/>
      <c r="Q504" s="943"/>
      <c r="R504" s="943"/>
      <c r="S504" s="943"/>
      <c r="T504" s="943"/>
      <c r="U504" s="943"/>
      <c r="V504" s="943"/>
      <c r="W504" s="943"/>
      <c r="X504" s="943"/>
      <c r="Y504" s="943"/>
    </row>
    <row r="505" spans="1:25" s="240" customFormat="1" x14ac:dyDescent="0.25">
      <c r="A505" s="1865" t="s">
        <v>1</v>
      </c>
      <c r="B505" s="1865"/>
      <c r="C505" s="1865"/>
      <c r="D505" s="1865"/>
      <c r="E505" s="1865"/>
      <c r="F505" s="1865"/>
      <c r="G505" s="863"/>
      <c r="I505" s="943"/>
      <c r="J505" s="943"/>
      <c r="K505" s="943"/>
      <c r="L505" s="943"/>
      <c r="M505" s="943"/>
      <c r="N505" s="943"/>
      <c r="O505" s="943"/>
      <c r="P505" s="943"/>
      <c r="Q505" s="943"/>
      <c r="R505" s="943"/>
      <c r="S505" s="943"/>
      <c r="T505" s="943"/>
      <c r="U505" s="943"/>
      <c r="V505" s="943"/>
      <c r="W505" s="943"/>
      <c r="X505" s="943"/>
      <c r="Y505" s="943"/>
    </row>
    <row r="506" spans="1:25" s="240" customFormat="1" x14ac:dyDescent="0.25">
      <c r="A506" s="1865" t="s">
        <v>1697</v>
      </c>
      <c r="B506" s="1865"/>
      <c r="C506" s="1865"/>
      <c r="D506" s="1865"/>
      <c r="E506" s="1865"/>
      <c r="F506" s="1865"/>
      <c r="G506" s="863"/>
      <c r="I506" s="943"/>
      <c r="J506" s="943"/>
      <c r="K506" s="943"/>
      <c r="L506" s="943"/>
      <c r="M506" s="943"/>
      <c r="N506" s="943"/>
      <c r="O506" s="943"/>
      <c r="P506" s="943"/>
      <c r="Q506" s="943"/>
      <c r="R506" s="943"/>
      <c r="S506" s="943"/>
      <c r="T506" s="943"/>
      <c r="U506" s="943"/>
      <c r="V506" s="943"/>
      <c r="W506" s="943"/>
      <c r="X506" s="943"/>
      <c r="Y506" s="943"/>
    </row>
    <row r="507" spans="1:25" s="240" customFormat="1" x14ac:dyDescent="0.25">
      <c r="A507" s="597"/>
      <c r="B507" s="597"/>
      <c r="C507" s="597"/>
      <c r="D507" s="597"/>
      <c r="E507" s="597"/>
      <c r="F507" s="597"/>
      <c r="G507" s="863"/>
      <c r="I507" s="943"/>
      <c r="J507" s="943"/>
      <c r="K507" s="943"/>
      <c r="L507" s="943"/>
      <c r="M507" s="943"/>
      <c r="N507" s="943"/>
      <c r="O507" s="943"/>
      <c r="P507" s="943"/>
      <c r="Q507" s="943"/>
      <c r="R507" s="943"/>
      <c r="S507" s="943"/>
      <c r="T507" s="943"/>
      <c r="U507" s="943"/>
      <c r="V507" s="943"/>
      <c r="W507" s="943"/>
      <c r="X507" s="943"/>
      <c r="Y507" s="943"/>
    </row>
    <row r="508" spans="1:25" s="240" customFormat="1" ht="30" x14ac:dyDescent="0.25">
      <c r="A508" s="372" t="s">
        <v>276</v>
      </c>
      <c r="B508" s="279" t="s">
        <v>3</v>
      </c>
      <c r="C508" s="280"/>
      <c r="D508" s="274"/>
      <c r="E508" s="633"/>
      <c r="F508" s="19"/>
      <c r="G508" s="280"/>
      <c r="I508" s="943"/>
      <c r="J508" s="943"/>
      <c r="K508" s="943"/>
      <c r="L508" s="943"/>
      <c r="M508" s="943"/>
      <c r="N508" s="943"/>
      <c r="O508" s="943"/>
      <c r="P508" s="943"/>
      <c r="Q508" s="943"/>
      <c r="R508" s="943"/>
      <c r="S508" s="943"/>
      <c r="T508" s="943"/>
      <c r="U508" s="943"/>
      <c r="V508" s="943"/>
      <c r="W508" s="943"/>
      <c r="X508" s="943"/>
      <c r="Y508" s="943"/>
    </row>
    <row r="509" spans="1:25" s="240" customFormat="1" ht="45" x14ac:dyDescent="0.25">
      <c r="A509" s="370" t="s">
        <v>277</v>
      </c>
      <c r="B509" s="279" t="s">
        <v>2135</v>
      </c>
      <c r="C509" s="280"/>
      <c r="D509" s="274"/>
      <c r="E509" s="632" t="s">
        <v>6</v>
      </c>
      <c r="F509" s="19"/>
      <c r="G509" s="280"/>
      <c r="I509" s="943"/>
      <c r="J509" s="943"/>
      <c r="K509" s="943"/>
      <c r="L509" s="943"/>
      <c r="M509" s="943"/>
      <c r="N509" s="943"/>
      <c r="O509" s="943"/>
      <c r="P509" s="943"/>
      <c r="Q509" s="943"/>
      <c r="R509" s="943"/>
      <c r="S509" s="943"/>
      <c r="T509" s="943"/>
      <c r="U509" s="943"/>
      <c r="V509" s="943"/>
      <c r="W509" s="943"/>
      <c r="X509" s="943"/>
      <c r="Y509" s="943"/>
    </row>
    <row r="510" spans="1:25" s="240" customFormat="1" ht="30" x14ac:dyDescent="0.25">
      <c r="A510" s="370" t="s">
        <v>7</v>
      </c>
      <c r="B510" s="279" t="s">
        <v>1627</v>
      </c>
      <c r="C510" s="280"/>
      <c r="D510" s="274"/>
      <c r="E510" s="989" t="s">
        <v>9</v>
      </c>
      <c r="F510" s="990"/>
      <c r="G510" s="280"/>
      <c r="I510" s="943"/>
      <c r="J510" s="943"/>
      <c r="K510" s="943"/>
      <c r="L510" s="943"/>
      <c r="M510" s="943"/>
      <c r="N510" s="943"/>
      <c r="O510" s="943"/>
      <c r="P510" s="943"/>
      <c r="Q510" s="943"/>
      <c r="R510" s="943"/>
      <c r="S510" s="943"/>
      <c r="T510" s="943"/>
      <c r="U510" s="943"/>
      <c r="V510" s="943"/>
      <c r="W510" s="943"/>
      <c r="X510" s="943"/>
      <c r="Y510" s="943"/>
    </row>
    <row r="511" spans="1:25" s="240" customFormat="1" ht="30" x14ac:dyDescent="0.25">
      <c r="A511" s="999" t="s">
        <v>38</v>
      </c>
      <c r="B511" s="279"/>
      <c r="C511" s="280"/>
      <c r="D511" s="274"/>
      <c r="E511" s="633"/>
      <c r="F511" s="19"/>
      <c r="G511" s="280"/>
      <c r="I511" s="943"/>
      <c r="J511" s="943"/>
      <c r="K511" s="943"/>
      <c r="L511" s="943"/>
      <c r="M511" s="943"/>
      <c r="N511" s="943"/>
      <c r="O511" s="943"/>
      <c r="P511" s="943"/>
      <c r="Q511" s="943"/>
      <c r="R511" s="943"/>
      <c r="S511" s="943"/>
      <c r="T511" s="943"/>
      <c r="U511" s="943"/>
      <c r="V511" s="943"/>
      <c r="W511" s="943"/>
      <c r="X511" s="943"/>
      <c r="Y511" s="943"/>
    </row>
    <row r="512" spans="1:25" s="240" customFormat="1" x14ac:dyDescent="0.25">
      <c r="A512" s="370" t="s">
        <v>11</v>
      </c>
      <c r="B512" s="279"/>
      <c r="C512" s="280"/>
      <c r="D512" s="274"/>
      <c r="E512" s="633"/>
      <c r="F512" s="19"/>
      <c r="G512" s="280"/>
      <c r="I512" s="943"/>
      <c r="J512" s="943"/>
      <c r="K512" s="943"/>
      <c r="L512" s="943"/>
      <c r="M512" s="943"/>
      <c r="N512" s="943"/>
      <c r="O512" s="943"/>
      <c r="P512" s="943"/>
      <c r="Q512" s="943"/>
      <c r="R512" s="943"/>
      <c r="S512" s="943"/>
      <c r="T512" s="943"/>
      <c r="U512" s="943"/>
      <c r="V512" s="943"/>
      <c r="W512" s="943"/>
      <c r="X512" s="943"/>
      <c r="Y512" s="943"/>
    </row>
    <row r="513" spans="1:25" s="240" customFormat="1" x14ac:dyDescent="0.25">
      <c r="A513" s="370"/>
      <c r="B513" s="279"/>
      <c r="C513" s="280"/>
      <c r="D513" s="274"/>
      <c r="E513" s="633"/>
      <c r="F513" s="19"/>
      <c r="G513" s="280"/>
      <c r="I513" s="943"/>
      <c r="J513" s="943"/>
      <c r="K513" s="943"/>
      <c r="L513" s="943"/>
      <c r="M513" s="943"/>
      <c r="N513" s="943"/>
      <c r="O513" s="943"/>
      <c r="P513" s="943"/>
      <c r="Q513" s="943"/>
      <c r="R513" s="943"/>
      <c r="S513" s="943"/>
      <c r="T513" s="943"/>
      <c r="U513" s="943"/>
      <c r="V513" s="943"/>
      <c r="W513" s="943"/>
      <c r="X513" s="943"/>
      <c r="Y513" s="943"/>
    </row>
    <row r="514" spans="1:25" s="240" customFormat="1" ht="30" x14ac:dyDescent="0.25">
      <c r="A514" s="604" t="s">
        <v>31</v>
      </c>
      <c r="B514" s="601" t="s">
        <v>32</v>
      </c>
      <c r="C514" s="1820" t="s">
        <v>13</v>
      </c>
      <c r="D514" s="1821"/>
      <c r="E514" s="601" t="s">
        <v>33</v>
      </c>
      <c r="F514" s="890" t="s">
        <v>34</v>
      </c>
      <c r="G514" s="604" t="s">
        <v>35</v>
      </c>
      <c r="I514" s="943"/>
      <c r="J514" s="943"/>
      <c r="K514" s="943"/>
      <c r="L514" s="943"/>
      <c r="M514" s="943"/>
      <c r="N514" s="943"/>
      <c r="O514" s="943"/>
      <c r="P514" s="943"/>
      <c r="Q514" s="943"/>
      <c r="R514" s="943"/>
      <c r="S514" s="943"/>
      <c r="T514" s="943"/>
      <c r="U514" s="943"/>
      <c r="V514" s="943"/>
      <c r="W514" s="943"/>
      <c r="X514" s="943"/>
      <c r="Y514" s="943"/>
    </row>
    <row r="515" spans="1:25" s="240" customFormat="1" x14ac:dyDescent="0.25">
      <c r="A515" s="945">
        <v>1</v>
      </c>
      <c r="B515" s="945">
        <v>2</v>
      </c>
      <c r="C515" s="1869">
        <v>3</v>
      </c>
      <c r="D515" s="1869"/>
      <c r="E515" s="1000">
        <v>4</v>
      </c>
      <c r="F515" s="884">
        <v>5</v>
      </c>
      <c r="G515" s="884">
        <v>6</v>
      </c>
      <c r="I515" s="943"/>
      <c r="J515" s="943"/>
      <c r="K515" s="943"/>
      <c r="L515" s="943"/>
      <c r="M515" s="943"/>
      <c r="N515" s="943"/>
      <c r="O515" s="943"/>
      <c r="P515" s="943"/>
      <c r="Q515" s="943"/>
      <c r="R515" s="943"/>
      <c r="S515" s="943"/>
      <c r="T515" s="943"/>
      <c r="U515" s="943"/>
      <c r="V515" s="943"/>
      <c r="W515" s="943"/>
      <c r="X515" s="943"/>
      <c r="Y515" s="943"/>
    </row>
    <row r="516" spans="1:25" s="240" customFormat="1" x14ac:dyDescent="0.25">
      <c r="A516" s="992" t="s">
        <v>2138</v>
      </c>
      <c r="B516" s="639" t="s">
        <v>86</v>
      </c>
      <c r="C516" s="605"/>
      <c r="D516" s="606"/>
      <c r="E516" s="604"/>
      <c r="F516" s="890"/>
      <c r="G516" s="1001"/>
      <c r="I516" s="943"/>
      <c r="J516" s="943"/>
      <c r="K516" s="943"/>
      <c r="L516" s="943"/>
      <c r="M516" s="943"/>
      <c r="N516" s="943"/>
      <c r="O516" s="943"/>
      <c r="P516" s="943"/>
      <c r="Q516" s="943"/>
      <c r="R516" s="943"/>
      <c r="S516" s="943"/>
      <c r="T516" s="943"/>
      <c r="U516" s="943"/>
      <c r="V516" s="943"/>
      <c r="W516" s="943"/>
      <c r="X516" s="943"/>
      <c r="Y516" s="943"/>
    </row>
    <row r="517" spans="1:25" s="240" customFormat="1" x14ac:dyDescent="0.25">
      <c r="A517" s="992" t="s">
        <v>2139</v>
      </c>
      <c r="B517" s="639" t="s">
        <v>88</v>
      </c>
      <c r="C517" s="605"/>
      <c r="D517" s="606"/>
      <c r="E517" s="604"/>
      <c r="F517" s="890"/>
      <c r="G517" s="1001"/>
      <c r="I517" s="943"/>
      <c r="J517" s="943"/>
      <c r="K517" s="943"/>
      <c r="L517" s="943"/>
      <c r="M517" s="943"/>
      <c r="N517" s="943"/>
      <c r="O517" s="943"/>
      <c r="P517" s="943"/>
      <c r="Q517" s="943"/>
      <c r="R517" s="943"/>
      <c r="S517" s="943"/>
      <c r="T517" s="943"/>
      <c r="U517" s="943"/>
      <c r="V517" s="943"/>
      <c r="W517" s="943"/>
      <c r="X517" s="943"/>
      <c r="Y517" s="943"/>
    </row>
    <row r="518" spans="1:25" s="240" customFormat="1" ht="30" x14ac:dyDescent="0.25">
      <c r="A518" s="992" t="s">
        <v>2140</v>
      </c>
      <c r="B518" s="618" t="s">
        <v>305</v>
      </c>
      <c r="C518" s="997"/>
      <c r="D518" s="641"/>
      <c r="E518" s="962"/>
      <c r="F518" s="969"/>
      <c r="G518" s="1001"/>
      <c r="I518" s="943"/>
      <c r="J518" s="943"/>
      <c r="K518" s="943"/>
      <c r="L518" s="943"/>
      <c r="M518" s="943"/>
      <c r="N518" s="943"/>
      <c r="O518" s="943"/>
      <c r="P518" s="943"/>
      <c r="Q518" s="943"/>
      <c r="R518" s="943"/>
      <c r="S518" s="943"/>
      <c r="T518" s="943"/>
      <c r="U518" s="943"/>
      <c r="V518" s="943"/>
      <c r="W518" s="943"/>
      <c r="X518" s="943"/>
      <c r="Y518" s="943"/>
    </row>
    <row r="519" spans="1:25" s="240" customFormat="1" x14ac:dyDescent="0.25">
      <c r="A519" s="624"/>
      <c r="B519" s="624" t="s">
        <v>306</v>
      </c>
      <c r="C519" s="640">
        <v>50</v>
      </c>
      <c r="D519" s="641" t="s">
        <v>307</v>
      </c>
      <c r="E519" s="962">
        <v>6600</v>
      </c>
      <c r="F519" s="969">
        <f>C519*E519</f>
        <v>330000</v>
      </c>
      <c r="G519" s="1001"/>
      <c r="I519" s="943"/>
      <c r="J519" s="943"/>
      <c r="K519" s="943"/>
      <c r="L519" s="943"/>
      <c r="M519" s="943"/>
      <c r="N519" s="943"/>
      <c r="O519" s="943"/>
      <c r="P519" s="943"/>
      <c r="Q519" s="943"/>
      <c r="R519" s="943"/>
      <c r="S519" s="943"/>
      <c r="T519" s="943"/>
      <c r="U519" s="943"/>
      <c r="V519" s="943"/>
      <c r="W519" s="943"/>
      <c r="X519" s="943"/>
      <c r="Y519" s="943"/>
    </row>
    <row r="520" spans="1:25" s="240" customFormat="1" x14ac:dyDescent="0.25">
      <c r="A520" s="624"/>
      <c r="B520" s="624" t="s">
        <v>308</v>
      </c>
      <c r="C520" s="640">
        <v>2</v>
      </c>
      <c r="D520" s="641" t="s">
        <v>91</v>
      </c>
      <c r="E520" s="962">
        <v>69500</v>
      </c>
      <c r="F520" s="969">
        <f>C520*E520</f>
        <v>139000</v>
      </c>
      <c r="G520" s="1001"/>
      <c r="I520" s="943"/>
      <c r="J520" s="943"/>
      <c r="K520" s="943"/>
      <c r="L520" s="943"/>
      <c r="M520" s="943"/>
      <c r="N520" s="943"/>
      <c r="O520" s="943"/>
      <c r="P520" s="943"/>
      <c r="Q520" s="943"/>
      <c r="R520" s="943"/>
      <c r="S520" s="943"/>
      <c r="T520" s="943"/>
      <c r="U520" s="943"/>
      <c r="V520" s="943"/>
      <c r="W520" s="943"/>
      <c r="X520" s="943"/>
      <c r="Y520" s="943"/>
    </row>
    <row r="521" spans="1:25" s="240" customFormat="1" ht="70.5" customHeight="1" x14ac:dyDescent="0.25">
      <c r="A521" s="992" t="s">
        <v>2141</v>
      </c>
      <c r="B521" s="635" t="s">
        <v>329</v>
      </c>
      <c r="C521" s="605"/>
      <c r="D521" s="994"/>
      <c r="E521" s="995"/>
      <c r="F521" s="948"/>
      <c r="G521" s="875"/>
      <c r="I521" s="943"/>
      <c r="J521" s="943"/>
      <c r="K521" s="943"/>
      <c r="L521" s="943"/>
      <c r="M521" s="943"/>
      <c r="N521" s="943"/>
      <c r="O521" s="943"/>
      <c r="P521" s="943"/>
      <c r="Q521" s="943"/>
      <c r="R521" s="943"/>
      <c r="S521" s="943"/>
      <c r="T521" s="943"/>
      <c r="U521" s="943"/>
      <c r="V521" s="943"/>
      <c r="W521" s="943"/>
      <c r="X521" s="943"/>
      <c r="Y521" s="943"/>
    </row>
    <row r="522" spans="1:25" s="240" customFormat="1" ht="38.25" customHeight="1" x14ac:dyDescent="0.25">
      <c r="A522" s="992"/>
      <c r="B522" s="639" t="s">
        <v>1628</v>
      </c>
      <c r="C522" s="605">
        <f>35*3</f>
        <v>105</v>
      </c>
      <c r="D522" s="994" t="s">
        <v>315</v>
      </c>
      <c r="E522" s="995">
        <v>15000</v>
      </c>
      <c r="F522" s="995">
        <f>E522*C522</f>
        <v>1575000</v>
      </c>
      <c r="G522" s="624"/>
      <c r="I522" s="943"/>
      <c r="J522" s="943"/>
      <c r="K522" s="943"/>
      <c r="L522" s="943"/>
      <c r="M522" s="943"/>
      <c r="N522" s="943"/>
      <c r="O522" s="943"/>
      <c r="P522" s="943"/>
      <c r="Q522" s="943"/>
      <c r="R522" s="943"/>
      <c r="S522" s="943"/>
      <c r="T522" s="943"/>
      <c r="U522" s="943"/>
      <c r="V522" s="943"/>
      <c r="W522" s="943"/>
      <c r="X522" s="943"/>
      <c r="Y522" s="943"/>
    </row>
    <row r="523" spans="1:25" s="240" customFormat="1" ht="38.25" customHeight="1" x14ac:dyDescent="0.25">
      <c r="A523" s="992"/>
      <c r="B523" s="639" t="s">
        <v>2142</v>
      </c>
      <c r="C523" s="605">
        <v>40</v>
      </c>
      <c r="D523" s="994" t="s">
        <v>315</v>
      </c>
      <c r="E523" s="995">
        <v>15000</v>
      </c>
      <c r="F523" s="995">
        <f>E523*C523</f>
        <v>600000</v>
      </c>
      <c r="G523" s="624"/>
      <c r="I523" s="943"/>
      <c r="J523" s="943"/>
      <c r="K523" s="943"/>
      <c r="L523" s="943"/>
      <c r="M523" s="943"/>
      <c r="N523" s="943"/>
      <c r="O523" s="943"/>
      <c r="P523" s="943"/>
      <c r="Q523" s="943"/>
      <c r="R523" s="943"/>
      <c r="S523" s="943"/>
      <c r="T523" s="943"/>
      <c r="U523" s="943"/>
      <c r="V523" s="943"/>
      <c r="W523" s="943"/>
      <c r="X523" s="943"/>
      <c r="Y523" s="943"/>
    </row>
    <row r="524" spans="1:25" s="240" customFormat="1" ht="30" x14ac:dyDescent="0.25">
      <c r="A524" s="620"/>
      <c r="B524" s="621" t="s">
        <v>1629</v>
      </c>
      <c r="C524" s="605">
        <v>35</v>
      </c>
      <c r="D524" s="994" t="s">
        <v>315</v>
      </c>
      <c r="E524" s="995">
        <v>15000</v>
      </c>
      <c r="F524" s="995">
        <f>E524*C524</f>
        <v>525000</v>
      </c>
      <c r="G524" s="604"/>
      <c r="I524" s="943"/>
      <c r="J524" s="943"/>
      <c r="K524" s="943"/>
      <c r="L524" s="943"/>
      <c r="M524" s="943"/>
      <c r="N524" s="943"/>
      <c r="O524" s="943"/>
      <c r="P524" s="943"/>
      <c r="Q524" s="943"/>
      <c r="R524" s="943"/>
      <c r="S524" s="943"/>
      <c r="T524" s="943"/>
      <c r="U524" s="943"/>
      <c r="V524" s="943"/>
      <c r="W524" s="943"/>
      <c r="X524" s="943"/>
      <c r="Y524" s="943"/>
    </row>
    <row r="525" spans="1:25" s="240" customFormat="1" x14ac:dyDescent="0.25">
      <c r="A525" s="700"/>
      <c r="B525" s="618"/>
      <c r="C525" s="640"/>
      <c r="D525" s="606"/>
      <c r="E525" s="638"/>
      <c r="F525" s="638"/>
      <c r="G525" s="624"/>
      <c r="I525" s="943"/>
      <c r="J525" s="943"/>
      <c r="K525" s="943"/>
      <c r="L525" s="943"/>
      <c r="M525" s="943"/>
      <c r="N525" s="943"/>
      <c r="O525" s="943"/>
      <c r="P525" s="943"/>
      <c r="Q525" s="943"/>
      <c r="R525" s="943"/>
      <c r="S525" s="943"/>
      <c r="T525" s="943"/>
      <c r="U525" s="943"/>
      <c r="V525" s="943"/>
      <c r="W525" s="943"/>
      <c r="X525" s="943"/>
      <c r="Y525" s="943"/>
    </row>
    <row r="526" spans="1:25" s="240" customFormat="1" ht="29.25" x14ac:dyDescent="0.25">
      <c r="A526" s="992" t="s">
        <v>2143</v>
      </c>
      <c r="B526" s="891" t="s">
        <v>1291</v>
      </c>
      <c r="C526" s="997"/>
      <c r="D526" s="606"/>
      <c r="E526" s="624"/>
      <c r="F526" s="624"/>
      <c r="G526" s="624"/>
      <c r="I526" s="943"/>
      <c r="J526" s="943"/>
      <c r="K526" s="943"/>
      <c r="L526" s="943"/>
      <c r="M526" s="943"/>
      <c r="N526" s="943"/>
      <c r="O526" s="943"/>
      <c r="P526" s="943"/>
      <c r="Q526" s="943"/>
      <c r="R526" s="943"/>
      <c r="S526" s="943"/>
      <c r="T526" s="943"/>
      <c r="U526" s="943"/>
      <c r="V526" s="943"/>
      <c r="W526" s="943"/>
      <c r="X526" s="943"/>
      <c r="Y526" s="943"/>
    </row>
    <row r="527" spans="1:25" s="240" customFormat="1" x14ac:dyDescent="0.25">
      <c r="A527" s="620"/>
      <c r="B527" s="889" t="s">
        <v>976</v>
      </c>
      <c r="C527" s="605">
        <v>2</v>
      </c>
      <c r="D527" s="606" t="s">
        <v>123</v>
      </c>
      <c r="E527" s="696">
        <v>90000</v>
      </c>
      <c r="F527" s="1002">
        <f>C527*E527</f>
        <v>180000</v>
      </c>
      <c r="G527" s="624"/>
      <c r="I527" s="943"/>
      <c r="J527" s="943"/>
      <c r="K527" s="943"/>
      <c r="L527" s="943"/>
      <c r="M527" s="943"/>
      <c r="N527" s="943"/>
      <c r="O527" s="943"/>
      <c r="P527" s="943"/>
      <c r="Q527" s="943"/>
      <c r="R527" s="943"/>
      <c r="S527" s="943"/>
      <c r="T527" s="943"/>
      <c r="U527" s="943"/>
      <c r="V527" s="943"/>
      <c r="W527" s="943"/>
      <c r="X527" s="943"/>
      <c r="Y527" s="943"/>
    </row>
    <row r="528" spans="1:25" s="240" customFormat="1" x14ac:dyDescent="0.25">
      <c r="A528" s="620"/>
      <c r="B528" s="618"/>
      <c r="C528" s="640"/>
      <c r="D528" s="641"/>
      <c r="E528" s="638"/>
      <c r="F528" s="638"/>
      <c r="G528" s="624"/>
      <c r="I528" s="943"/>
      <c r="J528" s="943"/>
      <c r="K528" s="943"/>
      <c r="L528" s="943"/>
      <c r="M528" s="943"/>
      <c r="N528" s="943"/>
      <c r="O528" s="943"/>
      <c r="P528" s="943"/>
      <c r="Q528" s="943"/>
      <c r="R528" s="943"/>
      <c r="S528" s="943"/>
      <c r="T528" s="943"/>
      <c r="U528" s="943"/>
      <c r="V528" s="943"/>
      <c r="W528" s="943"/>
      <c r="X528" s="943"/>
      <c r="Y528" s="943"/>
    </row>
    <row r="529" spans="1:25" s="240" customFormat="1" x14ac:dyDescent="0.25">
      <c r="A529" s="992" t="s">
        <v>2144</v>
      </c>
      <c r="B529" s="893" t="s">
        <v>340</v>
      </c>
      <c r="C529" s="640"/>
      <c r="D529" s="641"/>
      <c r="E529" s="638"/>
      <c r="F529" s="638"/>
      <c r="G529" s="624"/>
      <c r="I529" s="943"/>
      <c r="J529" s="943"/>
      <c r="K529" s="943"/>
      <c r="L529" s="943"/>
      <c r="M529" s="943"/>
      <c r="N529" s="943"/>
      <c r="O529" s="943"/>
      <c r="P529" s="943"/>
      <c r="Q529" s="943"/>
      <c r="R529" s="943"/>
      <c r="S529" s="943"/>
      <c r="T529" s="943"/>
      <c r="U529" s="943"/>
      <c r="V529" s="943"/>
      <c r="W529" s="943"/>
      <c r="X529" s="943"/>
      <c r="Y529" s="943"/>
    </row>
    <row r="530" spans="1:25" s="240" customFormat="1" ht="29.25" x14ac:dyDescent="0.25">
      <c r="A530" s="992" t="s">
        <v>2145</v>
      </c>
      <c r="B530" s="631" t="s">
        <v>1312</v>
      </c>
      <c r="C530" s="640"/>
      <c r="D530" s="641"/>
      <c r="E530" s="638"/>
      <c r="F530" s="638"/>
      <c r="G530" s="624"/>
      <c r="I530" s="943"/>
      <c r="J530" s="943"/>
      <c r="K530" s="943"/>
      <c r="L530" s="943"/>
      <c r="M530" s="943"/>
      <c r="N530" s="943"/>
      <c r="O530" s="943"/>
      <c r="P530" s="943"/>
      <c r="Q530" s="943"/>
      <c r="R530" s="943"/>
      <c r="S530" s="943"/>
      <c r="T530" s="943"/>
      <c r="U530" s="943"/>
      <c r="V530" s="943"/>
      <c r="W530" s="943"/>
      <c r="X530" s="943"/>
      <c r="Y530" s="943"/>
    </row>
    <row r="531" spans="1:25" s="240" customFormat="1" x14ac:dyDescent="0.25">
      <c r="A531" s="992"/>
      <c r="B531" s="624" t="s">
        <v>214</v>
      </c>
      <c r="C531" s="640">
        <v>1</v>
      </c>
      <c r="D531" s="606" t="s">
        <v>315</v>
      </c>
      <c r="E531" s="696">
        <v>600000</v>
      </c>
      <c r="F531" s="1002">
        <f>C531*E531</f>
        <v>600000</v>
      </c>
      <c r="G531" s="624"/>
      <c r="I531" s="943"/>
      <c r="J531" s="943"/>
      <c r="K531" s="943"/>
      <c r="L531" s="943"/>
      <c r="M531" s="943"/>
      <c r="N531" s="943"/>
      <c r="O531" s="943"/>
      <c r="P531" s="943"/>
      <c r="Q531" s="943"/>
      <c r="R531" s="943"/>
      <c r="S531" s="943"/>
      <c r="T531" s="943"/>
      <c r="U531" s="943"/>
      <c r="V531" s="943"/>
      <c r="W531" s="943"/>
      <c r="X531" s="943"/>
      <c r="Y531" s="943"/>
    </row>
    <row r="532" spans="1:25" s="240" customFormat="1" x14ac:dyDescent="0.25">
      <c r="A532" s="992"/>
      <c r="B532" s="624" t="s">
        <v>215</v>
      </c>
      <c r="C532" s="640">
        <v>1</v>
      </c>
      <c r="D532" s="606" t="s">
        <v>315</v>
      </c>
      <c r="E532" s="696">
        <v>500000</v>
      </c>
      <c r="F532" s="1002">
        <f>E532*C532</f>
        <v>500000</v>
      </c>
      <c r="G532" s="624"/>
      <c r="I532" s="943"/>
      <c r="J532" s="943"/>
      <c r="K532" s="943"/>
      <c r="L532" s="943"/>
      <c r="M532" s="943"/>
      <c r="N532" s="943"/>
      <c r="O532" s="943"/>
      <c r="P532" s="943"/>
      <c r="Q532" s="943"/>
      <c r="R532" s="943"/>
      <c r="S532" s="943"/>
      <c r="T532" s="943"/>
      <c r="U532" s="943"/>
      <c r="V532" s="943"/>
      <c r="W532" s="943"/>
      <c r="X532" s="943"/>
      <c r="Y532" s="943"/>
    </row>
    <row r="533" spans="1:25" s="240" customFormat="1" x14ac:dyDescent="0.25">
      <c r="A533" s="992"/>
      <c r="B533" s="624" t="s">
        <v>391</v>
      </c>
      <c r="C533" s="640">
        <v>3</v>
      </c>
      <c r="D533" s="606" t="s">
        <v>315</v>
      </c>
      <c r="E533" s="696">
        <v>450000</v>
      </c>
      <c r="F533" s="1002">
        <f>C533*E533</f>
        <v>1350000</v>
      </c>
      <c r="G533" s="624"/>
      <c r="I533" s="943"/>
      <c r="J533" s="943"/>
      <c r="K533" s="943"/>
      <c r="L533" s="943"/>
      <c r="M533" s="943"/>
      <c r="N533" s="943"/>
      <c r="O533" s="943"/>
      <c r="P533" s="943"/>
      <c r="Q533" s="943"/>
      <c r="R533" s="943"/>
      <c r="S533" s="943"/>
      <c r="T533" s="943"/>
      <c r="U533" s="943"/>
      <c r="V533" s="943"/>
      <c r="W533" s="943"/>
      <c r="X533" s="943"/>
      <c r="Y533" s="943"/>
    </row>
    <row r="534" spans="1:25" s="240" customFormat="1" ht="28.5" x14ac:dyDescent="0.25">
      <c r="A534" s="992" t="s">
        <v>2146</v>
      </c>
      <c r="B534" s="1003" t="s">
        <v>864</v>
      </c>
      <c r="C534" s="640"/>
      <c r="D534" s="641"/>
      <c r="E534" s="638"/>
      <c r="F534" s="638"/>
      <c r="G534" s="624"/>
      <c r="I534" s="943"/>
      <c r="J534" s="943"/>
      <c r="K534" s="943"/>
      <c r="L534" s="943"/>
      <c r="M534" s="943"/>
      <c r="N534" s="943"/>
      <c r="O534" s="943"/>
      <c r="P534" s="943"/>
      <c r="Q534" s="943"/>
      <c r="R534" s="943"/>
      <c r="S534" s="943"/>
      <c r="T534" s="943"/>
      <c r="U534" s="943"/>
      <c r="V534" s="943"/>
      <c r="W534" s="943"/>
      <c r="X534" s="943"/>
      <c r="Y534" s="943"/>
    </row>
    <row r="535" spans="1:25" s="240" customFormat="1" x14ac:dyDescent="0.25">
      <c r="A535" s="1004"/>
      <c r="B535" s="1005" t="s">
        <v>2147</v>
      </c>
      <c r="C535" s="640">
        <v>3</v>
      </c>
      <c r="D535" s="641" t="s">
        <v>315</v>
      </c>
      <c r="E535" s="638">
        <v>300000</v>
      </c>
      <c r="F535" s="638">
        <f>E535*C535</f>
        <v>900000</v>
      </c>
      <c r="G535" s="624"/>
      <c r="I535" s="943"/>
      <c r="J535" s="943"/>
      <c r="K535" s="943"/>
      <c r="L535" s="943"/>
      <c r="M535" s="943"/>
      <c r="N535" s="943"/>
      <c r="O535" s="943"/>
      <c r="P535" s="943"/>
      <c r="Q535" s="943"/>
      <c r="R535" s="943"/>
      <c r="S535" s="943"/>
      <c r="T535" s="943"/>
      <c r="U535" s="943"/>
      <c r="V535" s="943"/>
      <c r="W535" s="943"/>
      <c r="X535" s="943"/>
      <c r="Y535" s="943"/>
    </row>
    <row r="536" spans="1:25" s="240" customFormat="1" x14ac:dyDescent="0.25">
      <c r="A536" s="1004"/>
      <c r="B536" s="1005"/>
      <c r="C536" s="640"/>
      <c r="D536" s="641"/>
      <c r="E536" s="638"/>
      <c r="F536" s="638"/>
      <c r="G536" s="624"/>
      <c r="I536" s="943"/>
      <c r="J536" s="943"/>
      <c r="K536" s="943"/>
      <c r="L536" s="943"/>
      <c r="M536" s="943"/>
      <c r="N536" s="943"/>
      <c r="O536" s="943"/>
      <c r="P536" s="943"/>
      <c r="Q536" s="943"/>
      <c r="R536" s="943"/>
      <c r="S536" s="943"/>
      <c r="T536" s="943"/>
      <c r="U536" s="943"/>
      <c r="V536" s="943"/>
      <c r="W536" s="943"/>
      <c r="X536" s="943"/>
      <c r="Y536" s="943"/>
    </row>
    <row r="537" spans="1:25" s="240" customFormat="1" x14ac:dyDescent="0.25">
      <c r="A537" s="955"/>
      <c r="B537" s="618"/>
      <c r="C537" s="640"/>
      <c r="D537" s="641"/>
      <c r="E537" s="638"/>
      <c r="F537" s="638"/>
      <c r="G537" s="624"/>
      <c r="I537" s="943"/>
      <c r="J537" s="943"/>
      <c r="K537" s="943"/>
      <c r="L537" s="943"/>
      <c r="M537" s="943"/>
      <c r="N537" s="943"/>
      <c r="O537" s="943"/>
      <c r="P537" s="943"/>
      <c r="Q537" s="943"/>
      <c r="R537" s="943"/>
      <c r="S537" s="943"/>
      <c r="T537" s="943"/>
      <c r="U537" s="943"/>
      <c r="V537" s="943"/>
      <c r="W537" s="943"/>
      <c r="X537" s="943"/>
      <c r="Y537" s="943"/>
    </row>
    <row r="538" spans="1:25" s="240" customFormat="1" ht="30" x14ac:dyDescent="0.25">
      <c r="A538" s="998"/>
      <c r="B538" s="1867" t="s">
        <v>27</v>
      </c>
      <c r="C538" s="1867"/>
      <c r="D538" s="1867"/>
      <c r="E538" s="1868"/>
      <c r="F538" s="638">
        <f>SUM(F519:F537)</f>
        <v>6699000</v>
      </c>
      <c r="G538" s="618" t="s">
        <v>2626</v>
      </c>
      <c r="I538" s="943"/>
      <c r="J538" s="943"/>
      <c r="K538" s="943"/>
      <c r="L538" s="943"/>
      <c r="M538" s="943"/>
      <c r="N538" s="943"/>
      <c r="O538" s="943"/>
      <c r="P538" s="943"/>
      <c r="Q538" s="943"/>
      <c r="R538" s="943"/>
      <c r="S538" s="943">
        <f>F538</f>
        <v>6699000</v>
      </c>
      <c r="T538" s="943"/>
      <c r="U538" s="943"/>
      <c r="V538" s="943"/>
      <c r="W538" s="943"/>
      <c r="X538" s="943"/>
      <c r="Y538" s="943"/>
    </row>
    <row r="539" spans="1:25" x14ac:dyDescent="0.25">
      <c r="A539" s="1807" t="s">
        <v>614</v>
      </c>
      <c r="B539" s="1807"/>
      <c r="C539" s="5" t="s">
        <v>28</v>
      </c>
      <c r="D539" s="1808" t="s">
        <v>1698</v>
      </c>
      <c r="E539" s="1808"/>
      <c r="F539" s="1808"/>
      <c r="G539" s="5"/>
    </row>
    <row r="540" spans="1:25" x14ac:dyDescent="0.25">
      <c r="A540" s="1807" t="s">
        <v>29</v>
      </c>
      <c r="B540" s="1807"/>
      <c r="C540" s="5"/>
      <c r="D540" s="1809" t="s">
        <v>2988</v>
      </c>
      <c r="E540" s="1809"/>
      <c r="F540" s="1809"/>
      <c r="G540" s="5"/>
    </row>
    <row r="541" spans="1:25" x14ac:dyDescent="0.25">
      <c r="A541" s="1"/>
      <c r="B541" s="3"/>
      <c r="C541" s="5"/>
      <c r="D541" s="7"/>
      <c r="E541" s="17"/>
      <c r="F541" s="17"/>
      <c r="G541" s="5"/>
    </row>
    <row r="542" spans="1:25" x14ac:dyDescent="0.25">
      <c r="A542" s="1"/>
      <c r="B542" s="3"/>
      <c r="C542" s="5"/>
      <c r="D542" s="7"/>
      <c r="E542" s="17"/>
      <c r="F542" s="17"/>
      <c r="G542" s="5"/>
    </row>
    <row r="543" spans="1:25" x14ac:dyDescent="0.25">
      <c r="A543" s="1807"/>
      <c r="B543" s="1807"/>
      <c r="C543" s="5"/>
      <c r="D543" s="7"/>
      <c r="E543" s="1807"/>
      <c r="F543" s="1807"/>
      <c r="G543" s="5"/>
    </row>
    <row r="544" spans="1:25" x14ac:dyDescent="0.25">
      <c r="A544" s="1807" t="s">
        <v>30</v>
      </c>
      <c r="B544" s="1807"/>
      <c r="C544" s="5"/>
      <c r="D544" s="1807" t="s">
        <v>2989</v>
      </c>
      <c r="E544" s="1807"/>
      <c r="F544" s="1807"/>
      <c r="G544" s="5"/>
    </row>
    <row r="546" spans="1:7" x14ac:dyDescent="0.25">
      <c r="A546" s="1800" t="s">
        <v>0</v>
      </c>
      <c r="B546" s="1800"/>
      <c r="C546" s="1800"/>
      <c r="D546" s="1800"/>
      <c r="E546" s="1800"/>
      <c r="F546" s="1800"/>
      <c r="G546" s="162"/>
    </row>
    <row r="547" spans="1:7" x14ac:dyDescent="0.25">
      <c r="A547" s="1800" t="s">
        <v>1</v>
      </c>
      <c r="B547" s="1800"/>
      <c r="C547" s="1800"/>
      <c r="D547" s="1800"/>
      <c r="E547" s="1800"/>
      <c r="F547" s="1800"/>
      <c r="G547" s="162"/>
    </row>
    <row r="548" spans="1:7" x14ac:dyDescent="0.25">
      <c r="A548" s="1800" t="s">
        <v>1697</v>
      </c>
      <c r="B548" s="1800"/>
      <c r="C548" s="1800"/>
      <c r="D548" s="1800"/>
      <c r="E548" s="1800"/>
      <c r="F548" s="1800"/>
      <c r="G548" s="162"/>
    </row>
    <row r="549" spans="1:7" x14ac:dyDescent="0.25">
      <c r="A549" s="138"/>
      <c r="B549" s="138"/>
      <c r="C549" s="138"/>
      <c r="D549" s="138"/>
      <c r="E549" s="138"/>
      <c r="F549" s="138"/>
      <c r="G549" s="162"/>
    </row>
    <row r="550" spans="1:7" x14ac:dyDescent="0.25">
      <c r="A550" s="1" t="s">
        <v>276</v>
      </c>
      <c r="B550" s="3" t="s">
        <v>3</v>
      </c>
      <c r="C550" s="5"/>
      <c r="D550" s="7"/>
      <c r="E550" s="8"/>
      <c r="F550" s="13"/>
      <c r="G550" s="5"/>
    </row>
    <row r="551" spans="1:7" ht="36.75" x14ac:dyDescent="0.25">
      <c r="A551" s="140" t="s">
        <v>277</v>
      </c>
      <c r="B551" s="3" t="s">
        <v>5</v>
      </c>
      <c r="C551" s="5"/>
      <c r="D551" s="7"/>
      <c r="E551" s="23" t="s">
        <v>6</v>
      </c>
      <c r="F551" s="13"/>
      <c r="G551" s="5"/>
    </row>
    <row r="552" spans="1:7" ht="24.75" x14ac:dyDescent="0.25">
      <c r="A552" s="140" t="s">
        <v>7</v>
      </c>
      <c r="B552" s="3" t="s">
        <v>2095</v>
      </c>
      <c r="C552" s="5"/>
      <c r="D552" s="7"/>
      <c r="E552" s="10" t="s">
        <v>9</v>
      </c>
      <c r="F552" s="15"/>
      <c r="G552" s="5"/>
    </row>
    <row r="553" spans="1:7" x14ac:dyDescent="0.25">
      <c r="A553" s="285" t="s">
        <v>38</v>
      </c>
      <c r="B553" s="3"/>
      <c r="C553" s="5"/>
      <c r="D553" s="7"/>
      <c r="E553" s="8"/>
      <c r="F553" s="13"/>
      <c r="G553" s="5"/>
    </row>
    <row r="554" spans="1:7" x14ac:dyDescent="0.25">
      <c r="A554" s="140" t="s">
        <v>11</v>
      </c>
      <c r="B554" s="3"/>
      <c r="C554" s="5"/>
      <c r="D554" s="7"/>
      <c r="E554" s="8"/>
      <c r="F554" s="13"/>
      <c r="G554" s="5"/>
    </row>
    <row r="555" spans="1:7" x14ac:dyDescent="0.25">
      <c r="A555" s="140"/>
      <c r="B555" s="3"/>
      <c r="C555" s="5"/>
      <c r="D555" s="7"/>
      <c r="E555" s="8"/>
      <c r="F555" s="13"/>
      <c r="G555" s="5"/>
    </row>
    <row r="556" spans="1:7" ht="24" x14ac:dyDescent="0.25">
      <c r="A556" s="146" t="s">
        <v>31</v>
      </c>
      <c r="B556" s="144" t="s">
        <v>32</v>
      </c>
      <c r="C556" s="1801" t="s">
        <v>13</v>
      </c>
      <c r="D556" s="1802"/>
      <c r="E556" s="144" t="s">
        <v>33</v>
      </c>
      <c r="F556" s="152" t="s">
        <v>34</v>
      </c>
      <c r="G556" s="146" t="s">
        <v>35</v>
      </c>
    </row>
    <row r="557" spans="1:7" x14ac:dyDescent="0.25">
      <c r="A557" s="145">
        <v>1</v>
      </c>
      <c r="B557" s="145">
        <v>2</v>
      </c>
      <c r="C557" s="1803">
        <v>3</v>
      </c>
      <c r="D557" s="1803"/>
      <c r="E557" s="18">
        <v>4</v>
      </c>
      <c r="F557" s="147">
        <v>5</v>
      </c>
      <c r="G557" s="147">
        <v>6</v>
      </c>
    </row>
    <row r="558" spans="1:7" x14ac:dyDescent="0.25">
      <c r="A558" s="148" t="s">
        <v>2096</v>
      </c>
      <c r="B558" s="149" t="s">
        <v>280</v>
      </c>
      <c r="C558" s="167"/>
      <c r="D558" s="203"/>
      <c r="E558" s="30"/>
      <c r="F558" s="27"/>
      <c r="G558" s="256"/>
    </row>
    <row r="559" spans="1:7" ht="24" x14ac:dyDescent="0.25">
      <c r="A559" s="148" t="s">
        <v>2711</v>
      </c>
      <c r="B559" s="149" t="s">
        <v>2097</v>
      </c>
      <c r="C559" s="167"/>
      <c r="D559" s="203"/>
      <c r="E559" s="30"/>
      <c r="F559" s="27"/>
      <c r="G559" s="16"/>
    </row>
    <row r="560" spans="1:7" x14ac:dyDescent="0.25">
      <c r="A560" s="148" t="s">
        <v>2712</v>
      </c>
      <c r="B560" s="154" t="s">
        <v>2098</v>
      </c>
      <c r="C560" s="167"/>
      <c r="D560" s="168"/>
      <c r="E560" s="30"/>
      <c r="F560" s="27"/>
      <c r="G560" s="146"/>
    </row>
    <row r="561" spans="1:11" ht="24" x14ac:dyDescent="0.25">
      <c r="A561" s="148"/>
      <c r="B561" s="153" t="s">
        <v>2102</v>
      </c>
      <c r="C561" s="167">
        <v>12</v>
      </c>
      <c r="D561" s="168" t="s">
        <v>22</v>
      </c>
      <c r="E561" s="30">
        <v>160000</v>
      </c>
      <c r="F561" s="27">
        <f>E561*C561</f>
        <v>1920000</v>
      </c>
      <c r="G561" s="146"/>
      <c r="H561" s="175"/>
    </row>
    <row r="562" spans="1:11" ht="24" x14ac:dyDescent="0.25">
      <c r="A562" s="148"/>
      <c r="B562" s="153" t="s">
        <v>2101</v>
      </c>
      <c r="C562" s="167">
        <v>12</v>
      </c>
      <c r="D562" s="168" t="s">
        <v>22</v>
      </c>
      <c r="E562" s="30">
        <v>152000</v>
      </c>
      <c r="F562" s="27">
        <f t="shared" ref="F562:F569" si="14">E562*C562</f>
        <v>1824000</v>
      </c>
      <c r="G562" s="146"/>
    </row>
    <row r="563" spans="1:11" ht="24" x14ac:dyDescent="0.25">
      <c r="A563" s="148"/>
      <c r="B563" s="153" t="s">
        <v>2100</v>
      </c>
      <c r="C563" s="167">
        <v>12</v>
      </c>
      <c r="D563" s="168" t="s">
        <v>22</v>
      </c>
      <c r="E563" s="30">
        <v>140000</v>
      </c>
      <c r="F563" s="27">
        <f t="shared" si="14"/>
        <v>1680000</v>
      </c>
      <c r="G563" s="146"/>
    </row>
    <row r="564" spans="1:11" ht="24.75" x14ac:dyDescent="0.25">
      <c r="A564" s="269"/>
      <c r="B564" s="4" t="s">
        <v>2099</v>
      </c>
      <c r="C564" s="6">
        <f>6*12</f>
        <v>72</v>
      </c>
      <c r="D564" s="168" t="s">
        <v>22</v>
      </c>
      <c r="E564" s="12">
        <v>123873</v>
      </c>
      <c r="F564" s="27">
        <f t="shared" si="14"/>
        <v>8918856</v>
      </c>
      <c r="G564" s="16"/>
    </row>
    <row r="565" spans="1:11" x14ac:dyDescent="0.25">
      <c r="A565" s="148" t="s">
        <v>2103</v>
      </c>
      <c r="B565" s="353" t="s">
        <v>2104</v>
      </c>
      <c r="C565" s="236"/>
      <c r="D565" s="168"/>
      <c r="E565" s="16"/>
      <c r="F565" s="27"/>
      <c r="G565" s="16"/>
    </row>
    <row r="566" spans="1:11" ht="24" x14ac:dyDescent="0.25">
      <c r="A566" s="148"/>
      <c r="B566" s="153" t="s">
        <v>2105</v>
      </c>
      <c r="C566" s="167">
        <v>12</v>
      </c>
      <c r="D566" s="168" t="s">
        <v>22</v>
      </c>
      <c r="E566" s="988">
        <v>249600</v>
      </c>
      <c r="F566" s="27">
        <f t="shared" si="14"/>
        <v>2995200</v>
      </c>
      <c r="G566" s="16"/>
    </row>
    <row r="567" spans="1:11" ht="24" x14ac:dyDescent="0.25">
      <c r="A567" s="148"/>
      <c r="B567" s="153" t="s">
        <v>2106</v>
      </c>
      <c r="C567" s="167">
        <v>12</v>
      </c>
      <c r="D567" s="168" t="s">
        <v>22</v>
      </c>
      <c r="E567" s="988">
        <v>237120</v>
      </c>
      <c r="F567" s="27">
        <f t="shared" si="14"/>
        <v>2845440</v>
      </c>
      <c r="G567" s="16"/>
    </row>
    <row r="568" spans="1:11" ht="24" x14ac:dyDescent="0.25">
      <c r="A568" s="148"/>
      <c r="B568" s="153" t="s">
        <v>2107</v>
      </c>
      <c r="C568" s="167">
        <v>12</v>
      </c>
      <c r="D568" s="168" t="s">
        <v>22</v>
      </c>
      <c r="E568" s="988">
        <v>218400</v>
      </c>
      <c r="F568" s="27">
        <f t="shared" si="14"/>
        <v>2620800</v>
      </c>
      <c r="G568" s="16"/>
    </row>
    <row r="569" spans="1:11" ht="24.75" x14ac:dyDescent="0.25">
      <c r="A569" s="148"/>
      <c r="B569" s="4" t="s">
        <v>2108</v>
      </c>
      <c r="C569" s="6">
        <f>6*12</f>
        <v>72</v>
      </c>
      <c r="D569" s="168" t="s">
        <v>22</v>
      </c>
      <c r="E569" s="988">
        <v>193242</v>
      </c>
      <c r="F569" s="27">
        <f t="shared" si="14"/>
        <v>13913424</v>
      </c>
      <c r="G569" s="16"/>
    </row>
    <row r="570" spans="1:11" x14ac:dyDescent="0.25">
      <c r="A570" s="328"/>
      <c r="B570" s="1805" t="s">
        <v>27</v>
      </c>
      <c r="C570" s="1805"/>
      <c r="D570" s="1805"/>
      <c r="E570" s="1806"/>
      <c r="F570" s="12">
        <f>SUM(F561:F569)</f>
        <v>36717720</v>
      </c>
      <c r="G570" s="16" t="s">
        <v>2620</v>
      </c>
      <c r="K570" s="286">
        <f>F570</f>
        <v>36717720</v>
      </c>
    </row>
    <row r="572" spans="1:11" x14ac:dyDescent="0.25">
      <c r="A572" s="1807" t="s">
        <v>614</v>
      </c>
      <c r="B572" s="1807"/>
      <c r="C572" s="5" t="s">
        <v>28</v>
      </c>
      <c r="D572" s="1808" t="s">
        <v>1698</v>
      </c>
      <c r="E572" s="1808"/>
      <c r="F572" s="1808"/>
      <c r="G572" s="5"/>
    </row>
    <row r="573" spans="1:11" x14ac:dyDescent="0.25">
      <c r="A573" s="1807" t="s">
        <v>29</v>
      </c>
      <c r="B573" s="1807"/>
      <c r="C573" s="5"/>
      <c r="D573" s="1809" t="s">
        <v>2988</v>
      </c>
      <c r="E573" s="1809"/>
      <c r="F573" s="1809"/>
      <c r="G573" s="5"/>
    </row>
    <row r="574" spans="1:11" x14ac:dyDescent="0.25">
      <c r="A574" s="1"/>
      <c r="B574" s="3"/>
      <c r="C574" s="5"/>
      <c r="D574" s="7"/>
      <c r="E574" s="17"/>
      <c r="F574" s="17"/>
      <c r="G574" s="5"/>
    </row>
    <row r="575" spans="1:11" x14ac:dyDescent="0.25">
      <c r="A575" s="1"/>
      <c r="B575" s="3"/>
      <c r="C575" s="5"/>
      <c r="D575" s="7"/>
      <c r="E575" s="17"/>
      <c r="F575" s="17"/>
      <c r="G575" s="5"/>
    </row>
    <row r="576" spans="1:11" x14ac:dyDescent="0.25">
      <c r="A576" s="1807"/>
      <c r="B576" s="1807"/>
      <c r="C576" s="5"/>
      <c r="D576" s="7"/>
      <c r="E576" s="1807"/>
      <c r="F576" s="1807"/>
      <c r="G576" s="5"/>
    </row>
    <row r="577" spans="1:7" x14ac:dyDescent="0.25">
      <c r="A577" s="1807" t="s">
        <v>30</v>
      </c>
      <c r="B577" s="1807"/>
      <c r="C577" s="5"/>
      <c r="D577" s="1807" t="s">
        <v>2989</v>
      </c>
      <c r="E577" s="1807"/>
      <c r="F577" s="1807"/>
      <c r="G577" s="5"/>
    </row>
    <row r="578" spans="1:7" x14ac:dyDescent="0.25">
      <c r="A578" s="1800" t="s">
        <v>0</v>
      </c>
      <c r="B578" s="1800"/>
      <c r="C578" s="1800"/>
      <c r="D578" s="1800"/>
      <c r="E578" s="1800"/>
      <c r="F578" s="1800"/>
      <c r="G578" s="162"/>
    </row>
    <row r="579" spans="1:7" x14ac:dyDescent="0.25">
      <c r="A579" s="1800" t="s">
        <v>1</v>
      </c>
      <c r="B579" s="1800"/>
      <c r="C579" s="1800"/>
      <c r="D579" s="1800"/>
      <c r="E579" s="1800"/>
      <c r="F579" s="1800"/>
      <c r="G579" s="162"/>
    </row>
    <row r="580" spans="1:7" x14ac:dyDescent="0.25">
      <c r="A580" s="1800" t="s">
        <v>1697</v>
      </c>
      <c r="B580" s="1800"/>
      <c r="C580" s="1800"/>
      <c r="D580" s="1800"/>
      <c r="E580" s="1800"/>
      <c r="F580" s="1800"/>
      <c r="G580" s="162"/>
    </row>
    <row r="581" spans="1:7" x14ac:dyDescent="0.25">
      <c r="A581" s="138"/>
      <c r="B581" s="138"/>
      <c r="C581" s="138"/>
      <c r="D581" s="138"/>
      <c r="E581" s="138"/>
      <c r="F581" s="138"/>
      <c r="G581" s="162"/>
    </row>
    <row r="582" spans="1:7" x14ac:dyDescent="0.25">
      <c r="A582" s="1" t="s">
        <v>276</v>
      </c>
      <c r="B582" s="3" t="s">
        <v>3</v>
      </c>
      <c r="C582" s="5"/>
      <c r="D582" s="7"/>
      <c r="E582" s="8"/>
      <c r="F582" s="13"/>
      <c r="G582" s="5"/>
    </row>
    <row r="583" spans="1:7" ht="36.75" x14ac:dyDescent="0.25">
      <c r="A583" s="140" t="s">
        <v>277</v>
      </c>
      <c r="B583" s="3" t="s">
        <v>5</v>
      </c>
      <c r="C583" s="5"/>
      <c r="D583" s="7"/>
      <c r="E583" s="23" t="s">
        <v>6</v>
      </c>
      <c r="F583" s="13"/>
      <c r="G583" s="5"/>
    </row>
    <row r="584" spans="1:7" ht="24.75" x14ac:dyDescent="0.25">
      <c r="A584" s="140" t="s">
        <v>7</v>
      </c>
      <c r="B584" s="3" t="s">
        <v>2109</v>
      </c>
      <c r="C584" s="5"/>
      <c r="D584" s="7"/>
      <c r="E584" s="10" t="s">
        <v>9</v>
      </c>
      <c r="F584" s="15"/>
      <c r="G584" s="5"/>
    </row>
    <row r="585" spans="1:7" x14ac:dyDescent="0.25">
      <c r="A585" s="285" t="s">
        <v>38</v>
      </c>
      <c r="B585" s="3"/>
      <c r="C585" s="5"/>
      <c r="D585" s="7"/>
      <c r="E585" s="8"/>
      <c r="F585" s="13"/>
      <c r="G585" s="5"/>
    </row>
    <row r="586" spans="1:7" x14ac:dyDescent="0.25">
      <c r="A586" s="140" t="s">
        <v>11</v>
      </c>
      <c r="B586" s="3"/>
      <c r="C586" s="5"/>
      <c r="D586" s="7"/>
      <c r="E586" s="8"/>
      <c r="F586" s="13"/>
      <c r="G586" s="5"/>
    </row>
    <row r="587" spans="1:7" x14ac:dyDescent="0.25">
      <c r="A587" s="140"/>
      <c r="B587" s="3"/>
      <c r="C587" s="5"/>
      <c r="D587" s="7"/>
      <c r="E587" s="8"/>
      <c r="F587" s="13"/>
      <c r="G587" s="5"/>
    </row>
    <row r="588" spans="1:7" ht="24" x14ac:dyDescent="0.25">
      <c r="A588" s="146" t="s">
        <v>31</v>
      </c>
      <c r="B588" s="144" t="s">
        <v>32</v>
      </c>
      <c r="C588" s="1801" t="s">
        <v>13</v>
      </c>
      <c r="D588" s="1802"/>
      <c r="E588" s="144" t="s">
        <v>33</v>
      </c>
      <c r="F588" s="152" t="s">
        <v>34</v>
      </c>
      <c r="G588" s="146" t="s">
        <v>35</v>
      </c>
    </row>
    <row r="589" spans="1:7" x14ac:dyDescent="0.25">
      <c r="A589" s="145">
        <v>1</v>
      </c>
      <c r="B589" s="145">
        <v>2</v>
      </c>
      <c r="C589" s="1803">
        <v>3</v>
      </c>
      <c r="D589" s="1803"/>
      <c r="E589" s="18">
        <v>4</v>
      </c>
      <c r="F589" s="147">
        <v>5</v>
      </c>
      <c r="G589" s="147">
        <v>6</v>
      </c>
    </row>
    <row r="590" spans="1:7" x14ac:dyDescent="0.25">
      <c r="A590" s="148" t="s">
        <v>2096</v>
      </c>
      <c r="B590" s="149" t="s">
        <v>280</v>
      </c>
      <c r="C590" s="167"/>
      <c r="D590" s="203"/>
      <c r="E590" s="30"/>
      <c r="F590" s="27"/>
      <c r="G590" s="256"/>
    </row>
    <row r="591" spans="1:7" ht="24" x14ac:dyDescent="0.25">
      <c r="A591" s="148" t="s">
        <v>2713</v>
      </c>
      <c r="B591" s="149" t="s">
        <v>2097</v>
      </c>
      <c r="C591" s="167"/>
      <c r="D591" s="203"/>
      <c r="E591" s="30"/>
      <c r="F591" s="27"/>
      <c r="G591" s="16"/>
    </row>
    <row r="592" spans="1:7" x14ac:dyDescent="0.25">
      <c r="A592" s="148" t="s">
        <v>2714</v>
      </c>
      <c r="B592" s="154" t="s">
        <v>2114</v>
      </c>
      <c r="C592" s="167"/>
      <c r="D592" s="168"/>
      <c r="E592" s="30"/>
      <c r="F592" s="27"/>
      <c r="G592" s="146"/>
    </row>
    <row r="593" spans="1:11" ht="24" x14ac:dyDescent="0.25">
      <c r="A593" s="148"/>
      <c r="B593" s="153" t="s">
        <v>2211</v>
      </c>
      <c r="C593" s="167">
        <f>8*12</f>
        <v>96</v>
      </c>
      <c r="D593" s="168" t="s">
        <v>22</v>
      </c>
      <c r="E593" s="12">
        <v>123873</v>
      </c>
      <c r="F593" s="27">
        <f t="shared" ref="F593:F598" si="15">E593*C593</f>
        <v>11891808</v>
      </c>
      <c r="G593" s="146"/>
      <c r="H593" s="175"/>
    </row>
    <row r="594" spans="1:11" x14ac:dyDescent="0.25">
      <c r="A594" s="148"/>
      <c r="B594" s="153" t="s">
        <v>2110</v>
      </c>
      <c r="C594" s="167">
        <v>12</v>
      </c>
      <c r="D594" s="168" t="s">
        <v>22</v>
      </c>
      <c r="E594" s="12">
        <v>136000</v>
      </c>
      <c r="F594" s="27">
        <f t="shared" si="15"/>
        <v>1632000</v>
      </c>
      <c r="G594" s="146"/>
      <c r="H594" s="175"/>
    </row>
    <row r="595" spans="1:11" ht="24" x14ac:dyDescent="0.25">
      <c r="A595" s="148"/>
      <c r="B595" s="153" t="s">
        <v>2111</v>
      </c>
      <c r="C595" s="167">
        <v>12</v>
      </c>
      <c r="D595" s="168" t="s">
        <v>22</v>
      </c>
      <c r="E595" s="12">
        <v>136000</v>
      </c>
      <c r="F595" s="27">
        <f t="shared" si="15"/>
        <v>1632000</v>
      </c>
      <c r="G595" s="146"/>
    </row>
    <row r="596" spans="1:11" ht="24.75" x14ac:dyDescent="0.25">
      <c r="A596" s="269"/>
      <c r="B596" s="4" t="s">
        <v>2794</v>
      </c>
      <c r="C596" s="6">
        <v>12</v>
      </c>
      <c r="D596" s="168" t="s">
        <v>22</v>
      </c>
      <c r="E596" s="12">
        <v>123873</v>
      </c>
      <c r="F596" s="27">
        <f t="shared" si="15"/>
        <v>1486476</v>
      </c>
      <c r="G596" s="16"/>
    </row>
    <row r="597" spans="1:11" x14ac:dyDescent="0.25">
      <c r="A597" s="160"/>
      <c r="B597" s="4" t="s">
        <v>2112</v>
      </c>
      <c r="C597" s="6">
        <v>12</v>
      </c>
      <c r="D597" s="168" t="s">
        <v>22</v>
      </c>
      <c r="E597" s="12">
        <v>123873</v>
      </c>
      <c r="F597" s="27">
        <f t="shared" si="15"/>
        <v>1486476</v>
      </c>
      <c r="G597" s="16"/>
    </row>
    <row r="598" spans="1:11" ht="24.75" x14ac:dyDescent="0.25">
      <c r="A598" s="160"/>
      <c r="B598" s="4" t="s">
        <v>2113</v>
      </c>
      <c r="C598" s="6">
        <f>2*12</f>
        <v>24</v>
      </c>
      <c r="D598" s="168" t="s">
        <v>22</v>
      </c>
      <c r="E598" s="12">
        <v>123873</v>
      </c>
      <c r="F598" s="27">
        <f t="shared" si="15"/>
        <v>2972952</v>
      </c>
      <c r="G598" s="16"/>
    </row>
    <row r="599" spans="1:11" x14ac:dyDescent="0.25">
      <c r="A599" s="148" t="s">
        <v>2714</v>
      </c>
      <c r="B599" s="154" t="s">
        <v>2793</v>
      </c>
      <c r="C599" s="6"/>
      <c r="D599" s="168"/>
      <c r="E599" s="12"/>
      <c r="F599" s="27"/>
      <c r="G599" s="16"/>
    </row>
    <row r="600" spans="1:11" ht="24" x14ac:dyDescent="0.25">
      <c r="A600" s="269"/>
      <c r="B600" s="153" t="s">
        <v>2987</v>
      </c>
      <c r="C600" s="167">
        <f>8*12</f>
        <v>96</v>
      </c>
      <c r="D600" s="168" t="s">
        <v>22</v>
      </c>
      <c r="E600" s="12">
        <v>18600</v>
      </c>
      <c r="F600" s="27">
        <f>E600*C600</f>
        <v>1785600</v>
      </c>
      <c r="G600" s="16"/>
      <c r="H600" s="451"/>
    </row>
    <row r="601" spans="1:11" ht="24" x14ac:dyDescent="0.25">
      <c r="A601" s="269"/>
      <c r="B601" s="153" t="s">
        <v>2795</v>
      </c>
      <c r="C601" s="167">
        <v>12</v>
      </c>
      <c r="D601" s="168" t="s">
        <v>22</v>
      </c>
      <c r="E601" s="12">
        <v>18600</v>
      </c>
      <c r="F601" s="27">
        <f t="shared" ref="F601:F605" si="16">E601*C601</f>
        <v>223200</v>
      </c>
      <c r="G601" s="16"/>
      <c r="H601" s="175"/>
    </row>
    <row r="602" spans="1:11" ht="24" x14ac:dyDescent="0.25">
      <c r="A602" s="269"/>
      <c r="B602" s="153" t="s">
        <v>2796</v>
      </c>
      <c r="C602" s="167">
        <v>12</v>
      </c>
      <c r="D602" s="168" t="s">
        <v>22</v>
      </c>
      <c r="E602" s="12">
        <v>18600</v>
      </c>
      <c r="F602" s="27">
        <f t="shared" si="16"/>
        <v>223200</v>
      </c>
      <c r="G602" s="16"/>
    </row>
    <row r="603" spans="1:11" ht="24.75" x14ac:dyDescent="0.25">
      <c r="A603" s="269"/>
      <c r="B603" s="4" t="s">
        <v>2797</v>
      </c>
      <c r="C603" s="6">
        <v>12</v>
      </c>
      <c r="D603" s="168" t="s">
        <v>22</v>
      </c>
      <c r="E603" s="12">
        <v>18600</v>
      </c>
      <c r="F603" s="27">
        <f t="shared" si="16"/>
        <v>223200</v>
      </c>
      <c r="G603" s="16"/>
    </row>
    <row r="604" spans="1:11" ht="24.75" x14ac:dyDescent="0.25">
      <c r="A604" s="269"/>
      <c r="B604" s="4" t="s">
        <v>2798</v>
      </c>
      <c r="C604" s="6">
        <v>12</v>
      </c>
      <c r="D604" s="168" t="s">
        <v>22</v>
      </c>
      <c r="E604" s="12">
        <v>18600</v>
      </c>
      <c r="F604" s="27">
        <f t="shared" si="16"/>
        <v>223200</v>
      </c>
      <c r="G604" s="16"/>
    </row>
    <row r="605" spans="1:11" ht="24.75" x14ac:dyDescent="0.25">
      <c r="A605" s="269"/>
      <c r="B605" s="4" t="s">
        <v>2799</v>
      </c>
      <c r="C605" s="6">
        <f>2*12</f>
        <v>24</v>
      </c>
      <c r="D605" s="168" t="s">
        <v>22</v>
      </c>
      <c r="E605" s="12">
        <v>18600</v>
      </c>
      <c r="F605" s="27">
        <f t="shared" si="16"/>
        <v>446400</v>
      </c>
      <c r="G605" s="16"/>
    </row>
    <row r="606" spans="1:11" x14ac:dyDescent="0.25">
      <c r="A606" s="328"/>
      <c r="B606" s="1805" t="s">
        <v>27</v>
      </c>
      <c r="C606" s="1805"/>
      <c r="D606" s="1805"/>
      <c r="E606" s="1806"/>
      <c r="F606" s="12">
        <f>SUM(F593:F605)</f>
        <v>24226512</v>
      </c>
      <c r="G606" s="16" t="s">
        <v>2620</v>
      </c>
      <c r="K606" s="286">
        <f>F606</f>
        <v>24226512</v>
      </c>
    </row>
    <row r="608" spans="1:11" x14ac:dyDescent="0.25">
      <c r="A608" s="1807" t="s">
        <v>614</v>
      </c>
      <c r="B608" s="1807"/>
      <c r="C608" s="5" t="s">
        <v>28</v>
      </c>
      <c r="D608" s="1808" t="s">
        <v>1698</v>
      </c>
      <c r="E608" s="1808"/>
      <c r="F608" s="1808"/>
      <c r="G608" s="5"/>
    </row>
    <row r="609" spans="1:7" x14ac:dyDescent="0.25">
      <c r="A609" s="1807" t="s">
        <v>29</v>
      </c>
      <c r="B609" s="1807"/>
      <c r="C609" s="5"/>
      <c r="D609" s="1809" t="s">
        <v>2988</v>
      </c>
      <c r="E609" s="1809"/>
      <c r="F609" s="1809"/>
      <c r="G609" s="5"/>
    </row>
    <row r="610" spans="1:7" x14ac:dyDescent="0.25">
      <c r="A610" s="1"/>
      <c r="B610" s="3"/>
      <c r="C610" s="5"/>
      <c r="D610" s="7"/>
      <c r="E610" s="17"/>
      <c r="F610" s="17"/>
      <c r="G610" s="5"/>
    </row>
    <row r="611" spans="1:7" x14ac:dyDescent="0.25">
      <c r="A611" s="1"/>
      <c r="B611" s="3"/>
      <c r="C611" s="5"/>
      <c r="D611" s="7"/>
      <c r="E611" s="17"/>
      <c r="F611" s="17"/>
      <c r="G611" s="5"/>
    </row>
    <row r="612" spans="1:7" x14ac:dyDescent="0.25">
      <c r="A612" s="1807"/>
      <c r="B612" s="1807"/>
      <c r="C612" s="5"/>
      <c r="D612" s="7"/>
      <c r="E612" s="1807"/>
      <c r="F612" s="1807"/>
      <c r="G612" s="5"/>
    </row>
    <row r="613" spans="1:7" x14ac:dyDescent="0.25">
      <c r="A613" s="1807" t="s">
        <v>30</v>
      </c>
      <c r="B613" s="1807"/>
      <c r="C613" s="5"/>
      <c r="D613" s="1807" t="s">
        <v>2989</v>
      </c>
      <c r="E613" s="1807"/>
      <c r="F613" s="1807"/>
      <c r="G613" s="5"/>
    </row>
    <row r="614" spans="1:7" x14ac:dyDescent="0.25">
      <c r="A614" s="1800" t="s">
        <v>0</v>
      </c>
      <c r="B614" s="1800"/>
      <c r="C614" s="1800"/>
      <c r="D614" s="1800"/>
      <c r="E614" s="1800"/>
      <c r="F614" s="1800"/>
      <c r="G614" s="162"/>
    </row>
    <row r="615" spans="1:7" x14ac:dyDescent="0.25">
      <c r="A615" s="1800" t="s">
        <v>1</v>
      </c>
      <c r="B615" s="1800"/>
      <c r="C615" s="1800"/>
      <c r="D615" s="1800"/>
      <c r="E615" s="1800"/>
      <c r="F615" s="1800"/>
      <c r="G615" s="162"/>
    </row>
    <row r="616" spans="1:7" x14ac:dyDescent="0.25">
      <c r="A616" s="1800" t="s">
        <v>1697</v>
      </c>
      <c r="B616" s="1800"/>
      <c r="C616" s="1800"/>
      <c r="D616" s="1800"/>
      <c r="E616" s="1800"/>
      <c r="F616" s="1800"/>
      <c r="G616" s="162"/>
    </row>
    <row r="617" spans="1:7" x14ac:dyDescent="0.25">
      <c r="A617" s="138"/>
      <c r="B617" s="138"/>
      <c r="C617" s="138"/>
      <c r="D617" s="138"/>
      <c r="E617" s="138"/>
      <c r="F617" s="138"/>
      <c r="G617" s="162"/>
    </row>
    <row r="618" spans="1:7" x14ac:dyDescent="0.25">
      <c r="A618" s="1" t="s">
        <v>276</v>
      </c>
      <c r="B618" s="3" t="s">
        <v>3</v>
      </c>
      <c r="C618" s="5"/>
      <c r="D618" s="7"/>
      <c r="E618" s="8"/>
      <c r="F618" s="13"/>
      <c r="G618" s="5"/>
    </row>
    <row r="619" spans="1:7" ht="36.75" x14ac:dyDescent="0.25">
      <c r="A619" s="140" t="s">
        <v>277</v>
      </c>
      <c r="B619" s="3" t="s">
        <v>5</v>
      </c>
      <c r="C619" s="5"/>
      <c r="D619" s="7"/>
      <c r="E619" s="23" t="s">
        <v>6</v>
      </c>
      <c r="F619" s="13"/>
      <c r="G619" s="5"/>
    </row>
    <row r="620" spans="1:7" ht="24.75" x14ac:dyDescent="0.25">
      <c r="A620" s="140" t="s">
        <v>7</v>
      </c>
      <c r="B620" s="3" t="s">
        <v>2115</v>
      </c>
      <c r="C620" s="5"/>
      <c r="D620" s="7"/>
      <c r="E620" s="10" t="s">
        <v>9</v>
      </c>
      <c r="F620" s="15"/>
      <c r="G620" s="5"/>
    </row>
    <row r="621" spans="1:7" x14ac:dyDescent="0.25">
      <c r="A621" s="285" t="s">
        <v>38</v>
      </c>
      <c r="B621" s="3"/>
      <c r="C621" s="5"/>
      <c r="D621" s="7"/>
      <c r="E621" s="8"/>
      <c r="F621" s="13"/>
      <c r="G621" s="5"/>
    </row>
    <row r="622" spans="1:7" x14ac:dyDescent="0.25">
      <c r="A622" s="140" t="s">
        <v>11</v>
      </c>
      <c r="B622" s="3"/>
      <c r="C622" s="5"/>
      <c r="D622" s="7"/>
      <c r="E622" s="8"/>
      <c r="F622" s="13"/>
      <c r="G622" s="5"/>
    </row>
    <row r="623" spans="1:7" x14ac:dyDescent="0.25">
      <c r="A623" s="140"/>
      <c r="B623" s="3"/>
      <c r="C623" s="5"/>
      <c r="D623" s="7"/>
      <c r="E623" s="8"/>
      <c r="F623" s="13"/>
      <c r="G623" s="5"/>
    </row>
    <row r="624" spans="1:7" ht="24" x14ac:dyDescent="0.25">
      <c r="A624" s="146" t="s">
        <v>31</v>
      </c>
      <c r="B624" s="144" t="s">
        <v>32</v>
      </c>
      <c r="C624" s="1801" t="s">
        <v>13</v>
      </c>
      <c r="D624" s="1802"/>
      <c r="E624" s="144" t="s">
        <v>33</v>
      </c>
      <c r="F624" s="152" t="s">
        <v>34</v>
      </c>
      <c r="G624" s="146" t="s">
        <v>35</v>
      </c>
    </row>
    <row r="625" spans="1:8" x14ac:dyDescent="0.25">
      <c r="A625" s="145">
        <v>1</v>
      </c>
      <c r="B625" s="145">
        <v>2</v>
      </c>
      <c r="C625" s="1803">
        <v>3</v>
      </c>
      <c r="D625" s="1803"/>
      <c r="E625" s="18">
        <v>4</v>
      </c>
      <c r="F625" s="147">
        <v>5</v>
      </c>
      <c r="G625" s="147">
        <v>6</v>
      </c>
    </row>
    <row r="626" spans="1:8" x14ac:dyDescent="0.25">
      <c r="A626" s="148" t="s">
        <v>2096</v>
      </c>
      <c r="B626" s="149" t="s">
        <v>280</v>
      </c>
      <c r="C626" s="167"/>
      <c r="D626" s="203"/>
      <c r="E626" s="30"/>
      <c r="F626" s="27"/>
      <c r="G626" s="256"/>
    </row>
    <row r="627" spans="1:8" ht="24" x14ac:dyDescent="0.25">
      <c r="A627" s="148" t="s">
        <v>2096</v>
      </c>
      <c r="B627" s="149" t="s">
        <v>2097</v>
      </c>
      <c r="C627" s="167"/>
      <c r="D627" s="203"/>
      <c r="E627" s="30"/>
      <c r="F627" s="27"/>
      <c r="G627" s="16"/>
    </row>
    <row r="628" spans="1:8" x14ac:dyDescent="0.25">
      <c r="A628" s="148" t="s">
        <v>2272</v>
      </c>
      <c r="B628" s="154" t="s">
        <v>2114</v>
      </c>
      <c r="C628" s="167"/>
      <c r="D628" s="168"/>
      <c r="E628" s="30"/>
      <c r="F628" s="27"/>
      <c r="G628" s="146"/>
    </row>
    <row r="629" spans="1:8" ht="24" x14ac:dyDescent="0.25">
      <c r="A629" s="148"/>
      <c r="B629" s="153" t="s">
        <v>2800</v>
      </c>
      <c r="C629" s="167">
        <f>211*12</f>
        <v>2532</v>
      </c>
      <c r="D629" s="168" t="s">
        <v>22</v>
      </c>
      <c r="E629" s="30">
        <v>16800</v>
      </c>
      <c r="F629" s="27">
        <f>E629*C629</f>
        <v>42537600</v>
      </c>
      <c r="G629" s="146"/>
      <c r="H629" s="175"/>
    </row>
    <row r="630" spans="1:8" x14ac:dyDescent="0.25">
      <c r="A630" s="160"/>
      <c r="B630" s="153" t="s">
        <v>2116</v>
      </c>
      <c r="C630" s="6"/>
      <c r="D630" s="168"/>
      <c r="E630" s="12"/>
      <c r="F630" s="27"/>
      <c r="G630" s="16"/>
    </row>
    <row r="631" spans="1:8" x14ac:dyDescent="0.25">
      <c r="A631" s="160"/>
      <c r="B631" s="153" t="s">
        <v>2117</v>
      </c>
      <c r="C631" s="6"/>
      <c r="D631" s="168"/>
      <c r="E631" s="12"/>
      <c r="F631" s="27"/>
      <c r="G631" s="16"/>
    </row>
    <row r="632" spans="1:8" x14ac:dyDescent="0.25">
      <c r="A632" s="160"/>
      <c r="B632" s="153" t="s">
        <v>2118</v>
      </c>
      <c r="C632" s="6"/>
      <c r="D632" s="168"/>
      <c r="E632" s="12"/>
      <c r="F632" s="27"/>
      <c r="G632" s="16"/>
    </row>
    <row r="633" spans="1:8" x14ac:dyDescent="0.25">
      <c r="A633" s="160"/>
      <c r="B633" s="153" t="s">
        <v>2119</v>
      </c>
      <c r="C633" s="6"/>
      <c r="D633" s="168"/>
      <c r="E633" s="12"/>
      <c r="F633" s="27"/>
      <c r="G633" s="16"/>
    </row>
    <row r="634" spans="1:8" x14ac:dyDescent="0.25">
      <c r="A634" s="160"/>
      <c r="B634" s="153" t="s">
        <v>2120</v>
      </c>
      <c r="C634" s="6"/>
      <c r="D634" s="168"/>
      <c r="E634" s="12"/>
      <c r="F634" s="27"/>
      <c r="G634" s="16"/>
    </row>
    <row r="635" spans="1:8" x14ac:dyDescent="0.25">
      <c r="A635" s="160"/>
      <c r="B635" s="153" t="s">
        <v>2121</v>
      </c>
      <c r="C635" s="6"/>
      <c r="D635" s="168"/>
      <c r="E635" s="12"/>
      <c r="F635" s="27"/>
      <c r="G635" s="16"/>
    </row>
    <row r="636" spans="1:8" x14ac:dyDescent="0.25">
      <c r="A636" s="160"/>
      <c r="B636" s="153" t="s">
        <v>2122</v>
      </c>
      <c r="C636" s="6"/>
      <c r="D636" s="168"/>
      <c r="E636" s="12"/>
      <c r="F636" s="27"/>
      <c r="G636" s="16"/>
    </row>
    <row r="637" spans="1:8" x14ac:dyDescent="0.25">
      <c r="A637" s="160"/>
      <c r="B637" s="153" t="s">
        <v>2123</v>
      </c>
      <c r="C637" s="6"/>
      <c r="D637" s="168"/>
      <c r="E637" s="12"/>
      <c r="F637" s="27"/>
      <c r="G637" s="16"/>
    </row>
    <row r="638" spans="1:8" x14ac:dyDescent="0.25">
      <c r="A638" s="160"/>
      <c r="B638" s="153" t="s">
        <v>2124</v>
      </c>
      <c r="C638" s="6"/>
      <c r="D638" s="168"/>
      <c r="E638" s="12"/>
      <c r="F638" s="27"/>
      <c r="G638" s="16"/>
    </row>
    <row r="639" spans="1:8" x14ac:dyDescent="0.25">
      <c r="A639" s="160"/>
      <c r="B639" s="153" t="s">
        <v>2125</v>
      </c>
      <c r="C639" s="6"/>
      <c r="D639" s="168"/>
      <c r="E639" s="12"/>
      <c r="F639" s="27"/>
      <c r="G639" s="16"/>
    </row>
    <row r="640" spans="1:8" x14ac:dyDescent="0.25">
      <c r="A640" s="160"/>
      <c r="B640" s="4" t="s">
        <v>2126</v>
      </c>
      <c r="C640" s="6"/>
      <c r="D640" s="168"/>
      <c r="E640" s="12"/>
      <c r="F640" s="27"/>
      <c r="G640" s="16"/>
    </row>
    <row r="641" spans="1:11" x14ac:dyDescent="0.25">
      <c r="A641" s="160"/>
      <c r="B641" s="4" t="s">
        <v>2127</v>
      </c>
      <c r="C641" s="6"/>
      <c r="D641" s="168"/>
      <c r="E641" s="12"/>
      <c r="F641" s="27"/>
      <c r="G641" s="16"/>
    </row>
    <row r="642" spans="1:11" x14ac:dyDescent="0.25">
      <c r="A642" s="328"/>
      <c r="B642" s="1805" t="s">
        <v>27</v>
      </c>
      <c r="C642" s="1805"/>
      <c r="D642" s="1805"/>
      <c r="E642" s="1806"/>
      <c r="F642" s="12">
        <f>SUM(F629:F641)</f>
        <v>42537600</v>
      </c>
      <c r="G642" s="16" t="s">
        <v>2620</v>
      </c>
      <c r="K642" s="286">
        <f>F642</f>
        <v>42537600</v>
      </c>
    </row>
    <row r="644" spans="1:11" x14ac:dyDescent="0.25">
      <c r="A644" s="1807" t="s">
        <v>614</v>
      </c>
      <c r="B644" s="1807"/>
      <c r="C644" s="5" t="s">
        <v>28</v>
      </c>
      <c r="D644" s="1808" t="s">
        <v>1698</v>
      </c>
      <c r="E644" s="1808"/>
      <c r="F644" s="1808"/>
      <c r="G644" s="5"/>
    </row>
    <row r="645" spans="1:11" x14ac:dyDescent="0.25">
      <c r="A645" s="1807" t="s">
        <v>29</v>
      </c>
      <c r="B645" s="1807"/>
      <c r="C645" s="5"/>
      <c r="D645" s="1809" t="s">
        <v>2988</v>
      </c>
      <c r="E645" s="1809"/>
      <c r="F645" s="1809"/>
      <c r="G645" s="5"/>
    </row>
    <row r="646" spans="1:11" x14ac:dyDescent="0.25">
      <c r="A646" s="1"/>
      <c r="B646" s="3"/>
      <c r="C646" s="5"/>
      <c r="D646" s="7"/>
      <c r="E646" s="17"/>
      <c r="F646" s="1705">
        <f>F642+F606+F570</f>
        <v>103481832</v>
      </c>
      <c r="G646" s="5"/>
    </row>
    <row r="647" spans="1:11" x14ac:dyDescent="0.25">
      <c r="A647" s="1"/>
      <c r="B647" s="3"/>
      <c r="C647" s="5"/>
      <c r="D647" s="7"/>
      <c r="E647" s="17"/>
      <c r="F647" s="17"/>
      <c r="G647" s="5"/>
    </row>
    <row r="648" spans="1:11" x14ac:dyDescent="0.25">
      <c r="A648" s="1807"/>
      <c r="B648" s="1807"/>
      <c r="C648" s="5"/>
      <c r="D648" s="7"/>
      <c r="E648" s="1807"/>
      <c r="F648" s="1807"/>
      <c r="G648" s="5"/>
    </row>
    <row r="649" spans="1:11" x14ac:dyDescent="0.25">
      <c r="A649" s="1807" t="s">
        <v>30</v>
      </c>
      <c r="B649" s="1807"/>
      <c r="C649" s="5"/>
      <c r="D649" s="1807" t="s">
        <v>2989</v>
      </c>
      <c r="E649" s="1807"/>
      <c r="F649" s="1807"/>
      <c r="G649" s="5"/>
    </row>
    <row r="651" spans="1:11" x14ac:dyDescent="0.25">
      <c r="A651" s="1870" t="s">
        <v>0</v>
      </c>
      <c r="B651" s="1870"/>
      <c r="C651" s="1870"/>
      <c r="D651" s="1870"/>
      <c r="E651" s="1870"/>
      <c r="F651" s="1870"/>
      <c r="G651" s="1870"/>
    </row>
    <row r="652" spans="1:11" x14ac:dyDescent="0.25">
      <c r="A652" s="1870" t="s">
        <v>1</v>
      </c>
      <c r="B652" s="1870"/>
      <c r="C652" s="1870"/>
      <c r="D652" s="1870"/>
      <c r="E652" s="1870"/>
      <c r="F652" s="1870"/>
      <c r="G652" s="1870"/>
    </row>
    <row r="653" spans="1:11" x14ac:dyDescent="0.25">
      <c r="A653" s="1870" t="s">
        <v>1697</v>
      </c>
      <c r="B653" s="1870"/>
      <c r="C653" s="1870"/>
      <c r="D653" s="1870"/>
      <c r="E653" s="1870"/>
      <c r="F653" s="1870"/>
      <c r="G653" s="1870"/>
    </row>
    <row r="654" spans="1:11" x14ac:dyDescent="0.25">
      <c r="A654" s="534"/>
      <c r="B654" s="534"/>
      <c r="C654" s="534"/>
      <c r="D654" s="534"/>
      <c r="E654" s="534"/>
      <c r="F654" s="534"/>
      <c r="G654" s="534"/>
    </row>
    <row r="655" spans="1:11" ht="25.5" x14ac:dyDescent="0.25">
      <c r="A655" s="703" t="s">
        <v>296</v>
      </c>
      <c r="B655" s="820" t="s">
        <v>3</v>
      </c>
      <c r="C655" s="703"/>
      <c r="D655" s="703"/>
      <c r="E655" s="1048" t="s">
        <v>6</v>
      </c>
      <c r="F655" s="1604"/>
      <c r="G655" s="1541"/>
    </row>
    <row r="656" spans="1:11" ht="25.5" x14ac:dyDescent="0.25">
      <c r="A656" s="703" t="s">
        <v>297</v>
      </c>
      <c r="B656" s="1613" t="s">
        <v>2823</v>
      </c>
      <c r="C656" s="703"/>
      <c r="D656" s="703"/>
      <c r="E656" s="1605" t="s">
        <v>9</v>
      </c>
      <c r="F656" s="1606"/>
      <c r="G656" s="1541"/>
    </row>
    <row r="657" spans="1:7" x14ac:dyDescent="0.25">
      <c r="A657" s="704" t="s">
        <v>298</v>
      </c>
      <c r="B657" s="704" t="s">
        <v>529</v>
      </c>
      <c r="C657" s="704"/>
      <c r="D657" s="704"/>
      <c r="E657" s="704"/>
      <c r="F657" s="704"/>
      <c r="G657" s="1541"/>
    </row>
    <row r="658" spans="1:7" x14ac:dyDescent="0.25">
      <c r="A658" s="661" t="s">
        <v>62</v>
      </c>
      <c r="B658" s="389" t="s">
        <v>63</v>
      </c>
      <c r="C658" s="389"/>
      <c r="D658" s="441"/>
      <c r="E658" s="441"/>
      <c r="F658" s="441"/>
      <c r="G658" s="1541"/>
    </row>
    <row r="659" spans="1:7" x14ac:dyDescent="0.25">
      <c r="A659" s="389" t="s">
        <v>64</v>
      </c>
      <c r="B659" s="389"/>
      <c r="C659" s="389"/>
      <c r="D659" s="1835"/>
      <c r="E659" s="1835"/>
      <c r="F659" s="441"/>
      <c r="G659" s="1541"/>
    </row>
    <row r="660" spans="1:7" x14ac:dyDescent="0.25">
      <c r="A660" s="781"/>
      <c r="B660" s="781"/>
      <c r="C660" s="781"/>
      <c r="D660" s="781"/>
      <c r="E660" s="781"/>
      <c r="F660" s="781"/>
      <c r="G660" s="1541"/>
    </row>
    <row r="661" spans="1:7" ht="24" x14ac:dyDescent="0.25">
      <c r="A661" s="443" t="s">
        <v>300</v>
      </c>
      <c r="B661" s="443" t="s">
        <v>12</v>
      </c>
      <c r="C661" s="1836" t="s">
        <v>13</v>
      </c>
      <c r="D661" s="1837"/>
      <c r="E661" s="709" t="s">
        <v>14</v>
      </c>
      <c r="F661" s="444" t="s">
        <v>15</v>
      </c>
      <c r="G661" s="1607" t="s">
        <v>301</v>
      </c>
    </row>
    <row r="662" spans="1:7" x14ac:dyDescent="0.25">
      <c r="A662" s="443">
        <v>1</v>
      </c>
      <c r="B662" s="443">
        <v>2</v>
      </c>
      <c r="C662" s="1836">
        <v>3</v>
      </c>
      <c r="D662" s="1837"/>
      <c r="E662" s="782">
        <v>4</v>
      </c>
      <c r="F662" s="444">
        <v>5</v>
      </c>
      <c r="G662" s="1608">
        <v>6</v>
      </c>
    </row>
    <row r="663" spans="1:7" x14ac:dyDescent="0.25">
      <c r="A663" s="575" t="s">
        <v>530</v>
      </c>
      <c r="B663" s="1579" t="s">
        <v>323</v>
      </c>
      <c r="C663" s="392"/>
      <c r="D663" s="393"/>
      <c r="E663" s="446"/>
      <c r="F663" s="922"/>
      <c r="G663" s="394"/>
    </row>
    <row r="664" spans="1:7" ht="24" x14ac:dyDescent="0.25">
      <c r="A664" s="575" t="s">
        <v>531</v>
      </c>
      <c r="B664" s="1579" t="s">
        <v>532</v>
      </c>
      <c r="C664" s="392"/>
      <c r="D664" s="393"/>
      <c r="E664" s="446"/>
      <c r="F664" s="922"/>
      <c r="G664" s="394"/>
    </row>
    <row r="665" spans="1:7" ht="24.75" x14ac:dyDescent="0.25">
      <c r="A665" s="575" t="s">
        <v>533</v>
      </c>
      <c r="B665" s="396" t="s">
        <v>534</v>
      </c>
      <c r="C665" s="449"/>
      <c r="D665" s="398"/>
      <c r="E665" s="789"/>
      <c r="F665" s="791"/>
      <c r="G665" s="394"/>
    </row>
    <row r="666" spans="1:7" x14ac:dyDescent="0.25">
      <c r="A666" s="395"/>
      <c r="B666" s="1509" t="s">
        <v>2906</v>
      </c>
      <c r="C666" s="449">
        <f>10*12</f>
        <v>120</v>
      </c>
      <c r="D666" s="398" t="s">
        <v>180</v>
      </c>
      <c r="E666" s="789">
        <v>22000</v>
      </c>
      <c r="F666" s="791">
        <f>E666*C666</f>
        <v>2640000</v>
      </c>
      <c r="G666" s="394"/>
    </row>
    <row r="667" spans="1:7" x14ac:dyDescent="0.25">
      <c r="A667" s="395"/>
      <c r="B667" s="1509" t="s">
        <v>535</v>
      </c>
      <c r="C667" s="449">
        <v>60</v>
      </c>
      <c r="D667" s="398" t="s">
        <v>180</v>
      </c>
      <c r="E667" s="789">
        <v>108800</v>
      </c>
      <c r="F667" s="791">
        <f t="shared" ref="F667:F672" si="17">E667*C667</f>
        <v>6528000</v>
      </c>
      <c r="G667" s="394"/>
    </row>
    <row r="668" spans="1:7" x14ac:dyDescent="0.25">
      <c r="A668" s="395"/>
      <c r="B668" s="1509" t="s">
        <v>536</v>
      </c>
      <c r="C668" s="449">
        <f>10*12</f>
        <v>120</v>
      </c>
      <c r="D668" s="398" t="s">
        <v>180</v>
      </c>
      <c r="E668" s="789">
        <v>50000</v>
      </c>
      <c r="F668" s="791">
        <f t="shared" si="17"/>
        <v>6000000</v>
      </c>
      <c r="G668" s="394"/>
    </row>
    <row r="669" spans="1:7" x14ac:dyDescent="0.25">
      <c r="A669" s="395"/>
      <c r="B669" s="395" t="s">
        <v>537</v>
      </c>
      <c r="C669" s="449">
        <v>240</v>
      </c>
      <c r="D669" s="398" t="s">
        <v>180</v>
      </c>
      <c r="E669" s="789">
        <v>20000</v>
      </c>
      <c r="F669" s="791">
        <f>E669*C669</f>
        <v>4800000</v>
      </c>
      <c r="G669" s="394"/>
    </row>
    <row r="670" spans="1:7" x14ac:dyDescent="0.25">
      <c r="A670" s="395"/>
      <c r="B670" s="1509" t="s">
        <v>538</v>
      </c>
      <c r="C670" s="449">
        <v>172</v>
      </c>
      <c r="D670" s="398" t="s">
        <v>539</v>
      </c>
      <c r="E670" s="789">
        <v>12000</v>
      </c>
      <c r="F670" s="791">
        <f t="shared" si="17"/>
        <v>2064000</v>
      </c>
      <c r="G670" s="394"/>
    </row>
    <row r="671" spans="1:7" x14ac:dyDescent="0.25">
      <c r="A671" s="395"/>
      <c r="B671" s="1509" t="s">
        <v>540</v>
      </c>
      <c r="C671" s="449">
        <f>25*12</f>
        <v>300</v>
      </c>
      <c r="D671" s="398" t="s">
        <v>541</v>
      </c>
      <c r="E671" s="789">
        <v>5000</v>
      </c>
      <c r="F671" s="791">
        <f>E671*C671</f>
        <v>1500000</v>
      </c>
      <c r="G671" s="394"/>
    </row>
    <row r="672" spans="1:7" x14ac:dyDescent="0.25">
      <c r="A672" s="395"/>
      <c r="B672" s="1509" t="s">
        <v>2916</v>
      </c>
      <c r="C672" s="449">
        <v>210</v>
      </c>
      <c r="D672" s="398" t="s">
        <v>121</v>
      </c>
      <c r="E672" s="789">
        <v>50000</v>
      </c>
      <c r="F672" s="791">
        <f t="shared" si="17"/>
        <v>10500000</v>
      </c>
      <c r="G672" s="394"/>
    </row>
    <row r="673" spans="1:22" x14ac:dyDescent="0.25">
      <c r="A673" s="395"/>
      <c r="B673" s="1574"/>
      <c r="C673" s="448"/>
      <c r="D673" s="1053"/>
      <c r="E673" s="1065"/>
      <c r="F673" s="403"/>
      <c r="G673" s="394"/>
    </row>
    <row r="674" spans="1:22" ht="24.75" x14ac:dyDescent="0.25">
      <c r="A674" s="395"/>
      <c r="B674" s="1871" t="s">
        <v>27</v>
      </c>
      <c r="C674" s="1872"/>
      <c r="D674" s="1872"/>
      <c r="E674" s="1873"/>
      <c r="F674" s="404">
        <f>SUM(F666:F673)</f>
        <v>34032000</v>
      </c>
      <c r="G674" s="401" t="s">
        <v>2639</v>
      </c>
      <c r="I674" s="175"/>
      <c r="P674" s="175"/>
      <c r="V674" s="175">
        <f>F674</f>
        <v>34032000</v>
      </c>
    </row>
    <row r="675" spans="1:22" x14ac:dyDescent="0.25">
      <c r="A675" s="1541"/>
      <c r="B675" s="1541"/>
      <c r="C675" s="1541"/>
      <c r="D675" s="1541"/>
      <c r="E675" s="1541"/>
      <c r="F675" s="1541"/>
      <c r="G675" s="1541"/>
    </row>
    <row r="676" spans="1:22" x14ac:dyDescent="0.25">
      <c r="A676" s="1807" t="s">
        <v>614</v>
      </c>
      <c r="B676" s="1807"/>
      <c r="C676" s="5" t="s">
        <v>28</v>
      </c>
      <c r="D676" s="1808" t="s">
        <v>1698</v>
      </c>
      <c r="E676" s="1808"/>
      <c r="F676" s="1808"/>
      <c r="G676" s="441"/>
    </row>
    <row r="677" spans="1:22" x14ac:dyDescent="0.25">
      <c r="A677" s="1807" t="s">
        <v>29</v>
      </c>
      <c r="B677" s="1807"/>
      <c r="C677" s="5"/>
      <c r="D677" s="1809" t="s">
        <v>2988</v>
      </c>
      <c r="E677" s="1809"/>
      <c r="F677" s="1809"/>
      <c r="G677" s="441"/>
    </row>
    <row r="678" spans="1:22" x14ac:dyDescent="0.25">
      <c r="A678" s="1"/>
      <c r="B678" s="3"/>
      <c r="C678" s="5"/>
      <c r="D678" s="7"/>
      <c r="E678" s="17"/>
      <c r="F678" s="17"/>
      <c r="G678" s="441"/>
    </row>
    <row r="679" spans="1:22" x14ac:dyDescent="0.25">
      <c r="A679" s="1"/>
      <c r="B679" s="3"/>
      <c r="C679" s="5"/>
      <c r="D679" s="7"/>
      <c r="E679" s="17"/>
      <c r="F679" s="17"/>
      <c r="G679" s="441"/>
    </row>
    <row r="680" spans="1:22" x14ac:dyDescent="0.25">
      <c r="A680" s="1807"/>
      <c r="B680" s="1807"/>
      <c r="C680" s="5"/>
      <c r="D680" s="7"/>
      <c r="E680" s="1807"/>
      <c r="F680" s="1807"/>
      <c r="G680" s="441"/>
    </row>
    <row r="681" spans="1:22" x14ac:dyDescent="0.25">
      <c r="A681" s="1807" t="s">
        <v>30</v>
      </c>
      <c r="B681" s="1807"/>
      <c r="C681" s="5"/>
      <c r="D681" s="1807" t="s">
        <v>2989</v>
      </c>
      <c r="E681" s="1807"/>
      <c r="F681" s="1807"/>
      <c r="G681" s="441"/>
    </row>
    <row r="682" spans="1:22" x14ac:dyDescent="0.25">
      <c r="A682" s="1800" t="s">
        <v>521</v>
      </c>
      <c r="B682" s="1800"/>
      <c r="C682" s="1800"/>
      <c r="D682" s="1800"/>
      <c r="E682" s="1800"/>
      <c r="F682" s="1800"/>
      <c r="G682" s="1800"/>
    </row>
    <row r="683" spans="1:22" x14ac:dyDescent="0.25">
      <c r="A683" s="1841" t="s">
        <v>0</v>
      </c>
      <c r="B683" s="1841"/>
      <c r="C683" s="1841"/>
      <c r="D683" s="1841"/>
      <c r="E683" s="1841"/>
      <c r="F683" s="1841"/>
      <c r="G683" s="1841"/>
    </row>
    <row r="684" spans="1:22" x14ac:dyDescent="0.25">
      <c r="A684" s="1841" t="s">
        <v>1</v>
      </c>
      <c r="B684" s="1841"/>
      <c r="C684" s="1841"/>
      <c r="D684" s="1841"/>
      <c r="E684" s="1841"/>
      <c r="F684" s="1841"/>
      <c r="G684" s="1841"/>
    </row>
    <row r="685" spans="1:22" x14ac:dyDescent="0.25">
      <c r="A685" s="1841" t="s">
        <v>1697</v>
      </c>
      <c r="B685" s="1841"/>
      <c r="C685" s="1841"/>
      <c r="D685" s="1841"/>
      <c r="E685" s="1841"/>
      <c r="F685" s="1841"/>
      <c r="G685" s="1841"/>
    </row>
    <row r="686" spans="1:22" x14ac:dyDescent="0.25">
      <c r="A686" s="1217"/>
      <c r="B686" s="1217"/>
      <c r="C686" s="1217"/>
      <c r="D686" s="1217"/>
      <c r="E686" s="1217"/>
      <c r="F686" s="1217"/>
      <c r="G686" s="1160"/>
    </row>
    <row r="687" spans="1:22" x14ac:dyDescent="0.25">
      <c r="A687" s="1188" t="s">
        <v>276</v>
      </c>
      <c r="B687" s="1189" t="s">
        <v>3</v>
      </c>
      <c r="C687" s="1161"/>
      <c r="D687" s="1187"/>
      <c r="E687" s="1193"/>
      <c r="F687" s="1424"/>
      <c r="G687" s="1161"/>
    </row>
    <row r="688" spans="1:22" ht="36.75" x14ac:dyDescent="0.25">
      <c r="A688" s="1199" t="s">
        <v>277</v>
      </c>
      <c r="B688" s="1189" t="s">
        <v>5</v>
      </c>
      <c r="C688" s="1161"/>
      <c r="D688" s="1187"/>
      <c r="E688" s="1163" t="s">
        <v>6</v>
      </c>
      <c r="F688" s="1424"/>
      <c r="G688" s="1161"/>
    </row>
    <row r="689" spans="1:15" x14ac:dyDescent="0.25">
      <c r="A689" s="1199" t="s">
        <v>7</v>
      </c>
      <c r="B689" s="1189" t="s">
        <v>542</v>
      </c>
      <c r="C689" s="1161"/>
      <c r="D689" s="1187"/>
      <c r="E689" s="1425" t="s">
        <v>9</v>
      </c>
      <c r="F689" s="1426"/>
      <c r="G689" s="1161"/>
    </row>
    <row r="690" spans="1:15" x14ac:dyDescent="0.25">
      <c r="A690" s="1197" t="s">
        <v>38</v>
      </c>
      <c r="B690" s="1189" t="s">
        <v>543</v>
      </c>
      <c r="C690" s="1161"/>
      <c r="D690" s="1187"/>
      <c r="E690" s="1193"/>
      <c r="F690" s="1424"/>
      <c r="G690" s="1161"/>
    </row>
    <row r="691" spans="1:15" x14ac:dyDescent="0.25">
      <c r="A691" s="1199" t="s">
        <v>11</v>
      </c>
      <c r="B691" s="1189"/>
      <c r="C691" s="1161"/>
      <c r="D691" s="1187"/>
      <c r="E691" s="1193"/>
      <c r="F691" s="1424"/>
      <c r="G691" s="1161"/>
    </row>
    <row r="692" spans="1:15" x14ac:dyDescent="0.25">
      <c r="A692" s="1199"/>
      <c r="B692" s="1189"/>
      <c r="C692" s="1161"/>
      <c r="D692" s="1187"/>
      <c r="E692" s="1193"/>
      <c r="F692" s="1424"/>
      <c r="G692" s="1161"/>
    </row>
    <row r="693" spans="1:15" ht="24" x14ac:dyDescent="0.25">
      <c r="A693" s="1169" t="s">
        <v>31</v>
      </c>
      <c r="B693" s="1165" t="s">
        <v>32</v>
      </c>
      <c r="C693" s="1874" t="s">
        <v>13</v>
      </c>
      <c r="D693" s="1875"/>
      <c r="E693" s="1165" t="s">
        <v>33</v>
      </c>
      <c r="F693" s="1209" t="s">
        <v>34</v>
      </c>
      <c r="G693" s="1169" t="s">
        <v>35</v>
      </c>
    </row>
    <row r="694" spans="1:15" x14ac:dyDescent="0.25">
      <c r="A694" s="1168">
        <v>1</v>
      </c>
      <c r="B694" s="1168">
        <v>2</v>
      </c>
      <c r="C694" s="1876">
        <v>3</v>
      </c>
      <c r="D694" s="1876"/>
      <c r="E694" s="1205">
        <v>4</v>
      </c>
      <c r="F694" s="1173">
        <v>5</v>
      </c>
      <c r="G694" s="1173">
        <v>6</v>
      </c>
    </row>
    <row r="695" spans="1:15" x14ac:dyDescent="0.25">
      <c r="A695" s="1206" t="s">
        <v>544</v>
      </c>
      <c r="B695" s="1207" t="s">
        <v>323</v>
      </c>
      <c r="C695" s="1170"/>
      <c r="D695" s="1171"/>
      <c r="E695" s="1169"/>
      <c r="F695" s="1209"/>
      <c r="G695" s="1226"/>
    </row>
    <row r="696" spans="1:15" x14ac:dyDescent="0.25">
      <c r="A696" s="1206" t="s">
        <v>545</v>
      </c>
      <c r="B696" s="1207" t="s">
        <v>546</v>
      </c>
      <c r="C696" s="1170"/>
      <c r="D696" s="1171"/>
      <c r="E696" s="1169"/>
      <c r="F696" s="1209"/>
      <c r="G696" s="1226"/>
    </row>
    <row r="697" spans="1:15" x14ac:dyDescent="0.25">
      <c r="A697" s="1206" t="s">
        <v>547</v>
      </c>
      <c r="B697" s="1183" t="s">
        <v>548</v>
      </c>
      <c r="C697" s="1177"/>
      <c r="D697" s="1208"/>
      <c r="E697" s="1433"/>
      <c r="F697" s="1434"/>
      <c r="G697" s="1231"/>
    </row>
    <row r="698" spans="1:15" x14ac:dyDescent="0.25">
      <c r="A698" s="1214"/>
      <c r="B698" s="1183" t="s">
        <v>548</v>
      </c>
      <c r="C698" s="1177">
        <v>12</v>
      </c>
      <c r="D698" s="1208" t="s">
        <v>148</v>
      </c>
      <c r="E698" s="1433">
        <v>9000</v>
      </c>
      <c r="F698" s="1434">
        <f>E698*C698</f>
        <v>108000</v>
      </c>
      <c r="G698" s="1231"/>
    </row>
    <row r="699" spans="1:15" x14ac:dyDescent="0.25">
      <c r="A699" s="1231"/>
      <c r="B699" s="1231"/>
      <c r="C699" s="1177"/>
      <c r="D699" s="1640"/>
      <c r="E699" s="1185"/>
      <c r="F699" s="1185"/>
      <c r="G699" s="1231"/>
    </row>
    <row r="700" spans="1:15" ht="24.75" x14ac:dyDescent="0.25">
      <c r="A700" s="1877" t="s">
        <v>27</v>
      </c>
      <c r="B700" s="1878"/>
      <c r="C700" s="1878"/>
      <c r="D700" s="1878"/>
      <c r="E700" s="1879"/>
      <c r="F700" s="1185"/>
      <c r="G700" s="1183" t="s">
        <v>2623</v>
      </c>
      <c r="O700" s="286"/>
    </row>
    <row r="701" spans="1:15" x14ac:dyDescent="0.25">
      <c r="A701" s="1316"/>
      <c r="B701" s="1316"/>
      <c r="C701" s="1316"/>
      <c r="D701" s="1316"/>
      <c r="E701" s="1316"/>
      <c r="F701" s="1316"/>
      <c r="G701" s="1316"/>
    </row>
    <row r="702" spans="1:15" x14ac:dyDescent="0.25">
      <c r="A702" s="1840" t="s">
        <v>614</v>
      </c>
      <c r="B702" s="1840"/>
      <c r="C702" s="1161" t="s">
        <v>28</v>
      </c>
      <c r="D702" s="1842" t="s">
        <v>1700</v>
      </c>
      <c r="E702" s="1842"/>
      <c r="F702" s="1842"/>
      <c r="G702" s="1161"/>
    </row>
    <row r="703" spans="1:15" x14ac:dyDescent="0.25">
      <c r="A703" s="1840" t="s">
        <v>29</v>
      </c>
      <c r="B703" s="1840"/>
      <c r="C703" s="1161"/>
      <c r="D703" s="1844" t="s">
        <v>1699</v>
      </c>
      <c r="E703" s="1844"/>
      <c r="F703" s="1844"/>
      <c r="G703" s="1161"/>
    </row>
    <row r="704" spans="1:15" x14ac:dyDescent="0.25">
      <c r="A704" s="1188"/>
      <c r="B704" s="1189"/>
      <c r="C704" s="1161"/>
      <c r="D704" s="1187"/>
      <c r="E704" s="1162"/>
      <c r="F704" s="1162"/>
      <c r="G704" s="1161"/>
    </row>
    <row r="705" spans="1:7" x14ac:dyDescent="0.25">
      <c r="A705" s="1188"/>
      <c r="B705" s="1189"/>
      <c r="C705" s="1161"/>
      <c r="D705" s="1187"/>
      <c r="E705" s="1162"/>
      <c r="F705" s="1162"/>
      <c r="G705" s="1161"/>
    </row>
    <row r="706" spans="1:7" x14ac:dyDescent="0.25">
      <c r="A706" s="1840"/>
      <c r="B706" s="1840"/>
      <c r="C706" s="1161"/>
      <c r="D706" s="1187"/>
      <c r="E706" s="1840"/>
      <c r="F706" s="1840"/>
      <c r="G706" s="1161"/>
    </row>
    <row r="707" spans="1:7" x14ac:dyDescent="0.25">
      <c r="A707" s="1840" t="s">
        <v>30</v>
      </c>
      <c r="B707" s="1840"/>
      <c r="C707" s="1161"/>
      <c r="D707" s="1840" t="s">
        <v>615</v>
      </c>
      <c r="E707" s="1840"/>
      <c r="F707" s="1840"/>
      <c r="G707" s="1161"/>
    </row>
    <row r="708" spans="1:7" x14ac:dyDescent="0.25">
      <c r="A708" s="136"/>
      <c r="B708" s="136"/>
      <c r="C708" s="5"/>
      <c r="D708" s="136"/>
      <c r="E708" s="136"/>
      <c r="F708" s="136"/>
      <c r="G708" s="5"/>
    </row>
    <row r="709" spans="1:7" x14ac:dyDescent="0.25">
      <c r="A709" s="136"/>
      <c r="B709" s="136"/>
      <c r="C709" s="5"/>
      <c r="D709" s="136"/>
      <c r="E709" s="136"/>
      <c r="F709" s="136"/>
      <c r="G709" s="5"/>
    </row>
    <row r="710" spans="1:7" x14ac:dyDescent="0.25">
      <c r="A710" s="1800" t="s">
        <v>0</v>
      </c>
      <c r="B710" s="1800"/>
      <c r="C710" s="1800"/>
      <c r="D710" s="1800"/>
      <c r="E710" s="1800"/>
      <c r="F710" s="1800"/>
      <c r="G710" s="1800"/>
    </row>
    <row r="711" spans="1:7" x14ac:dyDescent="0.25">
      <c r="A711" s="1800" t="s">
        <v>1</v>
      </c>
      <c r="B711" s="1800"/>
      <c r="C711" s="1800"/>
      <c r="D711" s="1800"/>
      <c r="E711" s="1800"/>
      <c r="F711" s="1800"/>
      <c r="G711" s="1800"/>
    </row>
    <row r="712" spans="1:7" x14ac:dyDescent="0.25">
      <c r="A712" s="1800" t="s">
        <v>1697</v>
      </c>
      <c r="B712" s="1800"/>
      <c r="C712" s="1800"/>
      <c r="D712" s="1800"/>
      <c r="E712" s="1800"/>
      <c r="F712" s="1800"/>
      <c r="G712" s="1800"/>
    </row>
    <row r="713" spans="1:7" x14ac:dyDescent="0.25">
      <c r="A713" s="138"/>
      <c r="B713" s="138"/>
      <c r="C713" s="138"/>
      <c r="D713" s="138"/>
      <c r="E713" s="138"/>
      <c r="F713" s="138"/>
      <c r="G713" s="162"/>
    </row>
    <row r="714" spans="1:7" x14ac:dyDescent="0.25">
      <c r="A714" s="1" t="s">
        <v>276</v>
      </c>
      <c r="B714" s="3" t="s">
        <v>3</v>
      </c>
      <c r="C714" s="5"/>
      <c r="D714" s="7"/>
      <c r="E714" s="8"/>
      <c r="F714" s="13"/>
      <c r="G714" s="5"/>
    </row>
    <row r="715" spans="1:7" ht="36.75" x14ac:dyDescent="0.25">
      <c r="A715" s="140" t="s">
        <v>277</v>
      </c>
      <c r="B715" s="3" t="s">
        <v>2135</v>
      </c>
      <c r="C715" s="5"/>
      <c r="D715" s="7"/>
      <c r="E715" s="23" t="s">
        <v>6</v>
      </c>
      <c r="F715" s="13"/>
      <c r="G715" s="5"/>
    </row>
    <row r="716" spans="1:7" ht="24.75" x14ac:dyDescent="0.25">
      <c r="A716" s="140" t="s">
        <v>7</v>
      </c>
      <c r="B716" s="3" t="s">
        <v>603</v>
      </c>
      <c r="C716" s="5"/>
      <c r="D716" s="7"/>
      <c r="E716" s="10" t="s">
        <v>9</v>
      </c>
      <c r="F716" s="15"/>
      <c r="G716" s="5"/>
    </row>
    <row r="717" spans="1:7" x14ac:dyDescent="0.25">
      <c r="A717" s="285" t="s">
        <v>38</v>
      </c>
      <c r="B717" s="3" t="s">
        <v>1701</v>
      </c>
      <c r="C717" s="5"/>
      <c r="D717" s="7"/>
      <c r="E717" s="8"/>
      <c r="F717" s="13"/>
      <c r="G717" s="5"/>
    </row>
    <row r="718" spans="1:7" x14ac:dyDescent="0.25">
      <c r="A718" s="140" t="s">
        <v>11</v>
      </c>
      <c r="B718" s="3"/>
      <c r="C718" s="5"/>
      <c r="D718" s="7"/>
      <c r="E718" s="8"/>
      <c r="F718" s="13"/>
      <c r="G718" s="5"/>
    </row>
    <row r="719" spans="1:7" x14ac:dyDescent="0.25">
      <c r="A719" s="140"/>
      <c r="B719" s="3"/>
      <c r="C719" s="5"/>
      <c r="D719" s="7"/>
      <c r="E719" s="8"/>
      <c r="F719" s="13"/>
      <c r="G719" s="5"/>
    </row>
    <row r="720" spans="1:7" ht="24" x14ac:dyDescent="0.25">
      <c r="A720" s="146" t="s">
        <v>31</v>
      </c>
      <c r="B720" s="144" t="s">
        <v>32</v>
      </c>
      <c r="C720" s="1801" t="s">
        <v>13</v>
      </c>
      <c r="D720" s="1802"/>
      <c r="E720" s="144" t="s">
        <v>33</v>
      </c>
      <c r="F720" s="152" t="s">
        <v>34</v>
      </c>
      <c r="G720" s="146" t="s">
        <v>35</v>
      </c>
    </row>
    <row r="721" spans="1:14" x14ac:dyDescent="0.25">
      <c r="A721" s="145">
        <v>1</v>
      </c>
      <c r="B721" s="145">
        <v>2</v>
      </c>
      <c r="C721" s="1803">
        <v>3</v>
      </c>
      <c r="D721" s="1803"/>
      <c r="E721" s="18">
        <v>4</v>
      </c>
      <c r="F721" s="147">
        <v>5</v>
      </c>
      <c r="G721" s="147">
        <v>6</v>
      </c>
    </row>
    <row r="722" spans="1:14" x14ac:dyDescent="0.25">
      <c r="A722" s="148" t="s">
        <v>604</v>
      </c>
      <c r="B722" s="257" t="s">
        <v>17</v>
      </c>
      <c r="C722" s="167"/>
      <c r="D722" s="168"/>
      <c r="E722" s="256"/>
      <c r="F722" s="209"/>
      <c r="G722" s="256"/>
    </row>
    <row r="723" spans="1:14" x14ac:dyDescent="0.25">
      <c r="A723" s="148" t="s">
        <v>605</v>
      </c>
      <c r="B723" s="257" t="s">
        <v>19</v>
      </c>
      <c r="C723" s="293"/>
      <c r="D723" s="294"/>
      <c r="E723" s="256"/>
      <c r="F723" s="209"/>
      <c r="G723" s="256"/>
    </row>
    <row r="724" spans="1:14" ht="24.75" x14ac:dyDescent="0.25">
      <c r="A724" s="2" t="s">
        <v>2979</v>
      </c>
      <c r="B724" s="4" t="s">
        <v>2980</v>
      </c>
      <c r="C724" s="6">
        <v>12</v>
      </c>
      <c r="D724" s="168" t="s">
        <v>606</v>
      </c>
      <c r="E724" s="12">
        <v>1500000</v>
      </c>
      <c r="F724" s="238">
        <f>C724*E724</f>
        <v>18000000</v>
      </c>
      <c r="G724" s="16"/>
    </row>
    <row r="725" spans="1:14" ht="24.75" x14ac:dyDescent="0.25">
      <c r="A725" s="2" t="s">
        <v>2965</v>
      </c>
      <c r="B725" s="4" t="s">
        <v>2966</v>
      </c>
      <c r="C725" s="6">
        <v>3</v>
      </c>
      <c r="D725" s="168" t="s">
        <v>606</v>
      </c>
      <c r="E725" s="12">
        <v>1500000</v>
      </c>
      <c r="F725" s="238">
        <f>C725*E725</f>
        <v>4500000</v>
      </c>
      <c r="G725" s="16"/>
    </row>
    <row r="726" spans="1:14" x14ac:dyDescent="0.25">
      <c r="A726" s="186"/>
      <c r="B726" s="4"/>
      <c r="C726" s="236"/>
      <c r="D726" s="25"/>
      <c r="E726" s="22"/>
      <c r="F726" s="31"/>
      <c r="G726" s="16"/>
    </row>
    <row r="727" spans="1:14" x14ac:dyDescent="0.25">
      <c r="A727" s="16"/>
      <c r="B727" s="16"/>
      <c r="C727" s="236"/>
      <c r="D727" s="173"/>
      <c r="E727" s="12"/>
      <c r="F727" s="12"/>
      <c r="G727" s="16"/>
    </row>
    <row r="728" spans="1:14" ht="24.75" x14ac:dyDescent="0.25">
      <c r="A728" s="1854" t="s">
        <v>27</v>
      </c>
      <c r="B728" s="1848"/>
      <c r="C728" s="1848"/>
      <c r="D728" s="1848"/>
      <c r="E728" s="1849"/>
      <c r="F728" s="12">
        <f>SUM(F724:F727)</f>
        <v>22500000</v>
      </c>
      <c r="G728" s="4" t="s">
        <v>2638</v>
      </c>
      <c r="H728" s="286"/>
      <c r="N728" s="286">
        <f>F728</f>
        <v>22500000</v>
      </c>
    </row>
    <row r="729" spans="1:14" x14ac:dyDescent="0.25">
      <c r="F729" s="286">
        <f>F728+F763</f>
        <v>93000000</v>
      </c>
    </row>
    <row r="730" spans="1:14" x14ac:dyDescent="0.25">
      <c r="A730" s="1807" t="s">
        <v>614</v>
      </c>
      <c r="B730" s="1807"/>
      <c r="C730" s="5" t="s">
        <v>28</v>
      </c>
      <c r="D730" s="1808" t="s">
        <v>1698</v>
      </c>
      <c r="E730" s="1808"/>
      <c r="F730" s="1808"/>
      <c r="G730" s="5"/>
    </row>
    <row r="731" spans="1:14" x14ac:dyDescent="0.25">
      <c r="A731" s="1807" t="s">
        <v>29</v>
      </c>
      <c r="B731" s="1807"/>
      <c r="C731" s="5"/>
      <c r="D731" s="1809" t="s">
        <v>2988</v>
      </c>
      <c r="E731" s="1809"/>
      <c r="F731" s="1809"/>
      <c r="G731" s="5"/>
    </row>
    <row r="732" spans="1:14" x14ac:dyDescent="0.25">
      <c r="A732" s="1"/>
      <c r="B732" s="3"/>
      <c r="C732" s="5"/>
      <c r="D732" s="7"/>
      <c r="E732" s="17"/>
      <c r="F732" s="17"/>
      <c r="G732" s="5"/>
    </row>
    <row r="733" spans="1:14" x14ac:dyDescent="0.25">
      <c r="A733" s="1"/>
      <c r="B733" s="3"/>
      <c r="C733" s="5"/>
      <c r="D733" s="7"/>
      <c r="E733" s="17"/>
      <c r="F733" s="17"/>
      <c r="G733" s="5"/>
    </row>
    <row r="734" spans="1:14" x14ac:dyDescent="0.25">
      <c r="A734" s="1807"/>
      <c r="B734" s="1807"/>
      <c r="C734" s="5"/>
      <c r="D734" s="7"/>
      <c r="E734" s="1807"/>
      <c r="F734" s="1807"/>
      <c r="G734" s="5"/>
    </row>
    <row r="735" spans="1:14" x14ac:dyDescent="0.25">
      <c r="A735" s="1807" t="s">
        <v>30</v>
      </c>
      <c r="B735" s="1807"/>
      <c r="C735" s="5"/>
      <c r="D735" s="1807" t="s">
        <v>2989</v>
      </c>
      <c r="E735" s="1807"/>
      <c r="F735" s="1807"/>
      <c r="G735" s="5"/>
    </row>
    <row r="736" spans="1:14" x14ac:dyDescent="0.25">
      <c r="A736" s="1800" t="s">
        <v>0</v>
      </c>
      <c r="B736" s="1800"/>
      <c r="C736" s="1800"/>
      <c r="D736" s="1800"/>
      <c r="E736" s="1800"/>
      <c r="F736" s="1800"/>
      <c r="G736" s="1800"/>
    </row>
    <row r="737" spans="1:7" x14ac:dyDescent="0.25">
      <c r="A737" s="1800" t="s">
        <v>1</v>
      </c>
      <c r="B737" s="1800"/>
      <c r="C737" s="1800"/>
      <c r="D737" s="1800"/>
      <c r="E737" s="1800"/>
      <c r="F737" s="1800"/>
      <c r="G737" s="1800"/>
    </row>
    <row r="738" spans="1:7" x14ac:dyDescent="0.25">
      <c r="A738" s="1800" t="s">
        <v>1697</v>
      </c>
      <c r="B738" s="1800"/>
      <c r="C738" s="1800"/>
      <c r="D738" s="1800"/>
      <c r="E738" s="1800"/>
      <c r="F738" s="1800"/>
      <c r="G738" s="1800"/>
    </row>
    <row r="739" spans="1:7" x14ac:dyDescent="0.25">
      <c r="A739" s="138"/>
      <c r="B739" s="138"/>
      <c r="C739" s="138"/>
      <c r="D739" s="138"/>
      <c r="E739" s="138"/>
      <c r="F739" s="138"/>
      <c r="G739" s="162"/>
    </row>
    <row r="740" spans="1:7" x14ac:dyDescent="0.25">
      <c r="A740" s="1" t="s">
        <v>276</v>
      </c>
      <c r="B740" s="3" t="s">
        <v>3</v>
      </c>
      <c r="C740" s="5"/>
      <c r="D740" s="7"/>
      <c r="E740" s="8"/>
      <c r="F740" s="13"/>
      <c r="G740" s="5"/>
    </row>
    <row r="741" spans="1:7" ht="36.75" x14ac:dyDescent="0.25">
      <c r="A741" s="140" t="s">
        <v>277</v>
      </c>
      <c r="B741" s="3" t="s">
        <v>5</v>
      </c>
      <c r="C741" s="5"/>
      <c r="D741" s="7"/>
      <c r="E741" s="23" t="s">
        <v>6</v>
      </c>
      <c r="F741" s="13"/>
      <c r="G741" s="5"/>
    </row>
    <row r="742" spans="1:7" ht="24.75" x14ac:dyDescent="0.25">
      <c r="A742" s="140" t="s">
        <v>7</v>
      </c>
      <c r="B742" s="3" t="s">
        <v>1702</v>
      </c>
      <c r="C742" s="5"/>
      <c r="D742" s="7"/>
      <c r="E742" s="10" t="s">
        <v>9</v>
      </c>
      <c r="F742" s="15"/>
      <c r="G742" s="5"/>
    </row>
    <row r="743" spans="1:7" x14ac:dyDescent="0.25">
      <c r="A743" s="285" t="s">
        <v>38</v>
      </c>
      <c r="B743" s="3" t="s">
        <v>1701</v>
      </c>
      <c r="C743" s="5"/>
      <c r="D743" s="7"/>
      <c r="E743" s="8"/>
      <c r="F743" s="13"/>
      <c r="G743" s="5"/>
    </row>
    <row r="744" spans="1:7" x14ac:dyDescent="0.25">
      <c r="A744" s="140" t="s">
        <v>11</v>
      </c>
      <c r="B744" s="3"/>
      <c r="C744" s="5"/>
      <c r="D744" s="7"/>
      <c r="E744" s="8"/>
      <c r="F744" s="13"/>
      <c r="G744" s="5"/>
    </row>
    <row r="745" spans="1:7" x14ac:dyDescent="0.25">
      <c r="A745" s="140"/>
      <c r="B745" s="3"/>
      <c r="C745" s="5"/>
      <c r="D745" s="7"/>
      <c r="E745" s="8"/>
      <c r="F745" s="13"/>
      <c r="G745" s="5"/>
    </row>
    <row r="746" spans="1:7" ht="24" x14ac:dyDescent="0.25">
      <c r="A746" s="146" t="s">
        <v>31</v>
      </c>
      <c r="B746" s="144" t="s">
        <v>32</v>
      </c>
      <c r="C746" s="1801" t="s">
        <v>13</v>
      </c>
      <c r="D746" s="1802"/>
      <c r="E746" s="144" t="s">
        <v>33</v>
      </c>
      <c r="F746" s="152" t="s">
        <v>34</v>
      </c>
      <c r="G746" s="146" t="s">
        <v>35</v>
      </c>
    </row>
    <row r="747" spans="1:7" x14ac:dyDescent="0.25">
      <c r="A747" s="145">
        <v>1</v>
      </c>
      <c r="B747" s="145">
        <v>2</v>
      </c>
      <c r="C747" s="1803">
        <v>3</v>
      </c>
      <c r="D747" s="1803"/>
      <c r="E747" s="18">
        <v>4</v>
      </c>
      <c r="F747" s="147">
        <v>5</v>
      </c>
      <c r="G747" s="147">
        <v>6</v>
      </c>
    </row>
    <row r="748" spans="1:7" x14ac:dyDescent="0.25">
      <c r="A748" s="148" t="s">
        <v>2973</v>
      </c>
      <c r="B748" s="257" t="s">
        <v>17</v>
      </c>
      <c r="C748" s="167"/>
      <c r="D748" s="168"/>
      <c r="E748" s="256"/>
      <c r="F748" s="209"/>
      <c r="G748" s="256"/>
    </row>
    <row r="749" spans="1:7" ht="24" x14ac:dyDescent="0.25">
      <c r="A749" s="148" t="s">
        <v>2974</v>
      </c>
      <c r="B749" s="257" t="s">
        <v>2715</v>
      </c>
      <c r="C749" s="293"/>
      <c r="D749" s="294"/>
      <c r="E749" s="256"/>
      <c r="F749" s="209"/>
      <c r="G749" s="256"/>
    </row>
    <row r="750" spans="1:7" ht="24" x14ac:dyDescent="0.25">
      <c r="A750" s="2" t="s">
        <v>2977</v>
      </c>
      <c r="B750" s="257" t="s">
        <v>2978</v>
      </c>
      <c r="C750" s="293"/>
      <c r="D750" s="294"/>
      <c r="E750" s="256"/>
      <c r="F750" s="209"/>
      <c r="G750" s="256"/>
    </row>
    <row r="751" spans="1:7" x14ac:dyDescent="0.25">
      <c r="A751" s="2"/>
      <c r="B751" s="4" t="s">
        <v>1703</v>
      </c>
      <c r="C751" s="6">
        <v>12</v>
      </c>
      <c r="D751" s="168" t="s">
        <v>606</v>
      </c>
      <c r="E751" s="12">
        <v>500000</v>
      </c>
      <c r="F751" s="238">
        <f>C751*E751</f>
        <v>6000000</v>
      </c>
      <c r="G751" s="16"/>
    </row>
    <row r="752" spans="1:7" x14ac:dyDescent="0.25">
      <c r="A752" s="2"/>
      <c r="B752" s="4" t="s">
        <v>2967</v>
      </c>
      <c r="C752" s="6">
        <f>3*12</f>
        <v>36</v>
      </c>
      <c r="D752" s="168" t="s">
        <v>148</v>
      </c>
      <c r="E752" s="12">
        <v>300000</v>
      </c>
      <c r="F752" s="238">
        <f>C752*E752</f>
        <v>10800000</v>
      </c>
      <c r="G752" s="16"/>
    </row>
    <row r="753" spans="1:14" x14ac:dyDescent="0.25">
      <c r="A753" s="2"/>
      <c r="B753" s="4" t="s">
        <v>2972</v>
      </c>
      <c r="C753" s="6">
        <f>3*12</f>
        <v>36</v>
      </c>
      <c r="D753" s="168" t="s">
        <v>148</v>
      </c>
      <c r="E753" s="12">
        <v>300000</v>
      </c>
      <c r="F753" s="238">
        <f>C753*E753</f>
        <v>10800000</v>
      </c>
      <c r="G753" s="16"/>
    </row>
    <row r="754" spans="1:14" x14ac:dyDescent="0.25">
      <c r="A754" s="2"/>
      <c r="B754" s="4" t="s">
        <v>2971</v>
      </c>
      <c r="C754" s="6">
        <f>8*12</f>
        <v>96</v>
      </c>
      <c r="D754" s="168" t="s">
        <v>148</v>
      </c>
      <c r="E754" s="12">
        <v>300000</v>
      </c>
      <c r="F754" s="238">
        <f>C754*E754</f>
        <v>28800000</v>
      </c>
      <c r="G754" s="16"/>
    </row>
    <row r="755" spans="1:14" ht="24" x14ac:dyDescent="0.25">
      <c r="A755" s="2" t="s">
        <v>2975</v>
      </c>
      <c r="B755" s="257" t="s">
        <v>2976</v>
      </c>
      <c r="C755" s="293"/>
      <c r="D755" s="294"/>
      <c r="E755" s="256"/>
      <c r="F755" s="209"/>
      <c r="G755" s="256"/>
    </row>
    <row r="756" spans="1:14" x14ac:dyDescent="0.25">
      <c r="A756" s="2"/>
      <c r="B756" s="4" t="s">
        <v>1703</v>
      </c>
      <c r="C756" s="6">
        <v>3</v>
      </c>
      <c r="D756" s="168" t="s">
        <v>606</v>
      </c>
      <c r="E756" s="12">
        <v>500000</v>
      </c>
      <c r="F756" s="238">
        <f>C756*E756</f>
        <v>1500000</v>
      </c>
      <c r="G756" s="16"/>
    </row>
    <row r="757" spans="1:14" x14ac:dyDescent="0.25">
      <c r="A757" s="2"/>
      <c r="B757" s="4" t="s">
        <v>2968</v>
      </c>
      <c r="C757" s="6">
        <f>3*3</f>
        <v>9</v>
      </c>
      <c r="D757" s="168" t="s">
        <v>148</v>
      </c>
      <c r="E757" s="12">
        <v>300000</v>
      </c>
      <c r="F757" s="238">
        <f>C757*E757</f>
        <v>2700000</v>
      </c>
      <c r="G757" s="16"/>
    </row>
    <row r="758" spans="1:14" x14ac:dyDescent="0.25">
      <c r="A758" s="2"/>
      <c r="B758" s="4" t="s">
        <v>2969</v>
      </c>
      <c r="C758" s="6">
        <f>3*3</f>
        <v>9</v>
      </c>
      <c r="D758" s="168" t="s">
        <v>148</v>
      </c>
      <c r="E758" s="12">
        <v>300000</v>
      </c>
      <c r="F758" s="238">
        <f>C758*E758</f>
        <v>2700000</v>
      </c>
      <c r="G758" s="16"/>
    </row>
    <row r="759" spans="1:14" x14ac:dyDescent="0.25">
      <c r="A759" s="2"/>
      <c r="B759" s="4" t="s">
        <v>2970</v>
      </c>
      <c r="C759" s="6">
        <f>8*3</f>
        <v>24</v>
      </c>
      <c r="D759" s="168" t="s">
        <v>148</v>
      </c>
      <c r="E759" s="12">
        <v>300000</v>
      </c>
      <c r="F759" s="238">
        <f>C759*E759</f>
        <v>7200000</v>
      </c>
      <c r="G759" s="16"/>
    </row>
    <row r="760" spans="1:14" x14ac:dyDescent="0.25">
      <c r="A760" s="2"/>
      <c r="B760" s="4"/>
      <c r="C760" s="6"/>
      <c r="D760" s="168"/>
      <c r="E760" s="12"/>
      <c r="F760" s="238"/>
      <c r="G760" s="16"/>
    </row>
    <row r="761" spans="1:14" x14ac:dyDescent="0.25">
      <c r="A761" s="186"/>
      <c r="B761" s="4"/>
      <c r="C761" s="236"/>
      <c r="D761" s="25"/>
      <c r="E761" s="22"/>
      <c r="F761" s="31"/>
      <c r="G761" s="16"/>
    </row>
    <row r="762" spans="1:14" x14ac:dyDescent="0.25">
      <c r="A762" s="16"/>
      <c r="B762" s="16"/>
      <c r="C762" s="236"/>
      <c r="D762" s="173"/>
      <c r="E762" s="12"/>
      <c r="F762" s="12"/>
      <c r="G762" s="16"/>
    </row>
    <row r="763" spans="1:14" ht="24.75" x14ac:dyDescent="0.25">
      <c r="A763" s="1854" t="s">
        <v>27</v>
      </c>
      <c r="B763" s="1848"/>
      <c r="C763" s="1848"/>
      <c r="D763" s="1848"/>
      <c r="E763" s="1849"/>
      <c r="F763" s="12">
        <f>SUM(F751:F762)</f>
        <v>70500000</v>
      </c>
      <c r="G763" s="4" t="s">
        <v>2638</v>
      </c>
      <c r="H763" s="286"/>
      <c r="N763" s="286">
        <f>F763</f>
        <v>70500000</v>
      </c>
    </row>
    <row r="765" spans="1:14" x14ac:dyDescent="0.25">
      <c r="A765" s="1807" t="s">
        <v>614</v>
      </c>
      <c r="B765" s="1807"/>
      <c r="C765" s="5" t="s">
        <v>28</v>
      </c>
      <c r="D765" s="1808" t="s">
        <v>1698</v>
      </c>
      <c r="E765" s="1808"/>
      <c r="F765" s="1808"/>
      <c r="G765" s="5"/>
    </row>
    <row r="766" spans="1:14" x14ac:dyDescent="0.25">
      <c r="A766" s="1807" t="s">
        <v>29</v>
      </c>
      <c r="B766" s="1807"/>
      <c r="C766" s="5"/>
      <c r="D766" s="1809" t="s">
        <v>2988</v>
      </c>
      <c r="E766" s="1809"/>
      <c r="F766" s="1809"/>
      <c r="G766" s="5"/>
    </row>
    <row r="767" spans="1:14" x14ac:dyDescent="0.25">
      <c r="A767" s="1"/>
      <c r="B767" s="3"/>
      <c r="C767" s="5"/>
      <c r="D767" s="7"/>
      <c r="E767" s="17"/>
      <c r="F767" s="17"/>
      <c r="G767" s="5"/>
    </row>
    <row r="768" spans="1:14" x14ac:dyDescent="0.25">
      <c r="A768" s="1"/>
      <c r="B768" s="3"/>
      <c r="C768" s="5"/>
      <c r="D768" s="7"/>
      <c r="E768" s="17"/>
      <c r="F768" s="17"/>
      <c r="G768" s="5"/>
    </row>
    <row r="769" spans="1:7" x14ac:dyDescent="0.25">
      <c r="A769" s="1807"/>
      <c r="B769" s="1807"/>
      <c r="C769" s="5"/>
      <c r="D769" s="7"/>
      <c r="E769" s="1807"/>
      <c r="F769" s="1807"/>
      <c r="G769" s="5"/>
    </row>
    <row r="770" spans="1:7" x14ac:dyDescent="0.25">
      <c r="A770" s="1807" t="s">
        <v>30</v>
      </c>
      <c r="B770" s="1807"/>
      <c r="C770" s="5"/>
      <c r="D770" s="1807" t="s">
        <v>2989</v>
      </c>
      <c r="E770" s="1807"/>
      <c r="F770" s="1807"/>
      <c r="G770" s="5"/>
    </row>
    <row r="771" spans="1:7" x14ac:dyDescent="0.25">
      <c r="A771" s="136"/>
      <c r="B771" s="136"/>
      <c r="C771" s="5"/>
      <c r="D771" s="136"/>
      <c r="E771" s="136"/>
      <c r="F771" s="136"/>
      <c r="G771" s="5"/>
    </row>
    <row r="772" spans="1:7" x14ac:dyDescent="0.25">
      <c r="A772" s="1800" t="s">
        <v>0</v>
      </c>
      <c r="B772" s="1800"/>
      <c r="C772" s="1800"/>
      <c r="D772" s="1800"/>
      <c r="E772" s="1800"/>
      <c r="F772" s="1800"/>
      <c r="G772" s="1800"/>
    </row>
    <row r="773" spans="1:7" x14ac:dyDescent="0.25">
      <c r="A773" s="1800" t="s">
        <v>1</v>
      </c>
      <c r="B773" s="1800"/>
      <c r="C773" s="1800"/>
      <c r="D773" s="1800"/>
      <c r="E773" s="1800"/>
      <c r="F773" s="1800"/>
      <c r="G773" s="1800"/>
    </row>
    <row r="774" spans="1:7" x14ac:dyDescent="0.25">
      <c r="A774" s="1800" t="s">
        <v>1697</v>
      </c>
      <c r="B774" s="1800"/>
      <c r="C774" s="1800"/>
      <c r="D774" s="1800"/>
      <c r="E774" s="1800"/>
      <c r="F774" s="1800"/>
      <c r="G774" s="1800"/>
    </row>
    <row r="775" spans="1:7" x14ac:dyDescent="0.25">
      <c r="A775" s="138"/>
      <c r="B775" s="138"/>
      <c r="C775" s="138"/>
      <c r="D775" s="138"/>
      <c r="E775" s="138"/>
      <c r="F775" s="138"/>
      <c r="G775" s="162"/>
    </row>
    <row r="776" spans="1:7" x14ac:dyDescent="0.25">
      <c r="A776" s="1" t="s">
        <v>276</v>
      </c>
      <c r="B776" s="3" t="s">
        <v>3</v>
      </c>
      <c r="C776" s="5"/>
      <c r="D776" s="7"/>
      <c r="E776" s="23" t="s">
        <v>6</v>
      </c>
      <c r="F776" s="13"/>
      <c r="G776" s="5"/>
    </row>
    <row r="777" spans="1:7" x14ac:dyDescent="0.25">
      <c r="A777" s="140" t="s">
        <v>277</v>
      </c>
      <c r="B777" s="3" t="s">
        <v>462</v>
      </c>
      <c r="C777" s="5"/>
      <c r="D777" s="7"/>
      <c r="E777" s="10" t="s">
        <v>9</v>
      </c>
      <c r="G777" s="5"/>
    </row>
    <row r="778" spans="1:7" ht="24.75" x14ac:dyDescent="0.25">
      <c r="A778" s="140" t="s">
        <v>7</v>
      </c>
      <c r="B778" s="3" t="s">
        <v>463</v>
      </c>
      <c r="C778" s="5"/>
      <c r="D778" s="7"/>
      <c r="E778" s="10"/>
      <c r="G778" s="5"/>
    </row>
    <row r="779" spans="1:7" x14ac:dyDescent="0.25">
      <c r="A779" s="285" t="s">
        <v>464</v>
      </c>
      <c r="B779" s="3" t="s">
        <v>479</v>
      </c>
      <c r="C779" s="5"/>
      <c r="D779" s="7"/>
      <c r="E779" s="10"/>
      <c r="F779" s="13"/>
      <c r="G779" s="5"/>
    </row>
    <row r="780" spans="1:7" x14ac:dyDescent="0.25">
      <c r="A780" s="140" t="s">
        <v>11</v>
      </c>
      <c r="B780" s="3"/>
      <c r="C780" s="5"/>
      <c r="D780" s="7"/>
      <c r="E780" s="8"/>
      <c r="F780" s="13"/>
      <c r="G780" s="5"/>
    </row>
    <row r="781" spans="1:7" ht="24" x14ac:dyDescent="0.25">
      <c r="A781" s="146" t="s">
        <v>31</v>
      </c>
      <c r="B781" s="144" t="s">
        <v>32</v>
      </c>
      <c r="C781" s="1801" t="s">
        <v>13</v>
      </c>
      <c r="D781" s="1802"/>
      <c r="E781" s="144" t="s">
        <v>33</v>
      </c>
      <c r="F781" s="152" t="s">
        <v>34</v>
      </c>
      <c r="G781" s="146" t="s">
        <v>35</v>
      </c>
    </row>
    <row r="782" spans="1:7" x14ac:dyDescent="0.25">
      <c r="A782" s="145">
        <v>1</v>
      </c>
      <c r="B782" s="145">
        <v>2</v>
      </c>
      <c r="C782" s="1803">
        <v>3</v>
      </c>
      <c r="D782" s="1803"/>
      <c r="E782" s="18">
        <v>4</v>
      </c>
      <c r="F782" s="147">
        <v>5</v>
      </c>
      <c r="G782" s="147">
        <v>6</v>
      </c>
    </row>
    <row r="783" spans="1:7" x14ac:dyDescent="0.25">
      <c r="A783" s="2" t="s">
        <v>465</v>
      </c>
      <c r="B783" s="153" t="s">
        <v>466</v>
      </c>
      <c r="C783" s="167"/>
      <c r="D783" s="168"/>
      <c r="E783" s="146"/>
      <c r="F783" s="156"/>
      <c r="G783" s="146"/>
    </row>
    <row r="784" spans="1:7" ht="24" x14ac:dyDescent="0.25">
      <c r="A784" s="2" t="s">
        <v>467</v>
      </c>
      <c r="B784" s="153" t="s">
        <v>468</v>
      </c>
      <c r="C784" s="167"/>
      <c r="D784" s="168"/>
      <c r="E784" s="146"/>
      <c r="F784" s="156"/>
      <c r="G784" s="146"/>
    </row>
    <row r="785" spans="1:23" ht="24" x14ac:dyDescent="0.25">
      <c r="A785" s="2" t="s">
        <v>469</v>
      </c>
      <c r="B785" s="153" t="s">
        <v>470</v>
      </c>
      <c r="C785" s="167"/>
      <c r="D785" s="168"/>
      <c r="E785" s="146"/>
      <c r="F785" s="156"/>
      <c r="G785" s="146"/>
    </row>
    <row r="786" spans="1:23" ht="24.75" x14ac:dyDescent="0.25">
      <c r="A786" s="2"/>
      <c r="B786" s="153" t="s">
        <v>471</v>
      </c>
      <c r="C786" s="167">
        <v>1</v>
      </c>
      <c r="D786" s="168" t="s">
        <v>315</v>
      </c>
      <c r="E786" s="30">
        <v>300000</v>
      </c>
      <c r="F786" s="156">
        <f>E786*C786</f>
        <v>300000</v>
      </c>
      <c r="G786" s="4" t="s">
        <v>2626</v>
      </c>
      <c r="K786" s="175"/>
      <c r="S786" s="175">
        <f>F786</f>
        <v>300000</v>
      </c>
    </row>
    <row r="787" spans="1:23" ht="24.75" x14ac:dyDescent="0.25">
      <c r="A787" s="2"/>
      <c r="B787" s="153" t="s">
        <v>215</v>
      </c>
      <c r="C787" s="167">
        <v>1</v>
      </c>
      <c r="D787" s="168" t="s">
        <v>315</v>
      </c>
      <c r="E787" s="30">
        <v>250000</v>
      </c>
      <c r="F787" s="156">
        <f>E787*C787</f>
        <v>250000</v>
      </c>
      <c r="G787" s="4" t="s">
        <v>2626</v>
      </c>
      <c r="K787" s="175"/>
      <c r="S787" s="175">
        <f>F787</f>
        <v>250000</v>
      </c>
    </row>
    <row r="788" spans="1:23" ht="24.75" x14ac:dyDescent="0.25">
      <c r="A788" s="2"/>
      <c r="B788" s="153" t="s">
        <v>391</v>
      </c>
      <c r="C788" s="167">
        <v>1</v>
      </c>
      <c r="D788" s="168" t="s">
        <v>315</v>
      </c>
      <c r="E788" s="30">
        <v>200000</v>
      </c>
      <c r="F788" s="156">
        <f>E788*C788</f>
        <v>200000</v>
      </c>
      <c r="G788" s="4" t="s">
        <v>2626</v>
      </c>
      <c r="K788" s="175"/>
      <c r="S788" s="175">
        <f>F788</f>
        <v>200000</v>
      </c>
    </row>
    <row r="789" spans="1:23" x14ac:dyDescent="0.25">
      <c r="A789" s="2"/>
      <c r="B789" s="153"/>
      <c r="C789" s="167"/>
      <c r="D789" s="168"/>
      <c r="E789" s="30"/>
      <c r="F789" s="156"/>
      <c r="G789" s="146"/>
    </row>
    <row r="790" spans="1:23" x14ac:dyDescent="0.25">
      <c r="A790" s="272"/>
      <c r="B790" s="329" t="s">
        <v>472</v>
      </c>
      <c r="C790" s="161"/>
      <c r="D790" s="291"/>
      <c r="E790" s="272"/>
      <c r="F790" s="31"/>
      <c r="G790" s="272"/>
    </row>
    <row r="791" spans="1:23" ht="24.75" x14ac:dyDescent="0.25">
      <c r="A791" s="2" t="s">
        <v>473</v>
      </c>
      <c r="B791" s="4" t="s">
        <v>474</v>
      </c>
      <c r="C791" s="236"/>
      <c r="D791" s="168"/>
      <c r="E791" s="16"/>
      <c r="F791" s="189"/>
      <c r="G791" s="16"/>
    </row>
    <row r="792" spans="1:23" ht="24.75" x14ac:dyDescent="0.25">
      <c r="A792" s="2"/>
      <c r="B792" s="4" t="s">
        <v>2608</v>
      </c>
      <c r="C792" s="6">
        <v>1</v>
      </c>
      <c r="D792" s="168" t="s">
        <v>129</v>
      </c>
      <c r="E792" s="988">
        <v>2483689</v>
      </c>
      <c r="F792" s="189">
        <f t="shared" ref="F792:F797" si="18">E792*C792</f>
        <v>2483689</v>
      </c>
      <c r="G792" s="4" t="s">
        <v>2639</v>
      </c>
      <c r="K792" s="1190"/>
      <c r="L792" s="175"/>
      <c r="V792" s="175">
        <f>F792</f>
        <v>2483689</v>
      </c>
    </row>
    <row r="793" spans="1:23" x14ac:dyDescent="0.25">
      <c r="A793" s="1765"/>
      <c r="B793" s="1766" t="s">
        <v>2670</v>
      </c>
      <c r="C793" s="1767">
        <v>1</v>
      </c>
      <c r="D793" s="1768" t="s">
        <v>129</v>
      </c>
      <c r="E793" s="1769">
        <v>3527047</v>
      </c>
      <c r="F793" s="1770">
        <f t="shared" si="18"/>
        <v>3527047</v>
      </c>
      <c r="G793" s="1766" t="s">
        <v>2621</v>
      </c>
      <c r="K793" s="175"/>
      <c r="L793" s="175">
        <f>F793</f>
        <v>3527047</v>
      </c>
    </row>
    <row r="794" spans="1:23" x14ac:dyDescent="0.25">
      <c r="A794" s="2"/>
      <c r="B794" s="4" t="s">
        <v>480</v>
      </c>
      <c r="C794" s="6">
        <v>1</v>
      </c>
      <c r="D794" s="168" t="s">
        <v>129</v>
      </c>
      <c r="E794" s="31">
        <v>16780704</v>
      </c>
      <c r="F794" s="31">
        <f t="shared" si="18"/>
        <v>16780704</v>
      </c>
      <c r="G794" s="4" t="s">
        <v>2620</v>
      </c>
      <c r="H794" s="286"/>
      <c r="K794" s="175">
        <f>F794</f>
        <v>16780704</v>
      </c>
      <c r="S794" s="175"/>
    </row>
    <row r="795" spans="1:23" x14ac:dyDescent="0.25">
      <c r="A795" s="2"/>
      <c r="B795" s="4" t="s">
        <v>608</v>
      </c>
      <c r="C795" s="6">
        <v>2</v>
      </c>
      <c r="D795" s="168" t="s">
        <v>129</v>
      </c>
      <c r="E795" s="12">
        <v>5500000</v>
      </c>
      <c r="F795" s="31">
        <f t="shared" si="18"/>
        <v>11000000</v>
      </c>
      <c r="G795" s="4" t="s">
        <v>1690</v>
      </c>
      <c r="H795" s="175"/>
      <c r="K795" s="175"/>
      <c r="P795" s="175">
        <f>F795</f>
        <v>11000000</v>
      </c>
    </row>
    <row r="796" spans="1:23" ht="24.75" x14ac:dyDescent="0.25">
      <c r="A796" s="2"/>
      <c r="B796" s="4" t="s">
        <v>475</v>
      </c>
      <c r="C796" s="6">
        <v>1</v>
      </c>
      <c r="D796" s="168" t="s">
        <v>129</v>
      </c>
      <c r="E796" s="12">
        <v>4290193</v>
      </c>
      <c r="F796" s="31">
        <f t="shared" si="18"/>
        <v>4290193</v>
      </c>
      <c r="G796" s="4" t="s">
        <v>2626</v>
      </c>
      <c r="K796" s="175"/>
      <c r="P796" s="175"/>
      <c r="S796" s="175">
        <f>F796</f>
        <v>4290193</v>
      </c>
    </row>
    <row r="797" spans="1:23" ht="24.75" x14ac:dyDescent="0.25">
      <c r="A797" s="2"/>
      <c r="B797" s="4" t="s">
        <v>2952</v>
      </c>
      <c r="C797" s="6">
        <v>1</v>
      </c>
      <c r="D797" s="168" t="s">
        <v>129</v>
      </c>
      <c r="E797" s="12">
        <v>25000000</v>
      </c>
      <c r="F797" s="31">
        <f t="shared" si="18"/>
        <v>25000000</v>
      </c>
      <c r="G797" s="4" t="s">
        <v>2623</v>
      </c>
      <c r="K797" s="175"/>
      <c r="O797" s="175">
        <f>F797</f>
        <v>25000000</v>
      </c>
      <c r="P797" s="175"/>
    </row>
    <row r="798" spans="1:23" ht="24.75" x14ac:dyDescent="0.25">
      <c r="A798" s="2" t="s">
        <v>476</v>
      </c>
      <c r="B798" s="4" t="s">
        <v>477</v>
      </c>
      <c r="C798" s="6"/>
      <c r="D798" s="168"/>
      <c r="E798" s="22"/>
      <c r="F798" s="31"/>
      <c r="G798" s="152"/>
    </row>
    <row r="799" spans="1:23" ht="36.75" x14ac:dyDescent="0.25">
      <c r="A799" s="2"/>
      <c r="B799" s="4" t="s">
        <v>2956</v>
      </c>
      <c r="C799" s="6">
        <v>5</v>
      </c>
      <c r="D799" s="168" t="s">
        <v>204</v>
      </c>
      <c r="E799" s="22">
        <v>104000</v>
      </c>
      <c r="F799" s="31">
        <f>E799*C799</f>
        <v>520000</v>
      </c>
      <c r="G799" s="272" t="s">
        <v>2635</v>
      </c>
      <c r="W799" s="175">
        <f>F799</f>
        <v>520000</v>
      </c>
    </row>
    <row r="800" spans="1:23" ht="36.75" x14ac:dyDescent="0.25">
      <c r="A800" s="2"/>
      <c r="B800" s="4" t="s">
        <v>2955</v>
      </c>
      <c r="C800" s="6">
        <v>1</v>
      </c>
      <c r="D800" s="168" t="s">
        <v>129</v>
      </c>
      <c r="E800" s="22">
        <v>10110370.66</v>
      </c>
      <c r="F800" s="31">
        <f>E800*C800</f>
        <v>10110370.66</v>
      </c>
      <c r="G800" s="272" t="s">
        <v>2635</v>
      </c>
      <c r="H800" s="175">
        <f>F800+F799</f>
        <v>10630370.66</v>
      </c>
      <c r="W800" s="175">
        <f>F800</f>
        <v>10110370.66</v>
      </c>
    </row>
    <row r="801" spans="1:16" x14ac:dyDescent="0.25">
      <c r="A801" s="2"/>
      <c r="B801" s="4" t="s">
        <v>2609</v>
      </c>
      <c r="C801" s="6">
        <v>7</v>
      </c>
      <c r="D801" s="168" t="s">
        <v>129</v>
      </c>
      <c r="E801" s="22">
        <v>1500000</v>
      </c>
      <c r="F801" s="1707">
        <f>E801*C801</f>
        <v>10500000</v>
      </c>
      <c r="G801" s="4" t="s">
        <v>1690</v>
      </c>
      <c r="K801" s="175"/>
      <c r="P801" s="175">
        <f>F801</f>
        <v>10500000</v>
      </c>
    </row>
    <row r="802" spans="1:16" x14ac:dyDescent="0.25">
      <c r="A802" s="1832" t="s">
        <v>478</v>
      </c>
      <c r="B802" s="1832"/>
      <c r="C802" s="1832"/>
      <c r="D802" s="1832"/>
      <c r="E802" s="1832"/>
      <c r="F802" s="31">
        <f>SUM(F783:F801)</f>
        <v>84962003.659999996</v>
      </c>
      <c r="G802" s="4"/>
      <c r="K802" s="175"/>
    </row>
    <row r="803" spans="1:16" x14ac:dyDescent="0.25">
      <c r="A803" s="1807" t="s">
        <v>614</v>
      </c>
      <c r="B803" s="1807"/>
      <c r="C803" s="5" t="s">
        <v>28</v>
      </c>
      <c r="D803" s="1808" t="s">
        <v>1698</v>
      </c>
      <c r="E803" s="1808"/>
      <c r="F803" s="1808"/>
      <c r="G803" s="5"/>
    </row>
    <row r="804" spans="1:16" x14ac:dyDescent="0.25">
      <c r="A804" s="1807" t="s">
        <v>29</v>
      </c>
      <c r="B804" s="1807"/>
      <c r="C804" s="5"/>
      <c r="D804" s="1809" t="s">
        <v>2988</v>
      </c>
      <c r="E804" s="1809"/>
      <c r="F804" s="1809"/>
      <c r="G804" s="5"/>
    </row>
    <row r="805" spans="1:16" x14ac:dyDescent="0.25">
      <c r="A805" s="1"/>
      <c r="B805" s="3"/>
      <c r="C805" s="5"/>
      <c r="D805" s="7"/>
      <c r="E805" s="17"/>
      <c r="F805" s="1706"/>
      <c r="G805" s="5"/>
    </row>
    <row r="806" spans="1:16" x14ac:dyDescent="0.25">
      <c r="A806" s="1"/>
      <c r="B806" s="3"/>
      <c r="C806" s="5"/>
      <c r="D806" s="7"/>
      <c r="E806" s="17"/>
      <c r="F806" s="1704"/>
      <c r="G806" s="5"/>
    </row>
    <row r="807" spans="1:16" x14ac:dyDescent="0.25">
      <c r="A807" s="1807"/>
      <c r="B807" s="1807"/>
      <c r="C807" s="5"/>
      <c r="D807" s="7"/>
      <c r="E807" s="1807"/>
      <c r="F807" s="1807"/>
      <c r="G807" s="5"/>
    </row>
    <row r="808" spans="1:16" x14ac:dyDescent="0.25">
      <c r="A808" s="1807" t="s">
        <v>30</v>
      </c>
      <c r="B808" s="1807"/>
      <c r="C808" s="5"/>
      <c r="D808" s="1807" t="s">
        <v>2989</v>
      </c>
      <c r="E808" s="1807"/>
      <c r="F808" s="1807"/>
      <c r="G808" s="5"/>
    </row>
    <row r="809" spans="1:16" x14ac:dyDescent="0.25">
      <c r="A809" s="1816" t="s">
        <v>0</v>
      </c>
      <c r="B809" s="1816"/>
      <c r="C809" s="1816"/>
      <c r="D809" s="1816"/>
      <c r="E809" s="1816"/>
      <c r="F809" s="1816"/>
      <c r="G809" s="1816"/>
    </row>
    <row r="810" spans="1:16" x14ac:dyDescent="0.25">
      <c r="A810" s="1816" t="s">
        <v>1</v>
      </c>
      <c r="B810" s="1816"/>
      <c r="C810" s="1816"/>
      <c r="D810" s="1816"/>
      <c r="E810" s="1816"/>
      <c r="F810" s="1816"/>
      <c r="G810" s="1816"/>
    </row>
    <row r="811" spans="1:16" x14ac:dyDescent="0.25">
      <c r="A811" s="1816" t="s">
        <v>1697</v>
      </c>
      <c r="B811" s="1816"/>
      <c r="C811" s="1816"/>
      <c r="D811" s="1816"/>
      <c r="E811" s="1816"/>
      <c r="F811" s="1816"/>
      <c r="G811" s="1816"/>
    </row>
    <row r="812" spans="1:16" x14ac:dyDescent="0.25">
      <c r="A812" s="863"/>
      <c r="B812" s="863"/>
      <c r="C812" s="597"/>
      <c r="D812" s="597"/>
      <c r="E812" s="863"/>
      <c r="F812" s="863"/>
      <c r="G812" s="863"/>
    </row>
    <row r="813" spans="1:16" ht="30" x14ac:dyDescent="0.25">
      <c r="A813" s="372" t="s">
        <v>399</v>
      </c>
      <c r="B813" s="279" t="s">
        <v>59</v>
      </c>
      <c r="C813" s="280"/>
      <c r="D813" s="274"/>
      <c r="E813" s="632" t="s">
        <v>6</v>
      </c>
      <c r="F813" s="633"/>
      <c r="G813" s="844"/>
    </row>
    <row r="814" spans="1:16" ht="30" x14ac:dyDescent="0.25">
      <c r="A814" s="281" t="s">
        <v>400</v>
      </c>
      <c r="B814" s="686" t="s">
        <v>2059</v>
      </c>
      <c r="C814" s="686"/>
      <c r="D814" s="686"/>
      <c r="E814" s="686" t="s">
        <v>368</v>
      </c>
      <c r="F814" s="240"/>
      <c r="G814" s="632"/>
    </row>
    <row r="815" spans="1:16" ht="30" x14ac:dyDescent="0.25">
      <c r="A815" s="281" t="s">
        <v>402</v>
      </c>
      <c r="B815" s="686" t="s">
        <v>2060</v>
      </c>
      <c r="C815" s="686"/>
      <c r="D815" s="686"/>
      <c r="E815" s="686"/>
      <c r="F815" s="240"/>
      <c r="G815" s="281"/>
    </row>
    <row r="816" spans="1:16" x14ac:dyDescent="0.25">
      <c r="A816" s="275" t="s">
        <v>610</v>
      </c>
      <c r="B816" s="275" t="s">
        <v>2061</v>
      </c>
      <c r="C816" s="844"/>
      <c r="D816" s="844"/>
      <c r="E816" s="844"/>
      <c r="F816" s="844"/>
      <c r="G816" s="844"/>
    </row>
    <row r="817" spans="1:11" x14ac:dyDescent="0.25">
      <c r="A817" s="863" t="s">
        <v>464</v>
      </c>
      <c r="B817" s="863" t="s">
        <v>611</v>
      </c>
      <c r="C817" s="597"/>
      <c r="D817" s="597"/>
      <c r="E817" s="863"/>
      <c r="F817" s="863"/>
      <c r="G817" s="863"/>
    </row>
    <row r="818" spans="1:11" x14ac:dyDescent="0.25">
      <c r="A818" s="1817" t="s">
        <v>561</v>
      </c>
      <c r="B818" s="1817"/>
      <c r="C818" s="844"/>
      <c r="D818" s="844"/>
      <c r="E818" s="633"/>
      <c r="F818" s="280"/>
      <c r="G818" s="863"/>
    </row>
    <row r="819" spans="1:11" x14ac:dyDescent="0.25">
      <c r="A819" s="844"/>
      <c r="B819" s="844"/>
      <c r="C819" s="844"/>
      <c r="D819" s="844"/>
      <c r="E819" s="844"/>
      <c r="F819" s="844"/>
      <c r="G819" s="863"/>
    </row>
    <row r="820" spans="1:11" ht="30" x14ac:dyDescent="0.25">
      <c r="A820" s="601" t="s">
        <v>31</v>
      </c>
      <c r="B820" s="601" t="s">
        <v>12</v>
      </c>
      <c r="C820" s="1818" t="s">
        <v>13</v>
      </c>
      <c r="D820" s="1819"/>
      <c r="E820" s="944" t="s">
        <v>14</v>
      </c>
      <c r="F820" s="691" t="s">
        <v>15</v>
      </c>
      <c r="G820" s="945" t="s">
        <v>405</v>
      </c>
    </row>
    <row r="821" spans="1:11" x14ac:dyDescent="0.25">
      <c r="A821" s="604">
        <v>1</v>
      </c>
      <c r="B821" s="604">
        <v>2</v>
      </c>
      <c r="C821" s="1820">
        <v>3</v>
      </c>
      <c r="D821" s="1821"/>
      <c r="E821" s="946">
        <v>4</v>
      </c>
      <c r="F821" s="605">
        <v>5</v>
      </c>
      <c r="G821" s="884">
        <v>6</v>
      </c>
    </row>
    <row r="822" spans="1:11" x14ac:dyDescent="0.25">
      <c r="A822" s="620" t="s">
        <v>2062</v>
      </c>
      <c r="B822" s="621" t="s">
        <v>466</v>
      </c>
      <c r="C822" s="640"/>
      <c r="D822" s="641"/>
      <c r="E822" s="947"/>
      <c r="F822" s="947"/>
      <c r="G822" s="890"/>
    </row>
    <row r="823" spans="1:11" ht="30" x14ac:dyDescent="0.25">
      <c r="A823" s="620" t="s">
        <v>2063</v>
      </c>
      <c r="B823" s="621" t="s">
        <v>2064</v>
      </c>
      <c r="C823" s="640"/>
      <c r="D823" s="641"/>
      <c r="E823" s="947"/>
      <c r="F823" s="947"/>
      <c r="G823" s="890"/>
    </row>
    <row r="824" spans="1:11" ht="30" x14ac:dyDescent="0.25">
      <c r="A824" s="620" t="s">
        <v>2065</v>
      </c>
      <c r="B824" s="618" t="s">
        <v>2814</v>
      </c>
      <c r="C824" s="640"/>
      <c r="D824" s="641"/>
      <c r="E824" s="948"/>
      <c r="F824" s="948"/>
      <c r="G824" s="890"/>
    </row>
    <row r="825" spans="1:11" ht="15.75" thickBot="1" x14ac:dyDescent="0.3">
      <c r="A825" s="620"/>
      <c r="B825" s="618" t="s">
        <v>2815</v>
      </c>
      <c r="C825" s="640">
        <v>1</v>
      </c>
      <c r="D825" s="949" t="s">
        <v>520</v>
      </c>
      <c r="E825" s="950">
        <v>890000</v>
      </c>
      <c r="F825" s="950">
        <f>E825*C825</f>
        <v>890000</v>
      </c>
      <c r="G825" s="890"/>
    </row>
    <row r="826" spans="1:11" ht="15.75" thickBot="1" x14ac:dyDescent="0.3">
      <c r="A826" s="620"/>
      <c r="B826" s="618"/>
      <c r="C826" s="1822" t="s">
        <v>613</v>
      </c>
      <c r="D826" s="1823"/>
      <c r="E826" s="1824"/>
      <c r="F826" s="951">
        <f>F825</f>
        <v>890000</v>
      </c>
      <c r="G826" s="624"/>
    </row>
    <row r="827" spans="1:11" x14ac:dyDescent="0.25">
      <c r="A827" s="620" t="s">
        <v>2066</v>
      </c>
      <c r="B827" s="618" t="s">
        <v>2067</v>
      </c>
      <c r="C827" s="952"/>
      <c r="D827" s="953"/>
      <c r="E827" s="954"/>
      <c r="F827" s="954"/>
      <c r="G827" s="624"/>
    </row>
    <row r="828" spans="1:11" ht="30" x14ac:dyDescent="0.25">
      <c r="A828" s="1772"/>
      <c r="B828" s="1735" t="s">
        <v>3026</v>
      </c>
      <c r="C828" s="1773">
        <v>1</v>
      </c>
      <c r="D828" s="1774" t="s">
        <v>129</v>
      </c>
      <c r="E828" s="1775">
        <v>1388460</v>
      </c>
      <c r="F828" s="1775">
        <f>E828*C828</f>
        <v>1388460</v>
      </c>
      <c r="G828" s="957"/>
    </row>
    <row r="829" spans="1:11" ht="30" x14ac:dyDescent="0.25">
      <c r="A829" s="1772"/>
      <c r="B829" s="1776" t="s">
        <v>2068</v>
      </c>
      <c r="C829" s="1773">
        <v>36</v>
      </c>
      <c r="D829" s="1774" t="s">
        <v>1940</v>
      </c>
      <c r="E829" s="1775">
        <v>62150</v>
      </c>
      <c r="F829" s="1775">
        <f t="shared" ref="F829:F836" si="19">E829*C829</f>
        <v>2237400</v>
      </c>
      <c r="G829" s="957"/>
      <c r="I829" s="175"/>
      <c r="J829" s="175"/>
      <c r="K829" s="451"/>
    </row>
    <row r="830" spans="1:11" ht="30" x14ac:dyDescent="0.25">
      <c r="A830" s="1772"/>
      <c r="B830" s="1776" t="s">
        <v>2069</v>
      </c>
      <c r="C830" s="1773">
        <v>12</v>
      </c>
      <c r="D830" s="1777" t="s">
        <v>1940</v>
      </c>
      <c r="E830" s="1775">
        <v>1468435</v>
      </c>
      <c r="F830" s="1775">
        <f t="shared" si="19"/>
        <v>17621220</v>
      </c>
      <c r="G830" s="957"/>
      <c r="I830" s="175"/>
      <c r="J830" s="175"/>
      <c r="K830" s="451"/>
    </row>
    <row r="831" spans="1:11" x14ac:dyDescent="0.25">
      <c r="A831" s="1778"/>
      <c r="B831" s="1779" t="s">
        <v>3023</v>
      </c>
      <c r="C831" s="1780">
        <v>30.6</v>
      </c>
      <c r="D831" s="1737" t="s">
        <v>1940</v>
      </c>
      <c r="E831" s="1781">
        <v>149725</v>
      </c>
      <c r="F831" s="1775">
        <f t="shared" si="19"/>
        <v>4581585</v>
      </c>
      <c r="G831" s="624"/>
      <c r="I831" s="175"/>
      <c r="J831" s="175"/>
      <c r="K831" s="451"/>
    </row>
    <row r="832" spans="1:11" ht="30" x14ac:dyDescent="0.25">
      <c r="A832" s="1778"/>
      <c r="B832" s="1776" t="s">
        <v>3024</v>
      </c>
      <c r="C832" s="1780">
        <v>32</v>
      </c>
      <c r="D832" s="1737" t="s">
        <v>1940</v>
      </c>
      <c r="E832" s="1781">
        <v>409625</v>
      </c>
      <c r="F832" s="1775">
        <f t="shared" si="19"/>
        <v>13108000</v>
      </c>
      <c r="G832" s="624"/>
      <c r="I832" s="175"/>
      <c r="J832" s="175"/>
      <c r="K832" s="451"/>
    </row>
    <row r="833" spans="1:25" ht="30" x14ac:dyDescent="0.25">
      <c r="A833" s="1778"/>
      <c r="B833" s="1776" t="s">
        <v>3025</v>
      </c>
      <c r="C833" s="1780">
        <v>32</v>
      </c>
      <c r="D833" s="1782" t="s">
        <v>1940</v>
      </c>
      <c r="E833" s="1781">
        <v>105655</v>
      </c>
      <c r="F833" s="1781">
        <f t="shared" si="19"/>
        <v>3380960</v>
      </c>
      <c r="G833" s="624"/>
      <c r="I833" s="175"/>
      <c r="J833" s="175"/>
      <c r="K833" s="451"/>
    </row>
    <row r="834" spans="1:25" ht="60" x14ac:dyDescent="0.25">
      <c r="A834" s="1778"/>
      <c r="B834" s="1776" t="s">
        <v>3027</v>
      </c>
      <c r="C834" s="1780">
        <v>12</v>
      </c>
      <c r="D834" s="1782" t="s">
        <v>2419</v>
      </c>
      <c r="E834" s="1781">
        <v>50850</v>
      </c>
      <c r="F834" s="1781">
        <f t="shared" si="19"/>
        <v>610200</v>
      </c>
      <c r="G834" s="624"/>
      <c r="I834" s="175"/>
      <c r="J834" s="175"/>
      <c r="K834" s="451"/>
    </row>
    <row r="835" spans="1:25" ht="30" x14ac:dyDescent="0.25">
      <c r="A835" s="1778"/>
      <c r="B835" s="1776" t="s">
        <v>3028</v>
      </c>
      <c r="C835" s="1780">
        <v>30.6</v>
      </c>
      <c r="D835" s="1782" t="s">
        <v>1940</v>
      </c>
      <c r="E835" s="1781">
        <v>45200</v>
      </c>
      <c r="F835" s="1781">
        <f t="shared" si="19"/>
        <v>1383120</v>
      </c>
      <c r="G835" s="624"/>
      <c r="I835" s="175"/>
      <c r="J835" s="175"/>
      <c r="K835" s="451"/>
    </row>
    <row r="836" spans="1:25" ht="30" x14ac:dyDescent="0.25">
      <c r="A836" s="1778"/>
      <c r="B836" s="1776" t="s">
        <v>3029</v>
      </c>
      <c r="C836" s="1780">
        <v>2</v>
      </c>
      <c r="D836" s="1782" t="s">
        <v>129</v>
      </c>
      <c r="E836" s="1781">
        <v>113000</v>
      </c>
      <c r="F836" s="1781">
        <f t="shared" si="19"/>
        <v>226000</v>
      </c>
      <c r="G836" s="624"/>
      <c r="I836" s="175"/>
      <c r="J836" s="175"/>
      <c r="K836" s="451"/>
    </row>
    <row r="837" spans="1:25" ht="15.75" thickBot="1" x14ac:dyDescent="0.3">
      <c r="A837" s="1778"/>
      <c r="B837" s="1776" t="s">
        <v>1943</v>
      </c>
      <c r="C837" s="1780">
        <v>1</v>
      </c>
      <c r="D837" s="1782" t="s">
        <v>123</v>
      </c>
      <c r="E837" s="1783">
        <v>250000</v>
      </c>
      <c r="F837" s="1783">
        <v>250000</v>
      </c>
      <c r="G837" s="624"/>
    </row>
    <row r="838" spans="1:25" ht="15.75" thickBot="1" x14ac:dyDescent="0.3">
      <c r="A838" s="604"/>
      <c r="B838" s="967"/>
      <c r="C838" s="1881" t="s">
        <v>613</v>
      </c>
      <c r="D838" s="1882"/>
      <c r="E838" s="1827"/>
      <c r="F838" s="968">
        <f>SUM(F828:F837)</f>
        <v>44786945</v>
      </c>
      <c r="G838" s="624"/>
      <c r="I838" s="451"/>
    </row>
    <row r="839" spans="1:25" x14ac:dyDescent="0.25">
      <c r="A839" s="604"/>
      <c r="B839" s="969"/>
      <c r="C839" s="961"/>
      <c r="D839" s="963"/>
      <c r="E839" s="962"/>
      <c r="F839" s="970"/>
      <c r="G839" s="624"/>
      <c r="I839" s="175"/>
    </row>
    <row r="840" spans="1:25" ht="30" x14ac:dyDescent="0.25">
      <c r="A840" s="241"/>
      <c r="B840" s="1883" t="s">
        <v>27</v>
      </c>
      <c r="C840" s="1884"/>
      <c r="D840" s="1884"/>
      <c r="E840" s="1885"/>
      <c r="F840" s="971">
        <f>F838+F826</f>
        <v>45676945</v>
      </c>
      <c r="G840" s="252" t="s">
        <v>2626</v>
      </c>
      <c r="I840" s="451"/>
      <c r="S840" s="175">
        <f>F840</f>
        <v>45676945</v>
      </c>
    </row>
    <row r="841" spans="1:25" x14ac:dyDescent="0.25">
      <c r="A841" s="1807" t="s">
        <v>614</v>
      </c>
      <c r="B841" s="1807"/>
      <c r="C841" s="5" t="s">
        <v>28</v>
      </c>
      <c r="D841" s="1808" t="s">
        <v>1698</v>
      </c>
      <c r="E841" s="1808"/>
      <c r="F841" s="1808"/>
      <c r="G841" s="5"/>
    </row>
    <row r="842" spans="1:25" x14ac:dyDescent="0.25">
      <c r="A842" s="1807" t="s">
        <v>29</v>
      </c>
      <c r="B842" s="1807"/>
      <c r="C842" s="5"/>
      <c r="D842" s="1809" t="s">
        <v>2990</v>
      </c>
      <c r="E842" s="1809"/>
      <c r="F842" s="1809"/>
      <c r="G842" s="5"/>
      <c r="I842" s="451"/>
    </row>
    <row r="843" spans="1:25" x14ac:dyDescent="0.25">
      <c r="A843" s="1"/>
      <c r="B843" s="3"/>
      <c r="C843" s="5"/>
      <c r="D843" s="7"/>
      <c r="E843" s="17"/>
      <c r="F843" s="17"/>
      <c r="G843" s="5"/>
      <c r="I843" s="175"/>
    </row>
    <row r="844" spans="1:25" x14ac:dyDescent="0.25">
      <c r="A844" s="1"/>
      <c r="B844" s="3"/>
      <c r="C844" s="5"/>
      <c r="D844" s="7"/>
      <c r="E844" s="17"/>
      <c r="F844" s="1731"/>
      <c r="G844" s="5"/>
    </row>
    <row r="845" spans="1:25" x14ac:dyDescent="0.25">
      <c r="A845" s="1807"/>
      <c r="B845" s="1807"/>
      <c r="C845" s="5"/>
      <c r="D845" s="7"/>
      <c r="E845" s="1810"/>
      <c r="F845" s="1807"/>
      <c r="G845" s="5"/>
      <c r="I845" s="451"/>
    </row>
    <row r="846" spans="1:25" x14ac:dyDescent="0.25">
      <c r="A846" s="1807" t="s">
        <v>30</v>
      </c>
      <c r="B846" s="1807"/>
      <c r="C846" s="5"/>
      <c r="D846" s="1807" t="s">
        <v>2991</v>
      </c>
      <c r="E846" s="1807"/>
      <c r="F846" s="1807"/>
      <c r="G846" s="5"/>
      <c r="I846" s="175"/>
    </row>
    <row r="847" spans="1:25" s="240" customFormat="1" x14ac:dyDescent="0.25">
      <c r="A847" s="1816" t="s">
        <v>0</v>
      </c>
      <c r="B847" s="1816"/>
      <c r="C847" s="1816"/>
      <c r="D847" s="1816"/>
      <c r="E847" s="1816"/>
      <c r="F847" s="1816"/>
      <c r="G847" s="1816"/>
      <c r="I847" s="943"/>
      <c r="J847" s="943"/>
      <c r="K847" s="943"/>
      <c r="L847" s="943"/>
      <c r="M847" s="943"/>
      <c r="N847" s="943"/>
      <c r="O847" s="943"/>
      <c r="P847" s="943"/>
      <c r="Q847" s="943"/>
      <c r="R847" s="943"/>
      <c r="S847" s="943"/>
      <c r="T847" s="943"/>
      <c r="U847" s="943"/>
      <c r="V847" s="943"/>
      <c r="W847" s="943"/>
      <c r="X847" s="943"/>
      <c r="Y847" s="943"/>
    </row>
    <row r="848" spans="1:25" s="240" customFormat="1" x14ac:dyDescent="0.25">
      <c r="A848" s="1816" t="s">
        <v>1</v>
      </c>
      <c r="B848" s="1816"/>
      <c r="C848" s="1816"/>
      <c r="D848" s="1816"/>
      <c r="E848" s="1816"/>
      <c r="F848" s="1816"/>
      <c r="G848" s="1816"/>
      <c r="I848" s="943"/>
      <c r="J848" s="943"/>
      <c r="K848" s="943"/>
      <c r="L848" s="943"/>
      <c r="M848" s="943"/>
      <c r="N848" s="943"/>
      <c r="O848" s="943"/>
      <c r="P848" s="943"/>
      <c r="Q848" s="943"/>
      <c r="R848" s="943"/>
      <c r="S848" s="943"/>
      <c r="T848" s="943"/>
      <c r="U848" s="943"/>
      <c r="V848" s="943"/>
      <c r="W848" s="943"/>
      <c r="X848" s="943"/>
      <c r="Y848" s="943"/>
    </row>
    <row r="849" spans="1:25" s="240" customFormat="1" x14ac:dyDescent="0.25">
      <c r="A849" s="1816" t="s">
        <v>1697</v>
      </c>
      <c r="B849" s="1816"/>
      <c r="C849" s="1816"/>
      <c r="D849" s="1816"/>
      <c r="E849" s="1816"/>
      <c r="F849" s="1816"/>
      <c r="G849" s="1816"/>
      <c r="I849" s="943"/>
      <c r="J849" s="943"/>
      <c r="K849" s="943"/>
      <c r="L849" s="943"/>
      <c r="M849" s="943"/>
      <c r="N849" s="943"/>
      <c r="O849" s="943"/>
      <c r="P849" s="943"/>
      <c r="Q849" s="943"/>
      <c r="R849" s="943"/>
      <c r="S849" s="943"/>
      <c r="T849" s="943"/>
      <c r="U849" s="943"/>
      <c r="V849" s="943"/>
      <c r="W849" s="943"/>
      <c r="X849" s="943"/>
      <c r="Y849" s="943"/>
    </row>
    <row r="850" spans="1:25" s="240" customFormat="1" x14ac:dyDescent="0.25">
      <c r="A850" s="863"/>
      <c r="B850" s="863"/>
      <c r="C850" s="597"/>
      <c r="D850" s="597"/>
      <c r="E850" s="863"/>
      <c r="F850" s="863"/>
      <c r="G850" s="863"/>
      <c r="I850" s="943"/>
      <c r="J850" s="943"/>
      <c r="K850" s="943"/>
      <c r="L850" s="943"/>
      <c r="M850" s="943"/>
      <c r="N850" s="943"/>
      <c r="O850" s="943"/>
      <c r="P850" s="943"/>
      <c r="Q850" s="943"/>
      <c r="R850" s="943"/>
      <c r="S850" s="943"/>
      <c r="T850" s="943"/>
      <c r="U850" s="943"/>
      <c r="V850" s="943"/>
      <c r="W850" s="943"/>
      <c r="X850" s="943"/>
      <c r="Y850" s="943"/>
    </row>
    <row r="851" spans="1:25" s="240" customFormat="1" ht="30" x14ac:dyDescent="0.25">
      <c r="A851" s="372" t="s">
        <v>399</v>
      </c>
      <c r="B851" s="279" t="s">
        <v>59</v>
      </c>
      <c r="C851" s="280"/>
      <c r="D851" s="274"/>
      <c r="E851" s="632" t="s">
        <v>6</v>
      </c>
      <c r="F851" s="633"/>
      <c r="G851" s="844"/>
      <c r="I851" s="943"/>
      <c r="J851" s="943"/>
      <c r="K851" s="943"/>
      <c r="L851" s="943"/>
      <c r="M851" s="943"/>
      <c r="N851" s="943"/>
      <c r="O851" s="943"/>
      <c r="P851" s="943"/>
      <c r="Q851" s="943"/>
      <c r="R851" s="943"/>
      <c r="S851" s="943"/>
      <c r="T851" s="943"/>
      <c r="U851" s="943"/>
      <c r="V851" s="943"/>
      <c r="W851" s="943"/>
      <c r="X851" s="943"/>
      <c r="Y851" s="943"/>
    </row>
    <row r="852" spans="1:25" s="240" customFormat="1" ht="30" x14ac:dyDescent="0.25">
      <c r="A852" s="281" t="s">
        <v>400</v>
      </c>
      <c r="B852" s="686" t="s">
        <v>2059</v>
      </c>
      <c r="C852" s="686"/>
      <c r="D852" s="686"/>
      <c r="E852" s="686" t="s">
        <v>368</v>
      </c>
      <c r="G852" s="632"/>
      <c r="I852" s="943"/>
      <c r="J852" s="943"/>
      <c r="K852" s="943"/>
      <c r="L852" s="943"/>
      <c r="M852" s="943"/>
      <c r="N852" s="943"/>
      <c r="O852" s="943"/>
      <c r="P852" s="943"/>
      <c r="Q852" s="943"/>
      <c r="R852" s="943"/>
      <c r="S852" s="943"/>
      <c r="T852" s="943"/>
      <c r="U852" s="943"/>
      <c r="V852" s="943"/>
      <c r="W852" s="943"/>
      <c r="X852" s="943"/>
      <c r="Y852" s="943"/>
    </row>
    <row r="853" spans="1:25" s="240" customFormat="1" ht="45" x14ac:dyDescent="0.25">
      <c r="A853" s="281" t="s">
        <v>402</v>
      </c>
      <c r="B853" s="686" t="s">
        <v>2415</v>
      </c>
      <c r="C853" s="686"/>
      <c r="D853" s="686"/>
      <c r="E853" s="686"/>
      <c r="G853" s="281"/>
      <c r="I853" s="943"/>
      <c r="J853" s="943"/>
      <c r="K853" s="943"/>
      <c r="L853" s="943"/>
      <c r="M853" s="943"/>
      <c r="N853" s="943"/>
      <c r="O853" s="943"/>
      <c r="P853" s="943"/>
      <c r="Q853" s="943"/>
      <c r="R853" s="943"/>
      <c r="S853" s="943"/>
      <c r="T853" s="943"/>
      <c r="U853" s="943"/>
      <c r="V853" s="943"/>
      <c r="W853" s="943"/>
      <c r="X853" s="943"/>
      <c r="Y853" s="943"/>
    </row>
    <row r="854" spans="1:25" s="240" customFormat="1" x14ac:dyDescent="0.25">
      <c r="A854" s="275" t="s">
        <v>610</v>
      </c>
      <c r="B854" s="275" t="s">
        <v>2416</v>
      </c>
      <c r="C854" s="844"/>
      <c r="D854" s="844"/>
      <c r="E854" s="844"/>
      <c r="F854" s="844"/>
      <c r="G854" s="844"/>
      <c r="I854" s="943"/>
      <c r="J854" s="943"/>
      <c r="K854" s="943"/>
      <c r="L854" s="943"/>
      <c r="M854" s="943"/>
      <c r="N854" s="943"/>
      <c r="O854" s="943"/>
      <c r="P854" s="943"/>
      <c r="Q854" s="943"/>
      <c r="R854" s="943"/>
      <c r="S854" s="943"/>
      <c r="T854" s="943"/>
      <c r="U854" s="943"/>
      <c r="V854" s="943"/>
      <c r="W854" s="943"/>
      <c r="X854" s="943"/>
      <c r="Y854" s="943"/>
    </row>
    <row r="855" spans="1:25" s="240" customFormat="1" x14ac:dyDescent="0.25">
      <c r="A855" s="863" t="s">
        <v>464</v>
      </c>
      <c r="B855" s="863" t="s">
        <v>611</v>
      </c>
      <c r="C855" s="597"/>
      <c r="D855" s="597"/>
      <c r="E855" s="863"/>
      <c r="F855" s="863"/>
      <c r="G855" s="863"/>
      <c r="I855" s="943"/>
      <c r="J855" s="943"/>
      <c r="K855" s="943"/>
      <c r="L855" s="943"/>
      <c r="M855" s="943"/>
      <c r="N855" s="943"/>
      <c r="O855" s="943"/>
      <c r="P855" s="943"/>
      <c r="Q855" s="943"/>
      <c r="R855" s="943"/>
      <c r="S855" s="943"/>
      <c r="T855" s="943"/>
      <c r="U855" s="943"/>
      <c r="V855" s="943"/>
      <c r="W855" s="943"/>
      <c r="X855" s="943"/>
      <c r="Y855" s="943"/>
    </row>
    <row r="856" spans="1:25" s="240" customFormat="1" x14ac:dyDescent="0.25">
      <c r="A856" s="1817" t="s">
        <v>561</v>
      </c>
      <c r="B856" s="1817"/>
      <c r="C856" s="844"/>
      <c r="D856" s="844"/>
      <c r="E856" s="633"/>
      <c r="F856" s="280"/>
      <c r="G856" s="863"/>
      <c r="I856" s="943"/>
      <c r="J856" s="943"/>
      <c r="K856" s="943"/>
      <c r="L856" s="943"/>
      <c r="M856" s="943"/>
      <c r="N856" s="943"/>
      <c r="O856" s="943"/>
      <c r="P856" s="943"/>
      <c r="Q856" s="943"/>
      <c r="R856" s="943"/>
      <c r="S856" s="943"/>
      <c r="T856" s="943"/>
      <c r="U856" s="943"/>
      <c r="V856" s="943"/>
      <c r="W856" s="943"/>
      <c r="X856" s="943"/>
      <c r="Y856" s="943"/>
    </row>
    <row r="857" spans="1:25" s="240" customFormat="1" x14ac:dyDescent="0.25">
      <c r="A857" s="844"/>
      <c r="B857" s="844"/>
      <c r="C857" s="844"/>
      <c r="D857" s="844"/>
      <c r="E857" s="844"/>
      <c r="F857" s="844"/>
      <c r="G857" s="863"/>
      <c r="I857" s="943"/>
      <c r="J857" s="943"/>
      <c r="K857" s="943"/>
      <c r="L857" s="943"/>
      <c r="M857" s="943"/>
      <c r="N857" s="943"/>
      <c r="O857" s="943"/>
      <c r="P857" s="943"/>
      <c r="Q857" s="943"/>
      <c r="R857" s="943"/>
      <c r="S857" s="943"/>
      <c r="T857" s="943"/>
      <c r="U857" s="943"/>
      <c r="V857" s="943"/>
      <c r="W857" s="943"/>
      <c r="X857" s="943"/>
      <c r="Y857" s="943"/>
    </row>
    <row r="858" spans="1:25" s="240" customFormat="1" ht="30" x14ac:dyDescent="0.25">
      <c r="A858" s="601" t="s">
        <v>31</v>
      </c>
      <c r="B858" s="601" t="s">
        <v>12</v>
      </c>
      <c r="C858" s="1818" t="s">
        <v>13</v>
      </c>
      <c r="D858" s="1819"/>
      <c r="E858" s="944" t="s">
        <v>14</v>
      </c>
      <c r="F858" s="691" t="s">
        <v>15</v>
      </c>
      <c r="G858" s="945" t="s">
        <v>405</v>
      </c>
      <c r="I858" s="943"/>
      <c r="J858" s="943"/>
      <c r="K858" s="943"/>
      <c r="L858" s="943"/>
      <c r="M858" s="943"/>
      <c r="N858" s="943"/>
      <c r="O858" s="943"/>
      <c r="P858" s="943"/>
      <c r="Q858" s="943"/>
      <c r="R858" s="943"/>
      <c r="S858" s="943"/>
      <c r="T858" s="943"/>
      <c r="U858" s="943"/>
      <c r="V858" s="943"/>
      <c r="W858" s="943"/>
      <c r="X858" s="943"/>
      <c r="Y858" s="943"/>
    </row>
    <row r="859" spans="1:25" s="240" customFormat="1" x14ac:dyDescent="0.25">
      <c r="A859" s="604">
        <v>1</v>
      </c>
      <c r="B859" s="604">
        <v>2</v>
      </c>
      <c r="C859" s="1820">
        <v>3</v>
      </c>
      <c r="D859" s="1821"/>
      <c r="E859" s="946">
        <v>4</v>
      </c>
      <c r="F859" s="605">
        <v>5</v>
      </c>
      <c r="G859" s="884">
        <v>6</v>
      </c>
      <c r="I859" s="943"/>
      <c r="J859" s="943"/>
      <c r="K859" s="943"/>
      <c r="L859" s="943"/>
      <c r="M859" s="943"/>
      <c r="N859" s="943"/>
      <c r="O859" s="943"/>
      <c r="P859" s="943"/>
      <c r="Q859" s="943"/>
      <c r="R859" s="943"/>
      <c r="S859" s="943"/>
      <c r="T859" s="943"/>
      <c r="U859" s="943"/>
      <c r="V859" s="943"/>
      <c r="W859" s="943"/>
      <c r="X859" s="943"/>
      <c r="Y859" s="943"/>
    </row>
    <row r="860" spans="1:25" s="240" customFormat="1" x14ac:dyDescent="0.25">
      <c r="A860" s="620" t="s">
        <v>2062</v>
      </c>
      <c r="B860" s="621" t="s">
        <v>466</v>
      </c>
      <c r="C860" s="640"/>
      <c r="D860" s="641"/>
      <c r="E860" s="947"/>
      <c r="F860" s="947"/>
      <c r="G860" s="890"/>
      <c r="I860" s="943"/>
      <c r="J860" s="943"/>
      <c r="K860" s="943"/>
      <c r="L860" s="943"/>
      <c r="M860" s="943"/>
      <c r="N860" s="943"/>
      <c r="O860" s="943"/>
      <c r="P860" s="943"/>
      <c r="Q860" s="943"/>
      <c r="R860" s="943"/>
      <c r="S860" s="943"/>
      <c r="T860" s="943"/>
      <c r="U860" s="943"/>
      <c r="V860" s="943"/>
      <c r="W860" s="943"/>
      <c r="X860" s="943"/>
      <c r="Y860" s="943"/>
    </row>
    <row r="861" spans="1:25" s="240" customFormat="1" ht="30" x14ac:dyDescent="0.25">
      <c r="A861" s="620" t="s">
        <v>2063</v>
      </c>
      <c r="B861" s="621" t="s">
        <v>2064</v>
      </c>
      <c r="C861" s="640"/>
      <c r="D861" s="641"/>
      <c r="E861" s="947"/>
      <c r="F861" s="947"/>
      <c r="G861" s="890"/>
      <c r="I861" s="943"/>
      <c r="J861" s="943"/>
      <c r="K861" s="943"/>
      <c r="L861" s="943"/>
      <c r="M861" s="943"/>
      <c r="N861" s="943"/>
      <c r="O861" s="943"/>
      <c r="P861" s="943"/>
      <c r="Q861" s="943"/>
      <c r="R861" s="943"/>
      <c r="S861" s="943"/>
      <c r="T861" s="943"/>
      <c r="U861" s="943"/>
      <c r="V861" s="943"/>
      <c r="W861" s="943"/>
      <c r="X861" s="943"/>
      <c r="Y861" s="943"/>
    </row>
    <row r="862" spans="1:25" s="240" customFormat="1" ht="30" x14ac:dyDescent="0.25">
      <c r="A862" s="620" t="s">
        <v>2065</v>
      </c>
      <c r="B862" s="618" t="s">
        <v>2814</v>
      </c>
      <c r="C862" s="640"/>
      <c r="D862" s="641"/>
      <c r="E862" s="948"/>
      <c r="F862" s="948"/>
      <c r="G862" s="890"/>
      <c r="I862" s="943"/>
      <c r="J862" s="943"/>
      <c r="K862" s="943"/>
      <c r="L862" s="943"/>
      <c r="M862" s="943"/>
      <c r="N862" s="943"/>
      <c r="O862" s="943"/>
      <c r="P862" s="943"/>
      <c r="Q862" s="943"/>
      <c r="R862" s="943"/>
      <c r="S862" s="943"/>
      <c r="T862" s="943"/>
      <c r="U862" s="943"/>
      <c r="V862" s="943"/>
      <c r="W862" s="943"/>
      <c r="X862" s="943"/>
      <c r="Y862" s="943"/>
    </row>
    <row r="863" spans="1:25" s="240" customFormat="1" x14ac:dyDescent="0.25">
      <c r="A863" s="620"/>
      <c r="B863" s="618" t="s">
        <v>2815</v>
      </c>
      <c r="C863" s="640">
        <v>1</v>
      </c>
      <c r="D863" s="949" t="s">
        <v>520</v>
      </c>
      <c r="E863" s="950">
        <v>449000</v>
      </c>
      <c r="F863" s="950">
        <f>E863*C863</f>
        <v>449000</v>
      </c>
      <c r="G863" s="890"/>
      <c r="I863" s="943"/>
      <c r="J863" s="943"/>
      <c r="K863" s="943"/>
      <c r="L863" s="943"/>
      <c r="M863" s="943"/>
      <c r="N863" s="943"/>
      <c r="O863" s="943"/>
      <c r="P863" s="943"/>
      <c r="Q863" s="943"/>
      <c r="R863" s="943"/>
      <c r="S863" s="943"/>
      <c r="T863" s="943"/>
      <c r="U863" s="943"/>
      <c r="V863" s="943"/>
      <c r="W863" s="943"/>
      <c r="X863" s="943"/>
      <c r="Y863" s="943"/>
    </row>
    <row r="864" spans="1:25" s="240" customFormat="1" x14ac:dyDescent="0.25">
      <c r="A864" s="620"/>
      <c r="B864" s="618"/>
      <c r="C864" s="1822" t="s">
        <v>613</v>
      </c>
      <c r="D864" s="1823"/>
      <c r="E864" s="1824"/>
      <c r="F864" s="951">
        <f>F863</f>
        <v>449000</v>
      </c>
      <c r="G864" s="624"/>
      <c r="I864" s="943"/>
      <c r="J864" s="943"/>
      <c r="K864" s="943"/>
      <c r="L864" s="943"/>
      <c r="M864" s="943"/>
      <c r="N864" s="943"/>
      <c r="O864" s="943"/>
      <c r="P864" s="943"/>
      <c r="Q864" s="943"/>
      <c r="R864" s="943"/>
      <c r="S864" s="943"/>
      <c r="T864" s="943"/>
      <c r="U864" s="943"/>
      <c r="V864" s="943"/>
      <c r="W864" s="943"/>
      <c r="X864" s="943"/>
      <c r="Y864" s="943"/>
    </row>
    <row r="865" spans="1:25" s="240" customFormat="1" x14ac:dyDescent="0.25">
      <c r="A865" s="620" t="s">
        <v>2066</v>
      </c>
      <c r="B865" s="618" t="s">
        <v>2067</v>
      </c>
      <c r="C865" s="952"/>
      <c r="D865" s="953"/>
      <c r="E865" s="954"/>
      <c r="F865" s="954"/>
      <c r="G865" s="624"/>
      <c r="I865" s="943"/>
      <c r="J865" s="943"/>
      <c r="K865" s="943"/>
      <c r="L865" s="943"/>
      <c r="M865" s="943"/>
      <c r="N865" s="943"/>
      <c r="O865" s="943"/>
      <c r="P865" s="943"/>
      <c r="Q865" s="943"/>
      <c r="R865" s="943"/>
      <c r="S865" s="943"/>
      <c r="T865" s="943"/>
      <c r="U865" s="943"/>
      <c r="V865" s="943"/>
      <c r="W865" s="943"/>
      <c r="X865" s="943"/>
      <c r="Y865" s="943"/>
    </row>
    <row r="866" spans="1:25" s="240" customFormat="1" ht="30" x14ac:dyDescent="0.25">
      <c r="A866" s="955"/>
      <c r="B866" s="956" t="s">
        <v>2417</v>
      </c>
      <c r="C866" s="952">
        <v>62.1</v>
      </c>
      <c r="D866" s="953" t="s">
        <v>1940</v>
      </c>
      <c r="E866" s="954">
        <v>292500</v>
      </c>
      <c r="F866" s="954">
        <f>E866*C866</f>
        <v>18164250</v>
      </c>
      <c r="G866" s="957"/>
      <c r="I866" s="943"/>
      <c r="J866" s="958"/>
      <c r="K866" s="943"/>
      <c r="L866" s="943"/>
      <c r="M866" s="943"/>
      <c r="N866" s="943"/>
      <c r="O866" s="943"/>
      <c r="P866" s="943"/>
      <c r="Q866" s="943"/>
      <c r="R866" s="943"/>
      <c r="S866" s="943"/>
      <c r="T866" s="943"/>
      <c r="U866" s="943"/>
      <c r="V866" s="943"/>
      <c r="W866" s="943"/>
      <c r="X866" s="943"/>
      <c r="Y866" s="943"/>
    </row>
    <row r="867" spans="1:25" s="240" customFormat="1" x14ac:dyDescent="0.25">
      <c r="A867" s="955"/>
      <c r="B867" s="956" t="s">
        <v>2418</v>
      </c>
      <c r="C867" s="952">
        <v>23</v>
      </c>
      <c r="D867" s="959" t="s">
        <v>2419</v>
      </c>
      <c r="E867" s="954">
        <v>175500</v>
      </c>
      <c r="F867" s="954">
        <f>E867*C867</f>
        <v>4036500</v>
      </c>
      <c r="G867" s="957"/>
      <c r="I867" s="943"/>
      <c r="J867" s="943"/>
      <c r="K867" s="943"/>
      <c r="L867" s="943"/>
      <c r="M867" s="943"/>
      <c r="N867" s="943"/>
      <c r="O867" s="943"/>
      <c r="P867" s="943"/>
      <c r="Q867" s="943"/>
      <c r="R867" s="943"/>
      <c r="S867" s="943"/>
      <c r="T867" s="943"/>
      <c r="U867" s="943"/>
      <c r="V867" s="943"/>
      <c r="W867" s="943"/>
      <c r="X867" s="943"/>
      <c r="Y867" s="943"/>
    </row>
    <row r="868" spans="1:25" s="240" customFormat="1" x14ac:dyDescent="0.25">
      <c r="A868" s="620"/>
      <c r="B868" s="956" t="s">
        <v>1943</v>
      </c>
      <c r="C868" s="964">
        <v>1</v>
      </c>
      <c r="D868" s="965" t="s">
        <v>129</v>
      </c>
      <c r="E868" s="966">
        <v>250000</v>
      </c>
      <c r="F868" s="954">
        <f>E868*C868</f>
        <v>250000</v>
      </c>
      <c r="G868" s="624"/>
      <c r="I868" s="943"/>
      <c r="J868" s="943"/>
      <c r="K868" s="943"/>
      <c r="L868" s="943"/>
      <c r="M868" s="943"/>
      <c r="N868" s="943"/>
      <c r="O868" s="943"/>
      <c r="P868" s="943"/>
      <c r="Q868" s="943"/>
      <c r="R868" s="943"/>
      <c r="S868" s="943"/>
      <c r="T868" s="943"/>
      <c r="U868" s="943"/>
      <c r="V868" s="943"/>
      <c r="W868" s="943"/>
      <c r="X868" s="943"/>
      <c r="Y868" s="943"/>
    </row>
    <row r="869" spans="1:25" s="240" customFormat="1" x14ac:dyDescent="0.25">
      <c r="A869" s="604"/>
      <c r="B869" s="967"/>
      <c r="C869" s="1825" t="s">
        <v>613</v>
      </c>
      <c r="D869" s="1826"/>
      <c r="E869" s="1827"/>
      <c r="F869" s="968">
        <f>SUM(F866:F868)</f>
        <v>22450750</v>
      </c>
      <c r="G869" s="624"/>
      <c r="H869" s="983"/>
      <c r="I869" s="943"/>
      <c r="J869" s="943"/>
      <c r="K869" s="943"/>
      <c r="L869" s="943"/>
      <c r="M869" s="943"/>
      <c r="N869" s="943"/>
      <c r="O869" s="943"/>
      <c r="P869" s="943"/>
      <c r="Q869" s="943"/>
      <c r="R869" s="943"/>
      <c r="S869" s="943"/>
      <c r="T869" s="943"/>
      <c r="U869" s="943"/>
      <c r="V869" s="943"/>
      <c r="W869" s="943"/>
      <c r="X869" s="943"/>
      <c r="Y869" s="943"/>
    </row>
    <row r="870" spans="1:25" s="240" customFormat="1" x14ac:dyDescent="0.25">
      <c r="A870" s="604"/>
      <c r="B870" s="969"/>
      <c r="C870" s="961"/>
      <c r="D870" s="963"/>
      <c r="E870" s="962"/>
      <c r="F870" s="970"/>
      <c r="G870" s="624"/>
      <c r="I870" s="943"/>
      <c r="J870" s="943"/>
      <c r="K870" s="943"/>
      <c r="L870" s="943"/>
      <c r="M870" s="943"/>
      <c r="N870" s="943"/>
      <c r="O870" s="943"/>
      <c r="P870" s="943"/>
      <c r="Q870" s="943"/>
      <c r="R870" s="943"/>
      <c r="S870" s="943"/>
      <c r="T870" s="943"/>
      <c r="U870" s="943"/>
      <c r="V870" s="943"/>
      <c r="W870" s="943"/>
      <c r="X870" s="943"/>
      <c r="Y870" s="943"/>
    </row>
    <row r="871" spans="1:25" s="1617" customFormat="1" ht="30" x14ac:dyDescent="0.25">
      <c r="A871" s="1614"/>
      <c r="B871" s="1828" t="s">
        <v>27</v>
      </c>
      <c r="C871" s="1829"/>
      <c r="D871" s="1829"/>
      <c r="E871" s="1830"/>
      <c r="F871" s="1615">
        <f>F869+F864</f>
        <v>22899750</v>
      </c>
      <c r="G871" s="1616" t="s">
        <v>2626</v>
      </c>
      <c r="H871" s="1617" t="s">
        <v>2928</v>
      </c>
      <c r="I871" s="1618"/>
      <c r="J871" s="1618"/>
      <c r="K871" s="1618"/>
      <c r="L871" s="1618"/>
      <c r="M871" s="1618"/>
      <c r="N871" s="1618"/>
      <c r="O871" s="1618"/>
      <c r="P871" s="1618"/>
      <c r="Q871" s="1618"/>
      <c r="R871" s="1618"/>
      <c r="S871" s="1618">
        <f>F871</f>
        <v>22899750</v>
      </c>
      <c r="T871" s="1618"/>
      <c r="U871" s="1618"/>
      <c r="V871" s="1618"/>
      <c r="W871" s="1618"/>
      <c r="X871" s="1618"/>
      <c r="Y871" s="1618"/>
    </row>
    <row r="872" spans="1:25" x14ac:dyDescent="0.25">
      <c r="A872" s="1807" t="s">
        <v>614</v>
      </c>
      <c r="B872" s="1807"/>
      <c r="C872" s="5" t="s">
        <v>28</v>
      </c>
      <c r="D872" s="1808" t="s">
        <v>1698</v>
      </c>
      <c r="E872" s="1808"/>
      <c r="F872" s="1808"/>
      <c r="G872" s="5"/>
    </row>
    <row r="873" spans="1:25" x14ac:dyDescent="0.25">
      <c r="A873" s="1807" t="s">
        <v>29</v>
      </c>
      <c r="B873" s="1807"/>
      <c r="C873" s="5"/>
      <c r="D873" s="1809" t="s">
        <v>2990</v>
      </c>
      <c r="E873" s="1809"/>
      <c r="F873" s="1809"/>
      <c r="G873" s="5"/>
    </row>
    <row r="874" spans="1:25" x14ac:dyDescent="0.25">
      <c r="A874" s="1"/>
      <c r="B874" s="3"/>
      <c r="C874" s="5"/>
      <c r="D874" s="7"/>
      <c r="E874" s="17"/>
      <c r="F874" s="17"/>
      <c r="G874" s="5"/>
    </row>
    <row r="875" spans="1:25" x14ac:dyDescent="0.25">
      <c r="A875" s="1"/>
      <c r="B875" s="3"/>
      <c r="C875" s="5"/>
      <c r="D875" s="7"/>
      <c r="E875" s="17"/>
      <c r="F875" s="17"/>
      <c r="G875" s="5"/>
    </row>
    <row r="876" spans="1:25" x14ac:dyDescent="0.25">
      <c r="A876" s="1807"/>
      <c r="B876" s="1807"/>
      <c r="C876" s="5"/>
      <c r="D876" s="7"/>
      <c r="E876" s="1807"/>
      <c r="F876" s="1807"/>
      <c r="G876" s="5"/>
    </row>
    <row r="877" spans="1:25" x14ac:dyDescent="0.25">
      <c r="A877" s="1807" t="s">
        <v>30</v>
      </c>
      <c r="B877" s="1807"/>
      <c r="C877" s="5"/>
      <c r="D877" s="1807" t="s">
        <v>2991</v>
      </c>
      <c r="E877" s="1807"/>
      <c r="F877" s="1807"/>
      <c r="G877" s="5"/>
    </row>
    <row r="878" spans="1:25" x14ac:dyDescent="0.25">
      <c r="A878" s="1834" t="s">
        <v>0</v>
      </c>
      <c r="B878" s="1834"/>
      <c r="C878" s="1834"/>
      <c r="D878" s="1834"/>
      <c r="E878" s="1834"/>
      <c r="F878" s="1834"/>
      <c r="G878" s="1834"/>
    </row>
    <row r="879" spans="1:25" x14ac:dyDescent="0.25">
      <c r="A879" s="1834" t="s">
        <v>1</v>
      </c>
      <c r="B879" s="1834"/>
      <c r="C879" s="1834"/>
      <c r="D879" s="1834"/>
      <c r="E879" s="1834"/>
      <c r="F879" s="1834"/>
      <c r="G879" s="1834"/>
    </row>
    <row r="880" spans="1:25" x14ac:dyDescent="0.25">
      <c r="A880" s="1834" t="s">
        <v>1697</v>
      </c>
      <c r="B880" s="1834"/>
      <c r="C880" s="1834"/>
      <c r="D880" s="1834"/>
      <c r="E880" s="1834"/>
      <c r="F880" s="1834"/>
      <c r="G880" s="1834"/>
    </row>
    <row r="881" spans="1:11" x14ac:dyDescent="0.25">
      <c r="A881" s="442"/>
      <c r="B881" s="442"/>
      <c r="C881" s="534"/>
      <c r="D881" s="534"/>
      <c r="E881" s="442"/>
      <c r="F881" s="442"/>
      <c r="G881" s="442"/>
    </row>
    <row r="882" spans="1:11" x14ac:dyDescent="0.25">
      <c r="A882" s="787" t="s">
        <v>399</v>
      </c>
      <c r="B882" s="781" t="s">
        <v>59</v>
      </c>
      <c r="C882" s="441"/>
      <c r="D882" s="1046"/>
      <c r="E882" s="705"/>
      <c r="F882" s="705"/>
      <c r="G882" s="1045"/>
    </row>
    <row r="883" spans="1:11" ht="23.25" customHeight="1" x14ac:dyDescent="0.25">
      <c r="A883" s="821" t="s">
        <v>400</v>
      </c>
      <c r="B883" s="1047" t="s">
        <v>2273</v>
      </c>
      <c r="C883" s="1047"/>
      <c r="D883" s="1047"/>
      <c r="E883" s="708"/>
      <c r="F883" s="1048" t="s">
        <v>6</v>
      </c>
      <c r="G883" s="1048" t="s">
        <v>65</v>
      </c>
    </row>
    <row r="884" spans="1:11" ht="41.25" customHeight="1" x14ac:dyDescent="0.25">
      <c r="A884" s="821" t="s">
        <v>402</v>
      </c>
      <c r="B884" s="1047" t="s">
        <v>2913</v>
      </c>
      <c r="C884" s="1047"/>
      <c r="D884" s="1047"/>
      <c r="E884" s="1047"/>
      <c r="F884" s="1047" t="s">
        <v>368</v>
      </c>
      <c r="G884" s="821" t="s">
        <v>65</v>
      </c>
    </row>
    <row r="885" spans="1:11" x14ac:dyDescent="0.25">
      <c r="A885" s="516" t="s">
        <v>610</v>
      </c>
      <c r="B885" s="516" t="s">
        <v>2274</v>
      </c>
      <c r="C885" s="1045"/>
      <c r="D885" s="1045"/>
      <c r="E885" s="1045"/>
      <c r="F885" s="1045"/>
      <c r="G885" s="1045"/>
    </row>
    <row r="886" spans="1:11" x14ac:dyDescent="0.25">
      <c r="A886" s="442" t="s">
        <v>464</v>
      </c>
      <c r="B886" s="442" t="s">
        <v>611</v>
      </c>
      <c r="C886" s="534"/>
      <c r="D886" s="534"/>
      <c r="E886" s="442"/>
      <c r="F886" s="442"/>
      <c r="G886" s="442"/>
    </row>
    <row r="887" spans="1:11" x14ac:dyDescent="0.25">
      <c r="A887" s="1835" t="s">
        <v>561</v>
      </c>
      <c r="B887" s="1835"/>
      <c r="C887" s="1045"/>
      <c r="D887" s="1045"/>
      <c r="E887" s="705"/>
      <c r="F887" s="441"/>
      <c r="G887" s="442"/>
    </row>
    <row r="888" spans="1:11" x14ac:dyDescent="0.25">
      <c r="A888" s="1045"/>
      <c r="B888" s="1045"/>
      <c r="C888" s="1045"/>
      <c r="D888" s="1045"/>
      <c r="E888" s="1045"/>
      <c r="F888" s="1045"/>
      <c r="G888" s="442"/>
    </row>
    <row r="889" spans="1:11" ht="24" x14ac:dyDescent="0.25">
      <c r="A889" s="443" t="s">
        <v>31</v>
      </c>
      <c r="B889" s="443" t="s">
        <v>12</v>
      </c>
      <c r="C889" s="1836" t="s">
        <v>13</v>
      </c>
      <c r="D889" s="1837"/>
      <c r="E889" s="1049" t="s">
        <v>14</v>
      </c>
      <c r="F889" s="444" t="s">
        <v>15</v>
      </c>
      <c r="G889" s="445" t="s">
        <v>405</v>
      </c>
    </row>
    <row r="890" spans="1:11" x14ac:dyDescent="0.25">
      <c r="A890" s="446">
        <v>1</v>
      </c>
      <c r="B890" s="446">
        <v>2</v>
      </c>
      <c r="C890" s="1838">
        <v>3</v>
      </c>
      <c r="D890" s="1839"/>
      <c r="E890" s="1050">
        <v>4</v>
      </c>
      <c r="F890" s="392">
        <v>5</v>
      </c>
      <c r="G890" s="447">
        <v>6</v>
      </c>
      <c r="H890" s="1044"/>
      <c r="I890" s="1044"/>
      <c r="J890" s="1044"/>
    </row>
    <row r="891" spans="1:11" x14ac:dyDescent="0.25">
      <c r="A891" s="390" t="s">
        <v>2062</v>
      </c>
      <c r="B891" s="391" t="s">
        <v>466</v>
      </c>
      <c r="C891" s="397"/>
      <c r="D891" s="398"/>
      <c r="E891" s="1051"/>
      <c r="F891" s="1051"/>
      <c r="G891" s="922"/>
    </row>
    <row r="892" spans="1:11" ht="24" x14ac:dyDescent="0.25">
      <c r="A892" s="390" t="s">
        <v>2063</v>
      </c>
      <c r="B892" s="391" t="s">
        <v>2064</v>
      </c>
      <c r="C892" s="397"/>
      <c r="D892" s="398"/>
      <c r="E892" s="1051"/>
      <c r="F892" s="1051"/>
      <c r="G892" s="922"/>
    </row>
    <row r="893" spans="1:11" ht="24.75" x14ac:dyDescent="0.25">
      <c r="A893" s="390" t="s">
        <v>2065</v>
      </c>
      <c r="B893" s="396" t="s">
        <v>2814</v>
      </c>
      <c r="C893" s="397"/>
      <c r="D893" s="398"/>
      <c r="E893" s="1052"/>
      <c r="F893" s="1052"/>
      <c r="G893" s="922"/>
    </row>
    <row r="894" spans="1:11" ht="15.75" thickBot="1" x14ac:dyDescent="0.3">
      <c r="A894" s="390"/>
      <c r="B894" s="396" t="s">
        <v>2815</v>
      </c>
      <c r="C894" s="397">
        <v>1</v>
      </c>
      <c r="D894" s="1053" t="s">
        <v>252</v>
      </c>
      <c r="E894" s="1054">
        <v>627000</v>
      </c>
      <c r="F894" s="1054">
        <f>E894*C894</f>
        <v>627000</v>
      </c>
      <c r="G894" s="922"/>
    </row>
    <row r="895" spans="1:11" ht="15.75" thickBot="1" x14ac:dyDescent="0.3">
      <c r="A895" s="390"/>
      <c r="B895" s="396"/>
      <c r="C895" s="1855" t="s">
        <v>613</v>
      </c>
      <c r="D895" s="1856"/>
      <c r="E895" s="1857"/>
      <c r="F895" s="1055">
        <f>F894</f>
        <v>627000</v>
      </c>
      <c r="G895" s="395"/>
      <c r="K895" s="451"/>
    </row>
    <row r="896" spans="1:11" x14ac:dyDescent="0.25">
      <c r="A896" s="390" t="s">
        <v>2275</v>
      </c>
      <c r="B896" s="919" t="s">
        <v>2081</v>
      </c>
      <c r="C896" s="1056"/>
      <c r="D896" s="1057"/>
      <c r="E896" s="1058"/>
      <c r="F896" s="1058"/>
      <c r="G896" s="395"/>
    </row>
    <row r="897" spans="1:22" x14ac:dyDescent="0.25">
      <c r="A897" s="390"/>
      <c r="B897" s="396" t="s">
        <v>1929</v>
      </c>
      <c r="C897" s="1059">
        <v>20</v>
      </c>
      <c r="D897" s="1060" t="s">
        <v>461</v>
      </c>
      <c r="E897" s="789">
        <v>130000</v>
      </c>
      <c r="F897" s="1051">
        <f>E897*C897</f>
        <v>2600000</v>
      </c>
      <c r="G897" s="922"/>
    </row>
    <row r="898" spans="1:22" ht="15.75" thickBot="1" x14ac:dyDescent="0.3">
      <c r="A898" s="390"/>
      <c r="B898" s="396"/>
      <c r="C898" s="1061"/>
      <c r="D898" s="393"/>
      <c r="E898" s="1062"/>
      <c r="F898" s="1052"/>
      <c r="G898" s="395"/>
    </row>
    <row r="899" spans="1:22" ht="15.75" thickBot="1" x14ac:dyDescent="0.3">
      <c r="A899" s="390"/>
      <c r="B899" s="396"/>
      <c r="C899" s="1855" t="s">
        <v>613</v>
      </c>
      <c r="D899" s="1856"/>
      <c r="E899" s="1857"/>
      <c r="F899" s="1055">
        <f>F898+F897</f>
        <v>2600000</v>
      </c>
      <c r="G899" s="395"/>
    </row>
    <row r="900" spans="1:22" x14ac:dyDescent="0.25">
      <c r="A900" s="390" t="s">
        <v>2066</v>
      </c>
      <c r="B900" s="396" t="s">
        <v>2067</v>
      </c>
      <c r="C900" s="1063"/>
      <c r="D900" s="1064"/>
      <c r="E900" s="1062"/>
      <c r="F900" s="1062"/>
      <c r="G900" s="395"/>
    </row>
    <row r="901" spans="1:22" x14ac:dyDescent="0.25">
      <c r="A901" s="390"/>
      <c r="B901" s="396" t="s">
        <v>2276</v>
      </c>
      <c r="C901" s="1061">
        <v>9</v>
      </c>
      <c r="D901" s="393" t="s">
        <v>984</v>
      </c>
      <c r="E901" s="789">
        <v>350000</v>
      </c>
      <c r="F901" s="1065">
        <f>E901*C901</f>
        <v>3150000</v>
      </c>
      <c r="G901" s="395"/>
      <c r="V901" s="975"/>
    </row>
    <row r="902" spans="1:22" x14ac:dyDescent="0.25">
      <c r="A902" s="390"/>
      <c r="B902" s="1066" t="s">
        <v>2277</v>
      </c>
      <c r="C902" s="1061">
        <v>1692</v>
      </c>
      <c r="D902" s="398" t="s">
        <v>123</v>
      </c>
      <c r="E902" s="1067">
        <v>15000</v>
      </c>
      <c r="F902" s="1065">
        <f>E902*C902</f>
        <v>25380000</v>
      </c>
      <c r="G902" s="395"/>
    </row>
    <row r="903" spans="1:22" ht="15.75" thickBot="1" x14ac:dyDescent="0.3">
      <c r="A903" s="783"/>
      <c r="B903" s="791" t="s">
        <v>1943</v>
      </c>
      <c r="C903" s="448">
        <v>1</v>
      </c>
      <c r="D903" s="1053" t="s">
        <v>259</v>
      </c>
      <c r="E903" s="1068">
        <v>250000</v>
      </c>
      <c r="F903" s="1054">
        <f>E903*C903</f>
        <v>250000</v>
      </c>
      <c r="G903" s="1069"/>
    </row>
    <row r="904" spans="1:22" ht="15.75" thickBot="1" x14ac:dyDescent="0.3">
      <c r="A904" s="783"/>
      <c r="B904" s="1070"/>
      <c r="C904" s="1858" t="s">
        <v>613</v>
      </c>
      <c r="D904" s="1859"/>
      <c r="E904" s="1860"/>
      <c r="F904" s="1071">
        <f>SUM(F901:F903)</f>
        <v>28780000</v>
      </c>
      <c r="G904" s="1069"/>
      <c r="H904" s="175"/>
    </row>
    <row r="905" spans="1:22" x14ac:dyDescent="0.25">
      <c r="A905" s="783"/>
      <c r="B905" s="791"/>
      <c r="C905" s="1072"/>
      <c r="D905" s="1073"/>
      <c r="E905" s="1074"/>
      <c r="F905" s="1075"/>
      <c r="G905" s="783"/>
      <c r="H905" s="175"/>
    </row>
    <row r="906" spans="1:22" s="495" customFormat="1" ht="30" x14ac:dyDescent="0.25">
      <c r="A906" s="1344"/>
      <c r="B906" s="1833" t="s">
        <v>27</v>
      </c>
      <c r="C906" s="1833"/>
      <c r="D906" s="1833"/>
      <c r="E906" s="1833"/>
      <c r="F906" s="1349">
        <f>F904+F899+F895</f>
        <v>32007000</v>
      </c>
      <c r="G906" s="1345" t="s">
        <v>2824</v>
      </c>
      <c r="H906" s="495" t="s">
        <v>2927</v>
      </c>
      <c r="I906" s="1333"/>
      <c r="J906" s="1333"/>
      <c r="O906" s="1333"/>
      <c r="P906" s="1333"/>
      <c r="Q906" s="1333"/>
      <c r="T906" s="1333">
        <f>F906</f>
        <v>32007000</v>
      </c>
    </row>
    <row r="907" spans="1:22" x14ac:dyDescent="0.25">
      <c r="A907" s="1807" t="s">
        <v>614</v>
      </c>
      <c r="B907" s="1807"/>
      <c r="C907" s="5" t="s">
        <v>28</v>
      </c>
      <c r="D907" s="1808" t="s">
        <v>1698</v>
      </c>
      <c r="E907" s="1808"/>
      <c r="F907" s="1808"/>
      <c r="G907" s="5"/>
    </row>
    <row r="908" spans="1:22" x14ac:dyDescent="0.25">
      <c r="A908" s="1807" t="s">
        <v>29</v>
      </c>
      <c r="B908" s="1807"/>
      <c r="C908" s="5"/>
      <c r="D908" s="1809" t="s">
        <v>2990</v>
      </c>
      <c r="E908" s="1809"/>
      <c r="F908" s="1809"/>
      <c r="G908" s="5"/>
    </row>
    <row r="909" spans="1:22" x14ac:dyDescent="0.25">
      <c r="A909" s="1"/>
      <c r="B909" s="3"/>
      <c r="C909" s="5"/>
      <c r="D909" s="7"/>
      <c r="E909" s="17"/>
      <c r="F909" s="17"/>
      <c r="G909" s="5"/>
    </row>
    <row r="910" spans="1:22" x14ac:dyDescent="0.25">
      <c r="A910" s="1"/>
      <c r="B910" s="3"/>
      <c r="C910" s="5"/>
      <c r="D910" s="7"/>
      <c r="E910" s="17"/>
      <c r="F910" s="17"/>
      <c r="G910" s="5"/>
    </row>
    <row r="911" spans="1:22" x14ac:dyDescent="0.25">
      <c r="A911" s="1807"/>
      <c r="B911" s="1807"/>
      <c r="C911" s="5"/>
      <c r="D911" s="7"/>
      <c r="E911" s="1807"/>
      <c r="F911" s="1807"/>
      <c r="G911" s="5"/>
    </row>
    <row r="912" spans="1:22" x14ac:dyDescent="0.25">
      <c r="A912" s="1807" t="s">
        <v>30</v>
      </c>
      <c r="B912" s="1807"/>
      <c r="C912" s="5"/>
      <c r="D912" s="1807" t="s">
        <v>2991</v>
      </c>
      <c r="E912" s="1807"/>
      <c r="F912" s="1807"/>
      <c r="G912" s="5"/>
    </row>
    <row r="913" spans="1:7" x14ac:dyDescent="0.25">
      <c r="A913" s="1800" t="s">
        <v>0</v>
      </c>
      <c r="B913" s="1800"/>
      <c r="C913" s="1800"/>
      <c r="D913" s="1800"/>
      <c r="E913" s="1800"/>
      <c r="F913" s="1800"/>
      <c r="G913" s="1800"/>
    </row>
    <row r="914" spans="1:7" x14ac:dyDescent="0.25">
      <c r="A914" s="1800" t="s">
        <v>1</v>
      </c>
      <c r="B914" s="1800"/>
      <c r="C914" s="1800"/>
      <c r="D914" s="1800"/>
      <c r="E914" s="1800"/>
      <c r="F914" s="1800"/>
      <c r="G914" s="1800"/>
    </row>
    <row r="915" spans="1:7" x14ac:dyDescent="0.25">
      <c r="A915" s="1800" t="s">
        <v>1697</v>
      </c>
      <c r="B915" s="1800"/>
      <c r="C915" s="1800"/>
      <c r="D915" s="1800"/>
      <c r="E915" s="1800"/>
      <c r="F915" s="1800"/>
      <c r="G915" s="1800"/>
    </row>
    <row r="916" spans="1:7" x14ac:dyDescent="0.25">
      <c r="A916" s="518"/>
      <c r="B916" s="138"/>
      <c r="C916" s="138"/>
      <c r="D916" s="138"/>
      <c r="E916" s="138"/>
      <c r="F916" s="138"/>
      <c r="G916" s="138"/>
    </row>
    <row r="917" spans="1:7" ht="25.5" x14ac:dyDescent="0.25">
      <c r="A917" s="304" t="s">
        <v>296</v>
      </c>
      <c r="B917" s="297" t="s">
        <v>3</v>
      </c>
      <c r="C917" s="304"/>
      <c r="D917" s="304"/>
      <c r="E917" s="23" t="s">
        <v>6</v>
      </c>
      <c r="F917" s="23"/>
    </row>
    <row r="918" spans="1:7" ht="38.25" x14ac:dyDescent="0.25">
      <c r="A918" s="304" t="s">
        <v>297</v>
      </c>
      <c r="B918" s="297" t="s">
        <v>367</v>
      </c>
      <c r="C918" s="304"/>
      <c r="D918" s="304"/>
      <c r="E918" s="164" t="s">
        <v>368</v>
      </c>
      <c r="F918" s="163"/>
    </row>
    <row r="919" spans="1:7" ht="51" x14ac:dyDescent="0.25">
      <c r="A919" s="306" t="s">
        <v>298</v>
      </c>
      <c r="B919" s="306" t="s">
        <v>369</v>
      </c>
      <c r="C919" s="306"/>
      <c r="D919" s="306"/>
      <c r="E919" s="306"/>
      <c r="F919" s="306"/>
    </row>
    <row r="920" spans="1:7" x14ac:dyDescent="0.25">
      <c r="A920" s="298" t="s">
        <v>62</v>
      </c>
      <c r="B920" s="298" t="s">
        <v>63</v>
      </c>
      <c r="C920" s="298"/>
      <c r="D920" s="5"/>
      <c r="E920" s="5"/>
      <c r="F920" s="5"/>
    </row>
    <row r="921" spans="1:7" x14ac:dyDescent="0.25">
      <c r="A921" s="298" t="s">
        <v>64</v>
      </c>
      <c r="B921" s="298" t="s">
        <v>65</v>
      </c>
      <c r="C921" s="298"/>
      <c r="D921" s="1808"/>
      <c r="E921" s="1808"/>
      <c r="F921" s="5"/>
    </row>
    <row r="922" spans="1:7" x14ac:dyDescent="0.25">
      <c r="A922" s="3"/>
      <c r="B922" s="3"/>
      <c r="C922" s="3"/>
      <c r="D922" s="3"/>
      <c r="E922" s="3"/>
      <c r="F922" s="3"/>
    </row>
    <row r="923" spans="1:7" ht="24" x14ac:dyDescent="0.25">
      <c r="A923" s="144" t="s">
        <v>300</v>
      </c>
      <c r="B923" s="144" t="s">
        <v>12</v>
      </c>
      <c r="C923" s="1804" t="s">
        <v>13</v>
      </c>
      <c r="D923" s="1804"/>
      <c r="E923" s="11" t="s">
        <v>14</v>
      </c>
      <c r="F923" s="165" t="s">
        <v>15</v>
      </c>
      <c r="G923" s="267" t="s">
        <v>301</v>
      </c>
    </row>
    <row r="924" spans="1:7" x14ac:dyDescent="0.25">
      <c r="A924" s="144">
        <v>1</v>
      </c>
      <c r="B924" s="144">
        <v>2</v>
      </c>
      <c r="C924" s="1811">
        <v>3</v>
      </c>
      <c r="D924" s="1812"/>
      <c r="E924" s="33">
        <v>4</v>
      </c>
      <c r="F924" s="165">
        <v>5</v>
      </c>
      <c r="G924" s="268">
        <v>6</v>
      </c>
    </row>
    <row r="925" spans="1:7" ht="18.75" x14ac:dyDescent="0.3">
      <c r="A925" s="2"/>
      <c r="B925" s="330" t="s">
        <v>370</v>
      </c>
      <c r="C925" s="6"/>
      <c r="D925" s="25"/>
      <c r="E925" s="51"/>
      <c r="F925" s="51"/>
      <c r="G925" s="20"/>
    </row>
    <row r="926" spans="1:7" x14ac:dyDescent="0.25">
      <c r="A926" s="2"/>
      <c r="B926" s="170"/>
      <c r="C926" s="209"/>
      <c r="D926" s="170"/>
      <c r="E926" s="51"/>
      <c r="F926" s="51"/>
      <c r="G926" s="20"/>
    </row>
    <row r="927" spans="1:7" x14ac:dyDescent="0.25">
      <c r="A927" s="2" t="s">
        <v>371</v>
      </c>
      <c r="B927" s="331" t="s">
        <v>323</v>
      </c>
      <c r="C927" s="209"/>
      <c r="D927" s="170"/>
      <c r="E927" s="51"/>
      <c r="F927" s="51"/>
      <c r="G927" s="20"/>
    </row>
    <row r="928" spans="1:7" x14ac:dyDescent="0.25">
      <c r="A928" s="2" t="s">
        <v>372</v>
      </c>
      <c r="B928" s="331" t="s">
        <v>88</v>
      </c>
      <c r="C928" s="209"/>
      <c r="D928" s="170"/>
      <c r="E928" s="51"/>
      <c r="F928" s="51"/>
      <c r="G928" s="179"/>
    </row>
    <row r="929" spans="1:7" x14ac:dyDescent="0.25">
      <c r="A929" s="2" t="s">
        <v>373</v>
      </c>
      <c r="B929" s="52" t="s">
        <v>354</v>
      </c>
      <c r="C929" s="332"/>
      <c r="D929" s="25"/>
      <c r="E929" s="22"/>
      <c r="F929" s="27"/>
      <c r="G929" s="179"/>
    </row>
    <row r="930" spans="1:7" x14ac:dyDescent="0.25">
      <c r="A930" s="16"/>
      <c r="B930" s="16" t="s">
        <v>374</v>
      </c>
      <c r="C930" s="6">
        <v>50</v>
      </c>
      <c r="D930" s="25" t="s">
        <v>182</v>
      </c>
      <c r="E930" s="22">
        <v>15000</v>
      </c>
      <c r="F930" s="27">
        <f>E930*C930</f>
        <v>750000</v>
      </c>
      <c r="G930" s="179"/>
    </row>
    <row r="931" spans="1:7" x14ac:dyDescent="0.25">
      <c r="A931" s="16"/>
      <c r="B931" s="16"/>
      <c r="C931" s="6"/>
      <c r="D931" s="25"/>
      <c r="E931" s="22"/>
      <c r="F931" s="27"/>
      <c r="G931" s="179"/>
    </row>
    <row r="932" spans="1:7" x14ac:dyDescent="0.25">
      <c r="A932" s="2" t="s">
        <v>375</v>
      </c>
      <c r="B932" s="4" t="s">
        <v>376</v>
      </c>
      <c r="C932" s="6"/>
      <c r="D932" s="183"/>
      <c r="E932" s="12"/>
      <c r="F932" s="187"/>
      <c r="G932" s="179"/>
    </row>
    <row r="933" spans="1:7" x14ac:dyDescent="0.25">
      <c r="A933" s="16"/>
      <c r="B933" s="16" t="s">
        <v>377</v>
      </c>
      <c r="C933" s="6">
        <v>1</v>
      </c>
      <c r="D933" s="183" t="s">
        <v>102</v>
      </c>
      <c r="E933" s="12">
        <v>90000</v>
      </c>
      <c r="F933" s="187">
        <f>E933*C933</f>
        <v>90000</v>
      </c>
      <c r="G933" s="179"/>
    </row>
    <row r="934" spans="1:7" x14ac:dyDescent="0.25">
      <c r="A934" s="16"/>
      <c r="B934" s="16"/>
      <c r="C934" s="6"/>
      <c r="D934" s="183"/>
      <c r="E934" s="12"/>
      <c r="F934" s="187"/>
      <c r="G934" s="179"/>
    </row>
    <row r="935" spans="1:7" x14ac:dyDescent="0.25">
      <c r="A935" s="2" t="s">
        <v>378</v>
      </c>
      <c r="B935" s="4" t="s">
        <v>379</v>
      </c>
      <c r="C935" s="6"/>
      <c r="D935" s="183"/>
      <c r="E935" s="12"/>
      <c r="F935" s="187"/>
      <c r="G935" s="179"/>
    </row>
    <row r="936" spans="1:7" x14ac:dyDescent="0.25">
      <c r="A936" s="16"/>
      <c r="B936" s="16" t="s">
        <v>380</v>
      </c>
      <c r="C936" s="6">
        <v>1</v>
      </c>
      <c r="D936" s="183" t="s">
        <v>95</v>
      </c>
      <c r="E936" s="12">
        <v>50000</v>
      </c>
      <c r="F936" s="187">
        <f>C936*E936</f>
        <v>50000</v>
      </c>
      <c r="G936" s="179"/>
    </row>
    <row r="937" spans="1:7" x14ac:dyDescent="0.25">
      <c r="A937" s="16"/>
      <c r="B937" s="16" t="s">
        <v>321</v>
      </c>
      <c r="C937" s="6">
        <v>5</v>
      </c>
      <c r="D937" s="183" t="s">
        <v>186</v>
      </c>
      <c r="E937" s="12">
        <v>3000</v>
      </c>
      <c r="F937" s="187">
        <f>C937*E937</f>
        <v>15000</v>
      </c>
      <c r="G937" s="179"/>
    </row>
    <row r="938" spans="1:7" x14ac:dyDescent="0.25">
      <c r="A938" s="16"/>
      <c r="B938" s="16" t="s">
        <v>335</v>
      </c>
      <c r="C938" s="6">
        <v>1</v>
      </c>
      <c r="D938" s="183" t="s">
        <v>336</v>
      </c>
      <c r="E938" s="12">
        <v>1000</v>
      </c>
      <c r="F938" s="187">
        <f>C938*E938</f>
        <v>1000</v>
      </c>
      <c r="G938" s="179"/>
    </row>
    <row r="939" spans="1:7" x14ac:dyDescent="0.25">
      <c r="A939" s="16"/>
      <c r="B939" s="16"/>
      <c r="C939" s="6"/>
      <c r="D939" s="183"/>
      <c r="E939" s="12"/>
      <c r="F939" s="187"/>
      <c r="G939" s="179"/>
    </row>
    <row r="940" spans="1:7" ht="18.75" x14ac:dyDescent="0.25">
      <c r="A940" s="16"/>
      <c r="B940" s="333" t="s">
        <v>381</v>
      </c>
      <c r="C940" s="6"/>
      <c r="D940" s="183"/>
      <c r="E940" s="12"/>
      <c r="F940" s="187"/>
      <c r="G940" s="179"/>
    </row>
    <row r="941" spans="1:7" x14ac:dyDescent="0.25">
      <c r="A941" s="16"/>
      <c r="B941" s="16"/>
      <c r="C941" s="6"/>
      <c r="D941" s="183"/>
      <c r="E941" s="12"/>
      <c r="F941" s="187"/>
      <c r="G941" s="179"/>
    </row>
    <row r="942" spans="1:7" x14ac:dyDescent="0.25">
      <c r="A942" s="2" t="s">
        <v>371</v>
      </c>
      <c r="B942" s="331" t="s">
        <v>323</v>
      </c>
      <c r="C942" s="209"/>
      <c r="D942" s="170"/>
      <c r="E942" s="51"/>
      <c r="F942" s="51"/>
      <c r="G942" s="179"/>
    </row>
    <row r="943" spans="1:7" x14ac:dyDescent="0.25">
      <c r="A943" s="2" t="s">
        <v>372</v>
      </c>
      <c r="B943" s="331" t="s">
        <v>88</v>
      </c>
      <c r="C943" s="209"/>
      <c r="D943" s="170"/>
      <c r="E943" s="51"/>
      <c r="F943" s="51"/>
      <c r="G943" s="179"/>
    </row>
    <row r="944" spans="1:7" x14ac:dyDescent="0.25">
      <c r="A944" s="2" t="s">
        <v>382</v>
      </c>
      <c r="B944" s="16" t="s">
        <v>383</v>
      </c>
      <c r="C944" s="6"/>
      <c r="D944" s="183"/>
      <c r="E944" s="12"/>
      <c r="F944" s="187"/>
      <c r="G944" s="179"/>
    </row>
    <row r="945" spans="1:20" x14ac:dyDescent="0.25">
      <c r="A945" s="16"/>
      <c r="B945" s="16" t="s">
        <v>384</v>
      </c>
      <c r="C945" s="6">
        <v>16000</v>
      </c>
      <c r="D945" s="183" t="s">
        <v>312</v>
      </c>
      <c r="E945" s="12">
        <v>300</v>
      </c>
      <c r="F945" s="187">
        <f>C945*E945</f>
        <v>4800000</v>
      </c>
      <c r="G945" s="179"/>
    </row>
    <row r="946" spans="1:20" x14ac:dyDescent="0.25">
      <c r="A946" s="2"/>
      <c r="B946" s="16" t="s">
        <v>385</v>
      </c>
      <c r="C946" s="6">
        <v>62000</v>
      </c>
      <c r="D946" s="183" t="s">
        <v>312</v>
      </c>
      <c r="E946" s="12">
        <v>300</v>
      </c>
      <c r="F946" s="187">
        <f>C946*E946</f>
        <v>18600000</v>
      </c>
      <c r="G946" s="179"/>
    </row>
    <row r="947" spans="1:20" x14ac:dyDescent="0.25">
      <c r="A947" s="16"/>
      <c r="B947" s="16" t="s">
        <v>386</v>
      </c>
      <c r="C947" s="6">
        <v>1</v>
      </c>
      <c r="D947" s="183" t="s">
        <v>204</v>
      </c>
      <c r="E947" s="12">
        <v>10000000</v>
      </c>
      <c r="F947" s="187">
        <f>E947*C947</f>
        <v>10000000</v>
      </c>
      <c r="G947" s="179"/>
    </row>
    <row r="948" spans="1:20" x14ac:dyDescent="0.25">
      <c r="A948" s="16"/>
      <c r="B948" s="16"/>
      <c r="C948" s="6"/>
      <c r="D948" s="183"/>
      <c r="E948" s="12"/>
      <c r="F948" s="187"/>
      <c r="G948" s="179"/>
    </row>
    <row r="949" spans="1:20" x14ac:dyDescent="0.25">
      <c r="A949" s="16" t="s">
        <v>387</v>
      </c>
      <c r="B949" s="16" t="s">
        <v>388</v>
      </c>
      <c r="C949" s="6"/>
      <c r="D949" s="173"/>
      <c r="E949" s="22"/>
      <c r="F949" s="27"/>
      <c r="G949" s="179"/>
    </row>
    <row r="950" spans="1:20" ht="24.75" x14ac:dyDescent="0.25">
      <c r="A950" s="16" t="s">
        <v>389</v>
      </c>
      <c r="B950" s="4" t="s">
        <v>390</v>
      </c>
      <c r="C950" s="6"/>
      <c r="D950" s="25"/>
      <c r="E950" s="22"/>
      <c r="F950" s="27"/>
      <c r="G950" s="179"/>
    </row>
    <row r="951" spans="1:20" x14ac:dyDescent="0.25">
      <c r="A951" s="236"/>
      <c r="B951" s="4" t="s">
        <v>214</v>
      </c>
      <c r="C951" s="6">
        <v>1</v>
      </c>
      <c r="D951" s="25" t="s">
        <v>315</v>
      </c>
      <c r="E951" s="22">
        <v>300000</v>
      </c>
      <c r="F951" s="27">
        <f>C951*E951</f>
        <v>300000</v>
      </c>
      <c r="G951" s="179"/>
    </row>
    <row r="952" spans="1:20" x14ac:dyDescent="0.25">
      <c r="A952" s="236"/>
      <c r="B952" s="4" t="s">
        <v>391</v>
      </c>
      <c r="C952" s="6">
        <v>2</v>
      </c>
      <c r="D952" s="25" t="s">
        <v>315</v>
      </c>
      <c r="E952" s="22">
        <v>200000</v>
      </c>
      <c r="F952" s="27">
        <f>C952*E952</f>
        <v>400000</v>
      </c>
      <c r="G952" s="179"/>
    </row>
    <row r="953" spans="1:20" x14ac:dyDescent="0.25">
      <c r="A953" s="236"/>
      <c r="B953" s="4"/>
      <c r="C953" s="6"/>
      <c r="D953" s="25"/>
      <c r="E953" s="22"/>
      <c r="F953" s="27"/>
      <c r="G953" s="179"/>
    </row>
    <row r="954" spans="1:20" x14ac:dyDescent="0.25">
      <c r="A954" s="16" t="s">
        <v>392</v>
      </c>
      <c r="B954" s="4" t="s">
        <v>393</v>
      </c>
      <c r="C954" s="6"/>
      <c r="D954" s="25"/>
      <c r="E954" s="22"/>
      <c r="F954" s="27"/>
      <c r="G954" s="179"/>
    </row>
    <row r="955" spans="1:20" x14ac:dyDescent="0.25">
      <c r="A955" s="236"/>
      <c r="B955" s="4" t="s">
        <v>394</v>
      </c>
      <c r="C955" s="6">
        <v>1650</v>
      </c>
      <c r="D955" s="25" t="s">
        <v>395</v>
      </c>
      <c r="E955" s="22">
        <v>5000</v>
      </c>
      <c r="F955" s="27">
        <f>E955*C955</f>
        <v>8250000</v>
      </c>
      <c r="G955" s="179"/>
    </row>
    <row r="956" spans="1:20" x14ac:dyDescent="0.25">
      <c r="A956" s="236"/>
      <c r="B956" s="4" t="s">
        <v>396</v>
      </c>
      <c r="C956" s="6">
        <v>1650</v>
      </c>
      <c r="D956" s="25" t="s">
        <v>395</v>
      </c>
      <c r="E956" s="22">
        <v>5000</v>
      </c>
      <c r="F956" s="27">
        <f>E956*C956</f>
        <v>8250000</v>
      </c>
      <c r="G956" s="179"/>
    </row>
    <row r="957" spans="1:20" x14ac:dyDescent="0.25">
      <c r="A957" s="236"/>
      <c r="B957" s="4"/>
      <c r="C957" s="6"/>
      <c r="D957" s="25"/>
      <c r="E957" s="22"/>
      <c r="F957" s="27"/>
      <c r="G957" s="179"/>
    </row>
    <row r="958" spans="1:20" x14ac:dyDescent="0.25">
      <c r="A958" s="236"/>
      <c r="B958" s="4"/>
      <c r="C958" s="6"/>
      <c r="D958" s="25"/>
      <c r="E958" s="22"/>
      <c r="F958" s="27"/>
      <c r="G958" s="179"/>
    </row>
    <row r="959" spans="1:20" ht="24.75" x14ac:dyDescent="0.25">
      <c r="A959" s="236"/>
      <c r="B959" s="1851" t="s">
        <v>27</v>
      </c>
      <c r="C959" s="1852"/>
      <c r="D959" s="1852"/>
      <c r="E959" s="1853"/>
      <c r="F959" s="31">
        <f>SUM(F929:F958)</f>
        <v>51506000</v>
      </c>
      <c r="G959" s="179" t="s">
        <v>2824</v>
      </c>
      <c r="K959" s="175"/>
      <c r="T959" s="175">
        <f>F959</f>
        <v>51506000</v>
      </c>
    </row>
    <row r="960" spans="1:20" x14ac:dyDescent="0.25">
      <c r="A960" s="283"/>
      <c r="B960" s="3"/>
      <c r="C960" s="5"/>
      <c r="D960" s="7"/>
      <c r="E960" s="8"/>
      <c r="F960" s="13"/>
      <c r="G960" s="5"/>
    </row>
    <row r="961" spans="1:7" x14ac:dyDescent="0.25">
      <c r="A961" s="1807" t="s">
        <v>614</v>
      </c>
      <c r="B961" s="1807"/>
      <c r="C961" s="5" t="s">
        <v>28</v>
      </c>
      <c r="D961" s="1808" t="s">
        <v>1698</v>
      </c>
      <c r="E961" s="1808"/>
      <c r="F961" s="1808"/>
      <c r="G961" s="5"/>
    </row>
    <row r="962" spans="1:7" x14ac:dyDescent="0.25">
      <c r="A962" s="1807" t="s">
        <v>29</v>
      </c>
      <c r="B962" s="1807"/>
      <c r="C962" s="5"/>
      <c r="D962" s="1809" t="s">
        <v>2992</v>
      </c>
      <c r="E962" s="1809"/>
      <c r="F962" s="1809"/>
      <c r="G962" s="5"/>
    </row>
    <row r="963" spans="1:7" x14ac:dyDescent="0.25">
      <c r="A963" s="1"/>
      <c r="B963" s="3"/>
      <c r="C963" s="5"/>
      <c r="D963" s="7"/>
      <c r="E963" s="17"/>
      <c r="F963" s="17"/>
      <c r="G963" s="5"/>
    </row>
    <row r="964" spans="1:7" x14ac:dyDescent="0.25">
      <c r="A964" s="1"/>
      <c r="B964" s="3"/>
      <c r="C964" s="5"/>
      <c r="D964" s="7"/>
      <c r="E964" s="17"/>
      <c r="F964" s="17"/>
      <c r="G964" s="5"/>
    </row>
    <row r="965" spans="1:7" x14ac:dyDescent="0.25">
      <c r="A965" s="1807"/>
      <c r="B965" s="1807"/>
      <c r="C965" s="5"/>
      <c r="D965" s="7"/>
      <c r="E965" s="1807"/>
      <c r="F965" s="1807"/>
      <c r="G965" s="5"/>
    </row>
    <row r="966" spans="1:7" x14ac:dyDescent="0.25">
      <c r="A966" s="1807" t="s">
        <v>30</v>
      </c>
      <c r="B966" s="1807"/>
      <c r="C966" s="5"/>
      <c r="D966" s="1807" t="s">
        <v>2993</v>
      </c>
      <c r="E966" s="1807"/>
      <c r="F966" s="1807"/>
      <c r="G966" s="5"/>
    </row>
    <row r="967" spans="1:7" x14ac:dyDescent="0.25">
      <c r="A967" s="136"/>
      <c r="B967" s="136"/>
      <c r="C967" s="5"/>
      <c r="D967" s="136"/>
      <c r="E967" s="136"/>
      <c r="F967" s="136"/>
      <c r="G967" s="5"/>
    </row>
    <row r="968" spans="1:7" x14ac:dyDescent="0.25">
      <c r="A968" s="136"/>
      <c r="B968" s="136"/>
      <c r="C968" s="5"/>
      <c r="D968" s="136"/>
      <c r="E968" s="136"/>
      <c r="F968" s="136"/>
      <c r="G968" s="5"/>
    </row>
    <row r="969" spans="1:7" x14ac:dyDescent="0.25">
      <c r="A969" s="1800" t="s">
        <v>0</v>
      </c>
      <c r="B969" s="1800"/>
      <c r="C969" s="1800"/>
      <c r="D969" s="1800"/>
      <c r="E969" s="1800"/>
      <c r="F969" s="1800"/>
      <c r="G969" s="1800"/>
    </row>
    <row r="970" spans="1:7" x14ac:dyDescent="0.25">
      <c r="A970" s="1800" t="s">
        <v>1</v>
      </c>
      <c r="B970" s="1800"/>
      <c r="C970" s="1800"/>
      <c r="D970" s="1800"/>
      <c r="E970" s="1800"/>
      <c r="F970" s="1800"/>
      <c r="G970" s="1800"/>
    </row>
    <row r="971" spans="1:7" x14ac:dyDescent="0.25">
      <c r="A971" s="1800" t="s">
        <v>1697</v>
      </c>
      <c r="B971" s="1800"/>
      <c r="C971" s="1800"/>
      <c r="D971" s="1800"/>
      <c r="E971" s="1800"/>
      <c r="F971" s="1800"/>
      <c r="G971" s="1800"/>
    </row>
    <row r="972" spans="1:7" x14ac:dyDescent="0.25">
      <c r="A972" s="138"/>
      <c r="B972" s="138"/>
      <c r="C972" s="138"/>
      <c r="D972" s="138"/>
      <c r="E972" s="138"/>
      <c r="F972" s="138"/>
      <c r="G972" s="138"/>
    </row>
    <row r="973" spans="1:7" x14ac:dyDescent="0.25">
      <c r="A973" s="304" t="s">
        <v>296</v>
      </c>
      <c r="B973" s="304" t="s">
        <v>347</v>
      </c>
      <c r="C973" s="304"/>
      <c r="D973" s="304"/>
      <c r="E973" s="334"/>
      <c r="F973" s="334"/>
    </row>
    <row r="974" spans="1:7" ht="38.25" x14ac:dyDescent="0.25">
      <c r="A974" s="304" t="s">
        <v>297</v>
      </c>
      <c r="B974" s="306" t="s">
        <v>348</v>
      </c>
      <c r="C974" s="304"/>
      <c r="D974" s="304"/>
      <c r="E974" s="23" t="s">
        <v>6</v>
      </c>
      <c r="F974" s="13"/>
    </row>
    <row r="975" spans="1:7" ht="38.25" x14ac:dyDescent="0.25">
      <c r="A975" s="306" t="s">
        <v>298</v>
      </c>
      <c r="B975" s="306" t="s">
        <v>1513</v>
      </c>
      <c r="C975" s="306"/>
      <c r="D975" s="306"/>
      <c r="E975" s="10" t="s">
        <v>9</v>
      </c>
      <c r="F975" s="15"/>
    </row>
    <row r="976" spans="1:7" x14ac:dyDescent="0.25">
      <c r="A976" s="298" t="s">
        <v>62</v>
      </c>
      <c r="B976" s="298" t="s">
        <v>63</v>
      </c>
      <c r="C976" s="298"/>
      <c r="D976" s="5"/>
      <c r="E976" s="5"/>
      <c r="F976" s="5"/>
    </row>
    <row r="977" spans="1:7" x14ac:dyDescent="0.25">
      <c r="A977" s="298" t="s">
        <v>64</v>
      </c>
      <c r="B977" s="298" t="s">
        <v>65</v>
      </c>
      <c r="C977" s="298"/>
      <c r="D977" s="1808"/>
      <c r="E977" s="1808"/>
      <c r="F977" s="5"/>
    </row>
    <row r="978" spans="1:7" x14ac:dyDescent="0.25">
      <c r="A978" s="3"/>
      <c r="B978" s="3"/>
      <c r="C978" s="3"/>
      <c r="D978" s="3"/>
      <c r="E978" s="3"/>
      <c r="F978" s="3"/>
    </row>
    <row r="979" spans="1:7" ht="24" x14ac:dyDescent="0.25">
      <c r="A979" s="144" t="s">
        <v>300</v>
      </c>
      <c r="B979" s="144" t="s">
        <v>12</v>
      </c>
      <c r="C979" s="1804" t="s">
        <v>13</v>
      </c>
      <c r="D979" s="1804"/>
      <c r="E979" s="11" t="s">
        <v>14</v>
      </c>
      <c r="F979" s="165" t="s">
        <v>15</v>
      </c>
      <c r="G979" s="267" t="s">
        <v>301</v>
      </c>
    </row>
    <row r="980" spans="1:7" x14ac:dyDescent="0.25">
      <c r="A980" s="144">
        <v>1</v>
      </c>
      <c r="B980" s="144">
        <v>2</v>
      </c>
      <c r="C980" s="1811">
        <v>3</v>
      </c>
      <c r="D980" s="1812"/>
      <c r="E980" s="33">
        <v>4</v>
      </c>
      <c r="F980" s="165">
        <v>5</v>
      </c>
      <c r="G980" s="268">
        <v>6</v>
      </c>
    </row>
    <row r="981" spans="1:7" x14ac:dyDescent="0.25">
      <c r="A981" s="148" t="s">
        <v>350</v>
      </c>
      <c r="B981" s="257" t="s">
        <v>323</v>
      </c>
      <c r="C981" s="167"/>
      <c r="D981" s="168"/>
      <c r="E981" s="146"/>
      <c r="F981" s="6"/>
      <c r="G981" s="146"/>
    </row>
    <row r="982" spans="1:7" x14ac:dyDescent="0.25">
      <c r="A982" s="148" t="s">
        <v>352</v>
      </c>
      <c r="B982" s="257" t="s">
        <v>88</v>
      </c>
      <c r="C982" s="167"/>
      <c r="D982" s="168"/>
      <c r="E982" s="146"/>
      <c r="F982" s="6"/>
      <c r="G982" s="146"/>
    </row>
    <row r="983" spans="1:7" ht="24" x14ac:dyDescent="0.25">
      <c r="A983" s="148" t="s">
        <v>398</v>
      </c>
      <c r="B983" s="257" t="s">
        <v>326</v>
      </c>
      <c r="C983" s="167"/>
      <c r="D983" s="168"/>
      <c r="E983" s="30"/>
      <c r="F983" s="53"/>
      <c r="G983" s="146"/>
    </row>
    <row r="984" spans="1:7" x14ac:dyDescent="0.25">
      <c r="A984" s="148"/>
      <c r="B984" s="257" t="s">
        <v>328</v>
      </c>
      <c r="C984" s="167">
        <v>1</v>
      </c>
      <c r="D984" s="168" t="s">
        <v>123</v>
      </c>
      <c r="E984" s="30">
        <v>90000</v>
      </c>
      <c r="F984" s="53">
        <f>E984*C984</f>
        <v>90000</v>
      </c>
      <c r="G984" s="146"/>
    </row>
    <row r="985" spans="1:7" x14ac:dyDescent="0.25">
      <c r="A985" s="148"/>
      <c r="B985" s="257"/>
      <c r="C985" s="167"/>
      <c r="D985" s="168"/>
      <c r="E985" s="30"/>
      <c r="F985" s="53"/>
      <c r="G985" s="146"/>
    </row>
    <row r="986" spans="1:7" ht="36" x14ac:dyDescent="0.25">
      <c r="A986" s="148" t="s">
        <v>353</v>
      </c>
      <c r="B986" s="257" t="s">
        <v>329</v>
      </c>
      <c r="C986" s="167"/>
      <c r="D986" s="168"/>
      <c r="E986" s="30"/>
      <c r="F986" s="53"/>
      <c r="G986" s="146"/>
    </row>
    <row r="987" spans="1:7" x14ac:dyDescent="0.25">
      <c r="A987" s="148"/>
      <c r="B987" s="257" t="s">
        <v>482</v>
      </c>
      <c r="C987" s="167">
        <v>30</v>
      </c>
      <c r="D987" s="168" t="s">
        <v>315</v>
      </c>
      <c r="E987" s="30">
        <v>15000</v>
      </c>
      <c r="F987" s="53">
        <f>E987*C987</f>
        <v>450000</v>
      </c>
      <c r="G987" s="146"/>
    </row>
    <row r="988" spans="1:7" x14ac:dyDescent="0.25">
      <c r="A988" s="148"/>
      <c r="B988" s="257"/>
      <c r="C988" s="167"/>
      <c r="D988" s="168"/>
      <c r="E988" s="30"/>
      <c r="F988" s="53"/>
      <c r="G988" s="146"/>
    </row>
    <row r="989" spans="1:7" x14ac:dyDescent="0.25">
      <c r="A989" s="148" t="s">
        <v>483</v>
      </c>
      <c r="B989" s="257" t="s">
        <v>331</v>
      </c>
      <c r="C989" s="167"/>
      <c r="D989" s="168"/>
      <c r="E989" s="30"/>
      <c r="F989" s="53"/>
      <c r="G989" s="146"/>
    </row>
    <row r="990" spans="1:7" x14ac:dyDescent="0.25">
      <c r="A990" s="148"/>
      <c r="B990" s="257" t="s">
        <v>412</v>
      </c>
      <c r="C990" s="167">
        <v>1</v>
      </c>
      <c r="D990" s="168" t="s">
        <v>333</v>
      </c>
      <c r="E990" s="30">
        <v>50000</v>
      </c>
      <c r="F990" s="53">
        <f>E990*C990</f>
        <v>50000</v>
      </c>
      <c r="G990" s="146"/>
    </row>
    <row r="991" spans="1:7" x14ac:dyDescent="0.25">
      <c r="A991" s="148"/>
      <c r="B991" s="257" t="s">
        <v>334</v>
      </c>
      <c r="C991" s="167">
        <v>10</v>
      </c>
      <c r="D991" s="168" t="s">
        <v>186</v>
      </c>
      <c r="E991" s="30">
        <v>1000</v>
      </c>
      <c r="F991" s="53">
        <f>E991*C991</f>
        <v>10000</v>
      </c>
      <c r="G991" s="146"/>
    </row>
    <row r="992" spans="1:7" x14ac:dyDescent="0.25">
      <c r="A992" s="162"/>
      <c r="B992" s="257" t="s">
        <v>335</v>
      </c>
      <c r="C992" s="167">
        <v>1</v>
      </c>
      <c r="D992" s="168" t="s">
        <v>336</v>
      </c>
      <c r="E992" s="30">
        <v>10000</v>
      </c>
      <c r="F992" s="53">
        <f>E992*C992</f>
        <v>10000</v>
      </c>
      <c r="G992" s="146"/>
    </row>
    <row r="993" spans="1:21" x14ac:dyDescent="0.25">
      <c r="A993" s="162"/>
      <c r="B993" s="257"/>
      <c r="C993" s="167"/>
      <c r="D993" s="168"/>
      <c r="E993" s="30"/>
      <c r="F993" s="53"/>
      <c r="G993" s="146"/>
    </row>
    <row r="994" spans="1:21" x14ac:dyDescent="0.25">
      <c r="A994" s="148" t="s">
        <v>362</v>
      </c>
      <c r="B994" s="257" t="s">
        <v>415</v>
      </c>
      <c r="C994" s="167"/>
      <c r="D994" s="168"/>
      <c r="E994" s="30"/>
      <c r="F994" s="53"/>
      <c r="G994" s="146"/>
    </row>
    <row r="995" spans="1:21" ht="24" x14ac:dyDescent="0.25">
      <c r="A995" s="148" t="s">
        <v>363</v>
      </c>
      <c r="B995" s="335" t="s">
        <v>484</v>
      </c>
      <c r="C995" s="167"/>
      <c r="D995" s="168"/>
      <c r="E995" s="30"/>
      <c r="F995" s="53"/>
      <c r="G995" s="146"/>
    </row>
    <row r="996" spans="1:21" x14ac:dyDescent="0.25">
      <c r="A996" s="148"/>
      <c r="B996" s="335" t="s">
        <v>485</v>
      </c>
      <c r="C996" s="167">
        <v>1</v>
      </c>
      <c r="D996" s="168" t="s">
        <v>152</v>
      </c>
      <c r="E996" s="30">
        <v>300000</v>
      </c>
      <c r="F996" s="53">
        <f>E996*C996</f>
        <v>300000</v>
      </c>
      <c r="G996" s="146"/>
    </row>
    <row r="997" spans="1:21" x14ac:dyDescent="0.25">
      <c r="A997" s="16"/>
      <c r="B997" s="336"/>
      <c r="C997" s="337"/>
      <c r="D997" s="204"/>
      <c r="E997" s="79"/>
      <c r="F997" s="254"/>
      <c r="G997" s="179"/>
    </row>
    <row r="998" spans="1:21" ht="24.75" x14ac:dyDescent="0.25">
      <c r="A998" s="16"/>
      <c r="B998" s="1813" t="s">
        <v>27</v>
      </c>
      <c r="C998" s="1814"/>
      <c r="D998" s="1814"/>
      <c r="E998" s="1815"/>
      <c r="F998" s="187">
        <f>SUM(F984:F996)</f>
        <v>910000</v>
      </c>
      <c r="G998" s="179" t="s">
        <v>2825</v>
      </c>
      <c r="J998" s="175"/>
      <c r="L998" s="175"/>
      <c r="U998" s="175">
        <f>F998</f>
        <v>910000</v>
      </c>
    </row>
    <row r="1000" spans="1:21" x14ac:dyDescent="0.25">
      <c r="A1000" s="1807" t="s">
        <v>614</v>
      </c>
      <c r="B1000" s="1807"/>
      <c r="C1000" s="5" t="s">
        <v>28</v>
      </c>
      <c r="D1000" s="1808" t="s">
        <v>1698</v>
      </c>
      <c r="E1000" s="1808"/>
      <c r="F1000" s="1808"/>
      <c r="G1000" s="5"/>
    </row>
    <row r="1001" spans="1:21" x14ac:dyDescent="0.25">
      <c r="A1001" s="1807" t="s">
        <v>29</v>
      </c>
      <c r="B1001" s="1807"/>
      <c r="C1001" s="5"/>
      <c r="D1001" s="1809" t="s">
        <v>2988</v>
      </c>
      <c r="E1001" s="1809"/>
      <c r="F1001" s="1809"/>
      <c r="G1001" s="5"/>
    </row>
    <row r="1002" spans="1:21" x14ac:dyDescent="0.25">
      <c r="A1002" s="1"/>
      <c r="B1002" s="3"/>
      <c r="C1002" s="5"/>
      <c r="D1002" s="7"/>
      <c r="E1002" s="17"/>
      <c r="F1002" s="17"/>
      <c r="G1002" s="5"/>
    </row>
    <row r="1003" spans="1:21" x14ac:dyDescent="0.25">
      <c r="A1003" s="1"/>
      <c r="B1003" s="3"/>
      <c r="C1003" s="5"/>
      <c r="D1003" s="7"/>
      <c r="E1003" s="17"/>
      <c r="F1003" s="17"/>
      <c r="G1003" s="5"/>
    </row>
    <row r="1004" spans="1:21" x14ac:dyDescent="0.25">
      <c r="A1004" s="1807"/>
      <c r="B1004" s="1807"/>
      <c r="C1004" s="5"/>
      <c r="D1004" s="7"/>
      <c r="E1004" s="1807"/>
      <c r="F1004" s="1807"/>
      <c r="G1004" s="5"/>
    </row>
    <row r="1005" spans="1:21" x14ac:dyDescent="0.25">
      <c r="A1005" s="1807" t="s">
        <v>30</v>
      </c>
      <c r="B1005" s="1807"/>
      <c r="C1005" s="5"/>
      <c r="D1005" s="1807" t="s">
        <v>2989</v>
      </c>
      <c r="E1005" s="1807"/>
      <c r="F1005" s="1807"/>
      <c r="G1005" s="5"/>
    </row>
    <row r="1007" spans="1:21" x14ac:dyDescent="0.25">
      <c r="A1007" s="1800" t="s">
        <v>0</v>
      </c>
      <c r="B1007" s="1800"/>
      <c r="C1007" s="1800"/>
      <c r="D1007" s="1800"/>
      <c r="E1007" s="1800"/>
      <c r="F1007" s="1800"/>
      <c r="G1007" s="1800"/>
    </row>
    <row r="1008" spans="1:21" x14ac:dyDescent="0.25">
      <c r="A1008" s="1800" t="s">
        <v>1</v>
      </c>
      <c r="B1008" s="1800"/>
      <c r="C1008" s="1800"/>
      <c r="D1008" s="1800"/>
      <c r="E1008" s="1800"/>
      <c r="F1008" s="1800"/>
      <c r="G1008" s="1800"/>
    </row>
    <row r="1009" spans="1:7" x14ac:dyDescent="0.25">
      <c r="A1009" s="1800" t="s">
        <v>1697</v>
      </c>
      <c r="B1009" s="1800"/>
      <c r="C1009" s="1800"/>
      <c r="D1009" s="1800"/>
      <c r="E1009" s="1800"/>
      <c r="F1009" s="1800"/>
      <c r="G1009" s="1800"/>
    </row>
    <row r="1010" spans="1:7" x14ac:dyDescent="0.25">
      <c r="A1010" s="138"/>
      <c r="B1010" s="138"/>
      <c r="C1010" s="138"/>
      <c r="D1010" s="138"/>
      <c r="E1010" s="138"/>
      <c r="F1010" s="138"/>
      <c r="G1010" s="138"/>
    </row>
    <row r="1011" spans="1:7" x14ac:dyDescent="0.25">
      <c r="A1011" s="304" t="s">
        <v>296</v>
      </c>
      <c r="B1011" s="304" t="s">
        <v>347</v>
      </c>
      <c r="C1011" s="304"/>
      <c r="D1011" s="304"/>
      <c r="E1011" s="334"/>
      <c r="F1011" s="334"/>
    </row>
    <row r="1012" spans="1:7" ht="38.25" x14ac:dyDescent="0.25">
      <c r="A1012" s="304" t="s">
        <v>297</v>
      </c>
      <c r="B1012" s="306" t="s">
        <v>348</v>
      </c>
      <c r="C1012" s="304"/>
      <c r="D1012" s="304"/>
      <c r="E1012" s="23" t="s">
        <v>6</v>
      </c>
      <c r="F1012" s="13"/>
    </row>
    <row r="1013" spans="1:7" ht="38.25" x14ac:dyDescent="0.25">
      <c r="A1013" s="306" t="s">
        <v>298</v>
      </c>
      <c r="B1013" s="306" t="s">
        <v>349</v>
      </c>
      <c r="C1013" s="306"/>
      <c r="D1013" s="306"/>
      <c r="E1013" s="10" t="s">
        <v>9</v>
      </c>
      <c r="F1013" s="15"/>
    </row>
    <row r="1014" spans="1:7" x14ac:dyDescent="0.25">
      <c r="A1014" s="298" t="s">
        <v>62</v>
      </c>
      <c r="B1014" s="298" t="s">
        <v>63</v>
      </c>
      <c r="C1014" s="298"/>
      <c r="D1014" s="5"/>
      <c r="E1014" s="5"/>
      <c r="F1014" s="5"/>
    </row>
    <row r="1015" spans="1:7" x14ac:dyDescent="0.25">
      <c r="A1015" s="298" t="s">
        <v>64</v>
      </c>
      <c r="B1015" s="298" t="s">
        <v>65</v>
      </c>
      <c r="C1015" s="298"/>
      <c r="D1015" s="1808"/>
      <c r="E1015" s="1808"/>
      <c r="F1015" s="5"/>
    </row>
    <row r="1016" spans="1:7" x14ac:dyDescent="0.25">
      <c r="A1016" s="3"/>
      <c r="B1016" s="3"/>
      <c r="C1016" s="3"/>
      <c r="D1016" s="3"/>
      <c r="E1016" s="3"/>
      <c r="F1016" s="3"/>
    </row>
    <row r="1017" spans="1:7" ht="24" x14ac:dyDescent="0.25">
      <c r="A1017" s="144" t="s">
        <v>300</v>
      </c>
      <c r="B1017" s="144" t="s">
        <v>12</v>
      </c>
      <c r="C1017" s="1804" t="s">
        <v>13</v>
      </c>
      <c r="D1017" s="1804"/>
      <c r="E1017" s="11" t="s">
        <v>14</v>
      </c>
      <c r="F1017" s="165" t="s">
        <v>15</v>
      </c>
      <c r="G1017" s="267" t="s">
        <v>301</v>
      </c>
    </row>
    <row r="1018" spans="1:7" x14ac:dyDescent="0.25">
      <c r="A1018" s="144">
        <v>1</v>
      </c>
      <c r="B1018" s="144">
        <v>2</v>
      </c>
      <c r="C1018" s="1811">
        <v>3</v>
      </c>
      <c r="D1018" s="1812"/>
      <c r="E1018" s="33">
        <v>4</v>
      </c>
      <c r="F1018" s="165">
        <v>5</v>
      </c>
      <c r="G1018" s="268">
        <v>6</v>
      </c>
    </row>
    <row r="1019" spans="1:7" x14ac:dyDescent="0.25">
      <c r="A1019" s="2" t="s">
        <v>350</v>
      </c>
      <c r="B1019" s="16" t="s">
        <v>351</v>
      </c>
      <c r="C1019" s="6"/>
      <c r="D1019" s="25"/>
      <c r="E1019" s="16"/>
      <c r="F1019" s="16"/>
      <c r="G1019" s="20"/>
    </row>
    <row r="1020" spans="1:7" x14ac:dyDescent="0.25">
      <c r="A1020" s="2" t="s">
        <v>352</v>
      </c>
      <c r="B1020" s="16" t="s">
        <v>88</v>
      </c>
      <c r="C1020" s="6"/>
      <c r="D1020" s="25"/>
      <c r="E1020" s="16"/>
      <c r="F1020" s="16"/>
      <c r="G1020" s="20"/>
    </row>
    <row r="1021" spans="1:7" ht="24" x14ac:dyDescent="0.25">
      <c r="A1021" s="148" t="s">
        <v>398</v>
      </c>
      <c r="B1021" s="257" t="s">
        <v>326</v>
      </c>
      <c r="C1021" s="167"/>
      <c r="D1021" s="203"/>
      <c r="E1021" s="30"/>
      <c r="F1021" s="27"/>
      <c r="G1021" s="256"/>
    </row>
    <row r="1022" spans="1:7" x14ac:dyDescent="0.25">
      <c r="A1022" s="148"/>
      <c r="B1022" s="257" t="s">
        <v>327</v>
      </c>
      <c r="C1022" s="167">
        <v>2000</v>
      </c>
      <c r="D1022" s="203" t="s">
        <v>312</v>
      </c>
      <c r="E1022" s="30">
        <v>250</v>
      </c>
      <c r="F1022" s="27">
        <f>E1022*C1022</f>
        <v>500000</v>
      </c>
      <c r="G1022" s="16"/>
    </row>
    <row r="1023" spans="1:7" x14ac:dyDescent="0.25">
      <c r="A1023" s="2"/>
      <c r="B1023" s="208"/>
      <c r="C1023" s="6"/>
      <c r="D1023" s="25"/>
      <c r="E1023" s="16"/>
      <c r="F1023" s="16"/>
      <c r="G1023" s="20"/>
    </row>
    <row r="1024" spans="1:7" x14ac:dyDescent="0.25">
      <c r="A1024" s="2" t="s">
        <v>353</v>
      </c>
      <c r="B1024" s="338" t="s">
        <v>354</v>
      </c>
      <c r="C1024" s="142"/>
      <c r="D1024" s="143"/>
      <c r="E1024" s="18"/>
      <c r="F1024" s="147"/>
      <c r="G1024" s="179"/>
    </row>
    <row r="1025" spans="1:10" ht="24" x14ac:dyDescent="0.25">
      <c r="A1025" s="16"/>
      <c r="B1025" s="338" t="s">
        <v>355</v>
      </c>
      <c r="C1025" s="142">
        <f>64*2</f>
        <v>128</v>
      </c>
      <c r="D1025" s="143" t="s">
        <v>315</v>
      </c>
      <c r="E1025" s="44">
        <v>15000</v>
      </c>
      <c r="F1025" s="181">
        <f>E1025*C1025</f>
        <v>1920000</v>
      </c>
      <c r="G1025" s="179"/>
    </row>
    <row r="1026" spans="1:10" x14ac:dyDescent="0.25">
      <c r="A1026" s="16"/>
      <c r="B1026" s="4" t="s">
        <v>397</v>
      </c>
      <c r="C1026" s="6">
        <v>450</v>
      </c>
      <c r="D1026" s="25" t="s">
        <v>315</v>
      </c>
      <c r="E1026" s="12">
        <v>15000</v>
      </c>
      <c r="F1026" s="181">
        <f>E1026*C1026</f>
        <v>6750000</v>
      </c>
      <c r="G1026" s="179"/>
    </row>
    <row r="1027" spans="1:10" x14ac:dyDescent="0.25">
      <c r="A1027" s="16"/>
      <c r="B1027" s="261" t="s">
        <v>356</v>
      </c>
      <c r="C1027" s="161">
        <f>45*2</f>
        <v>90</v>
      </c>
      <c r="D1027" s="291" t="s">
        <v>315</v>
      </c>
      <c r="E1027" s="339">
        <v>15000</v>
      </c>
      <c r="F1027" s="181">
        <f>E1027*C1027</f>
        <v>1350000</v>
      </c>
      <c r="G1027" s="179"/>
    </row>
    <row r="1028" spans="1:10" x14ac:dyDescent="0.25">
      <c r="A1028" s="16"/>
      <c r="B1028" s="261"/>
      <c r="C1028" s="161"/>
      <c r="D1028" s="291"/>
      <c r="E1028" s="339"/>
      <c r="F1028" s="181"/>
      <c r="G1028" s="179"/>
    </row>
    <row r="1029" spans="1:10" x14ac:dyDescent="0.25">
      <c r="A1029" s="2" t="s">
        <v>357</v>
      </c>
      <c r="B1029" s="273" t="s">
        <v>358</v>
      </c>
      <c r="C1029" s="45"/>
      <c r="D1029" s="46"/>
      <c r="E1029" s="340"/>
      <c r="F1029" s="47"/>
      <c r="G1029" s="179"/>
    </row>
    <row r="1030" spans="1:10" x14ac:dyDescent="0.25">
      <c r="A1030" s="2"/>
      <c r="B1030" s="273" t="s">
        <v>359</v>
      </c>
      <c r="C1030" s="45">
        <v>450</v>
      </c>
      <c r="D1030" s="46" t="s">
        <v>95</v>
      </c>
      <c r="E1030" s="340">
        <v>1700</v>
      </c>
      <c r="F1030" s="47">
        <f>E1030*C1030</f>
        <v>765000</v>
      </c>
      <c r="G1030" s="179"/>
    </row>
    <row r="1031" spans="1:10" x14ac:dyDescent="0.25">
      <c r="A1031" s="2"/>
      <c r="B1031" s="273" t="s">
        <v>360</v>
      </c>
      <c r="C1031" s="45">
        <v>20</v>
      </c>
      <c r="D1031" s="46" t="s">
        <v>361</v>
      </c>
      <c r="E1031" s="340">
        <v>136000</v>
      </c>
      <c r="F1031" s="47">
        <f>E1031*C1031</f>
        <v>2720000</v>
      </c>
      <c r="G1031" s="179"/>
    </row>
    <row r="1032" spans="1:10" x14ac:dyDescent="0.25">
      <c r="A1032" s="16"/>
      <c r="B1032" s="261"/>
      <c r="C1032" s="161"/>
      <c r="D1032" s="291"/>
      <c r="E1032" s="339"/>
      <c r="F1032" s="339"/>
      <c r="G1032" s="179"/>
    </row>
    <row r="1033" spans="1:10" x14ac:dyDescent="0.25">
      <c r="A1033" s="178" t="s">
        <v>362</v>
      </c>
      <c r="B1033" s="233" t="s">
        <v>340</v>
      </c>
      <c r="C1033" s="142"/>
      <c r="D1033" s="143"/>
      <c r="E1033" s="18"/>
      <c r="F1033" s="147"/>
      <c r="G1033" s="179"/>
    </row>
    <row r="1034" spans="1:10" x14ac:dyDescent="0.25">
      <c r="A1034" s="178" t="s">
        <v>363</v>
      </c>
      <c r="B1034" s="338" t="s">
        <v>364</v>
      </c>
      <c r="C1034" s="142"/>
      <c r="D1034" s="143"/>
      <c r="E1034" s="18"/>
      <c r="F1034" s="147"/>
      <c r="G1034" s="179"/>
    </row>
    <row r="1035" spans="1:10" ht="24.75" x14ac:dyDescent="0.25">
      <c r="A1035" s="16"/>
      <c r="B1035" s="271" t="s">
        <v>365</v>
      </c>
      <c r="C1035" s="6">
        <f>17*8*2</f>
        <v>272</v>
      </c>
      <c r="D1035" s="25" t="s">
        <v>366</v>
      </c>
      <c r="E1035" s="12">
        <v>100000</v>
      </c>
      <c r="F1035" s="12">
        <f>C1035*E1035</f>
        <v>27200000</v>
      </c>
      <c r="G1035" s="179"/>
    </row>
    <row r="1036" spans="1:10" x14ac:dyDescent="0.25">
      <c r="A1036" s="16"/>
      <c r="B1036" s="341"/>
      <c r="C1036" s="6"/>
      <c r="D1036" s="25"/>
      <c r="E1036" s="103"/>
      <c r="F1036" s="103"/>
      <c r="G1036" s="179"/>
    </row>
    <row r="1037" spans="1:10" x14ac:dyDescent="0.25">
      <c r="A1037" s="16"/>
      <c r="B1037" s="336"/>
      <c r="C1037" s="337"/>
      <c r="D1037" s="204"/>
      <c r="E1037" s="79"/>
      <c r="F1037" s="254"/>
      <c r="G1037" s="179"/>
    </row>
    <row r="1038" spans="1:10" x14ac:dyDescent="0.25">
      <c r="A1038" s="16"/>
      <c r="B1038" s="1850" t="s">
        <v>27</v>
      </c>
      <c r="C1038" s="1850"/>
      <c r="D1038" s="1850"/>
      <c r="E1038" s="1850"/>
      <c r="F1038" s="187">
        <f>SUM(F1019:F1036)</f>
        <v>41205000</v>
      </c>
      <c r="G1038" s="179" t="s">
        <v>1682</v>
      </c>
      <c r="J1038" s="175">
        <f>F1038</f>
        <v>41205000</v>
      </c>
    </row>
    <row r="1040" spans="1:10" x14ac:dyDescent="0.25">
      <c r="A1040" s="1807" t="s">
        <v>614</v>
      </c>
      <c r="B1040" s="1807"/>
      <c r="C1040" s="5" t="s">
        <v>28</v>
      </c>
      <c r="D1040" s="1808" t="s">
        <v>1698</v>
      </c>
      <c r="E1040" s="1808"/>
      <c r="F1040" s="1808"/>
      <c r="G1040" s="5"/>
    </row>
    <row r="1041" spans="1:7" x14ac:dyDescent="0.25">
      <c r="A1041" s="1807" t="s">
        <v>29</v>
      </c>
      <c r="B1041" s="1807"/>
      <c r="C1041" s="5"/>
      <c r="D1041" s="1809" t="s">
        <v>2992</v>
      </c>
      <c r="E1041" s="1809"/>
      <c r="F1041" s="1809"/>
      <c r="G1041" s="5"/>
    </row>
    <row r="1042" spans="1:7" x14ac:dyDescent="0.25">
      <c r="A1042" s="1"/>
      <c r="B1042" s="3"/>
      <c r="C1042" s="5"/>
      <c r="D1042" s="7"/>
      <c r="E1042" s="17"/>
      <c r="F1042" s="17"/>
      <c r="G1042" s="5"/>
    </row>
    <row r="1043" spans="1:7" x14ac:dyDescent="0.25">
      <c r="A1043" s="1"/>
      <c r="B1043" s="3"/>
      <c r="C1043" s="5"/>
      <c r="D1043" s="7"/>
      <c r="E1043" s="17"/>
      <c r="F1043" s="17"/>
      <c r="G1043" s="5"/>
    </row>
    <row r="1044" spans="1:7" x14ac:dyDescent="0.25">
      <c r="A1044" s="1807"/>
      <c r="B1044" s="1807"/>
      <c r="C1044" s="5"/>
      <c r="D1044" s="7"/>
      <c r="E1044" s="1807"/>
      <c r="F1044" s="1807"/>
      <c r="G1044" s="5"/>
    </row>
    <row r="1045" spans="1:7" x14ac:dyDescent="0.25">
      <c r="A1045" s="1807" t="s">
        <v>30</v>
      </c>
      <c r="B1045" s="1807"/>
      <c r="C1045" s="5"/>
      <c r="D1045" s="1807" t="s">
        <v>2993</v>
      </c>
      <c r="E1045" s="1807"/>
      <c r="F1045" s="1807"/>
      <c r="G1045" s="5"/>
    </row>
    <row r="1048" spans="1:7" x14ac:dyDescent="0.25">
      <c r="A1048" s="1800" t="s">
        <v>0</v>
      </c>
      <c r="B1048" s="1800"/>
      <c r="C1048" s="1800"/>
      <c r="D1048" s="1800"/>
      <c r="E1048" s="1800"/>
      <c r="F1048" s="1800"/>
      <c r="G1048" s="1800"/>
    </row>
    <row r="1049" spans="1:7" x14ac:dyDescent="0.25">
      <c r="A1049" s="1800" t="s">
        <v>1</v>
      </c>
      <c r="B1049" s="1800"/>
      <c r="C1049" s="1800"/>
      <c r="D1049" s="1800"/>
      <c r="E1049" s="1800"/>
      <c r="F1049" s="1800"/>
      <c r="G1049" s="1800"/>
    </row>
    <row r="1050" spans="1:7" x14ac:dyDescent="0.25">
      <c r="A1050" s="1800" t="s">
        <v>1697</v>
      </c>
      <c r="B1050" s="1800"/>
      <c r="C1050" s="1800"/>
      <c r="D1050" s="1800"/>
      <c r="E1050" s="1800"/>
      <c r="F1050" s="1800"/>
      <c r="G1050" s="1800"/>
    </row>
    <row r="1051" spans="1:7" x14ac:dyDescent="0.25">
      <c r="A1051" s="138"/>
      <c r="B1051" s="138"/>
      <c r="C1051" s="138"/>
      <c r="D1051" s="138"/>
      <c r="E1051" s="138"/>
      <c r="F1051" s="138"/>
      <c r="G1051" s="162"/>
    </row>
    <row r="1052" spans="1:7" x14ac:dyDescent="0.25">
      <c r="A1052" s="283" t="s">
        <v>399</v>
      </c>
      <c r="B1052" s="3" t="s">
        <v>59</v>
      </c>
      <c r="C1052" s="5"/>
      <c r="D1052" s="7"/>
      <c r="E1052" s="8"/>
      <c r="F1052" s="13"/>
      <c r="G1052" s="5"/>
    </row>
    <row r="1053" spans="1:7" ht="24" x14ac:dyDescent="0.25">
      <c r="A1053" s="163" t="s">
        <v>400</v>
      </c>
      <c r="B1053" s="164" t="s">
        <v>401</v>
      </c>
      <c r="C1053" s="5"/>
      <c r="D1053" s="7"/>
      <c r="E1053" s="23" t="s">
        <v>6</v>
      </c>
      <c r="F1053" s="13"/>
      <c r="G1053" s="5"/>
    </row>
    <row r="1054" spans="1:7" ht="24" x14ac:dyDescent="0.25">
      <c r="A1054" s="163" t="s">
        <v>402</v>
      </c>
      <c r="B1054" s="164" t="s">
        <v>403</v>
      </c>
      <c r="C1054" s="5"/>
      <c r="D1054" s="7"/>
      <c r="E1054" s="10" t="s">
        <v>9</v>
      </c>
      <c r="F1054" s="15"/>
      <c r="G1054" s="5"/>
    </row>
    <row r="1055" spans="1:7" x14ac:dyDescent="0.25">
      <c r="A1055" s="285" t="s">
        <v>38</v>
      </c>
      <c r="B1055" s="3" t="s">
        <v>63</v>
      </c>
      <c r="C1055" s="5"/>
      <c r="D1055" s="7"/>
      <c r="E1055" s="8"/>
      <c r="F1055" s="13"/>
      <c r="G1055" s="5"/>
    </row>
    <row r="1056" spans="1:7" x14ac:dyDescent="0.25">
      <c r="A1056" s="140" t="s">
        <v>11</v>
      </c>
      <c r="B1056" s="3"/>
      <c r="C1056" s="5"/>
      <c r="D1056" s="7"/>
      <c r="E1056" s="8"/>
      <c r="F1056" s="13"/>
      <c r="G1056" s="5"/>
    </row>
    <row r="1057" spans="1:7" x14ac:dyDescent="0.25">
      <c r="A1057" s="140"/>
      <c r="B1057" s="3"/>
      <c r="C1057" s="5"/>
      <c r="D1057" s="7"/>
      <c r="E1057" s="8"/>
      <c r="F1057" s="13"/>
      <c r="G1057" s="5"/>
    </row>
    <row r="1058" spans="1:7" ht="24" x14ac:dyDescent="0.25">
      <c r="A1058" s="144" t="s">
        <v>300</v>
      </c>
      <c r="B1058" s="144" t="s">
        <v>12</v>
      </c>
      <c r="C1058" s="1804" t="s">
        <v>13</v>
      </c>
      <c r="D1058" s="1804"/>
      <c r="E1058" s="11" t="s">
        <v>14</v>
      </c>
      <c r="F1058" s="165" t="s">
        <v>15</v>
      </c>
      <c r="G1058" s="145" t="s">
        <v>405</v>
      </c>
    </row>
    <row r="1059" spans="1:7" x14ac:dyDescent="0.25">
      <c r="A1059" s="146">
        <v>1</v>
      </c>
      <c r="B1059" s="146">
        <v>2</v>
      </c>
      <c r="C1059" s="1801">
        <v>3</v>
      </c>
      <c r="D1059" s="1802"/>
      <c r="E1059" s="54">
        <v>4</v>
      </c>
      <c r="F1059" s="167">
        <v>5</v>
      </c>
      <c r="G1059" s="147">
        <v>6</v>
      </c>
    </row>
    <row r="1060" spans="1:7" x14ac:dyDescent="0.25">
      <c r="A1060" s="148" t="s">
        <v>406</v>
      </c>
      <c r="B1060" s="257" t="s">
        <v>323</v>
      </c>
      <c r="C1060" s="167"/>
      <c r="D1060" s="168"/>
      <c r="E1060" s="146"/>
      <c r="F1060" s="6"/>
      <c r="G1060" s="146"/>
    </row>
    <row r="1061" spans="1:7" x14ac:dyDescent="0.25">
      <c r="A1061" s="148" t="s">
        <v>407</v>
      </c>
      <c r="B1061" s="257" t="s">
        <v>88</v>
      </c>
      <c r="C1061" s="167"/>
      <c r="D1061" s="168"/>
      <c r="E1061" s="146"/>
      <c r="F1061" s="6"/>
      <c r="G1061" s="146"/>
    </row>
    <row r="1062" spans="1:7" ht="24" x14ac:dyDescent="0.25">
      <c r="A1062" s="148" t="s">
        <v>408</v>
      </c>
      <c r="B1062" s="257" t="s">
        <v>326</v>
      </c>
      <c r="C1062" s="167"/>
      <c r="D1062" s="168"/>
      <c r="E1062" s="30"/>
      <c r="F1062" s="53"/>
      <c r="G1062" s="146"/>
    </row>
    <row r="1063" spans="1:7" x14ac:dyDescent="0.25">
      <c r="A1063" s="148"/>
      <c r="B1063" s="257" t="s">
        <v>328</v>
      </c>
      <c r="C1063" s="167">
        <v>2</v>
      </c>
      <c r="D1063" s="168" t="s">
        <v>123</v>
      </c>
      <c r="E1063" s="30">
        <v>127600</v>
      </c>
      <c r="F1063" s="53">
        <f>E1063*C1063</f>
        <v>255200</v>
      </c>
      <c r="G1063" s="146"/>
    </row>
    <row r="1064" spans="1:7" x14ac:dyDescent="0.25">
      <c r="A1064" s="148"/>
      <c r="B1064" s="257"/>
      <c r="C1064" s="167"/>
      <c r="D1064" s="168"/>
      <c r="E1064" s="30"/>
      <c r="F1064" s="53"/>
      <c r="G1064" s="146"/>
    </row>
    <row r="1065" spans="1:7" ht="36" x14ac:dyDescent="0.25">
      <c r="A1065" s="148" t="s">
        <v>409</v>
      </c>
      <c r="B1065" s="257" t="s">
        <v>329</v>
      </c>
      <c r="C1065" s="167"/>
      <c r="D1065" s="168"/>
      <c r="E1065" s="30"/>
      <c r="F1065" s="53"/>
      <c r="G1065" s="146"/>
    </row>
    <row r="1066" spans="1:7" x14ac:dyDescent="0.25">
      <c r="A1066" s="148"/>
      <c r="B1066" s="257" t="s">
        <v>410</v>
      </c>
      <c r="C1066" s="167">
        <v>200</v>
      </c>
      <c r="D1066" s="168" t="s">
        <v>315</v>
      </c>
      <c r="E1066" s="30">
        <v>75000</v>
      </c>
      <c r="F1066" s="53">
        <f>E1066*C1066</f>
        <v>15000000</v>
      </c>
      <c r="G1066" s="146"/>
    </row>
    <row r="1067" spans="1:7" x14ac:dyDescent="0.25">
      <c r="A1067" s="148"/>
      <c r="B1067" s="257"/>
      <c r="C1067" s="167"/>
      <c r="D1067" s="168"/>
      <c r="E1067" s="30"/>
      <c r="F1067" s="53"/>
      <c r="G1067" s="146"/>
    </row>
    <row r="1068" spans="1:7" x14ac:dyDescent="0.25">
      <c r="A1068" s="148" t="s">
        <v>411</v>
      </c>
      <c r="B1068" s="257" t="s">
        <v>331</v>
      </c>
      <c r="C1068" s="167"/>
      <c r="D1068" s="168"/>
      <c r="E1068" s="30"/>
      <c r="F1068" s="53"/>
      <c r="G1068" s="146"/>
    </row>
    <row r="1069" spans="1:7" x14ac:dyDescent="0.25">
      <c r="A1069" s="148"/>
      <c r="B1069" s="257" t="s">
        <v>412</v>
      </c>
      <c r="C1069" s="167">
        <v>2</v>
      </c>
      <c r="D1069" s="168" t="s">
        <v>333</v>
      </c>
      <c r="E1069" s="30">
        <v>50000</v>
      </c>
      <c r="F1069" s="53">
        <f>E1069*C1069</f>
        <v>100000</v>
      </c>
      <c r="G1069" s="146"/>
    </row>
    <row r="1070" spans="1:7" x14ac:dyDescent="0.25">
      <c r="A1070" s="148"/>
      <c r="B1070" s="257" t="s">
        <v>413</v>
      </c>
      <c r="C1070" s="167">
        <v>10</v>
      </c>
      <c r="D1070" s="168" t="s">
        <v>186</v>
      </c>
      <c r="E1070" s="30">
        <v>20000</v>
      </c>
      <c r="F1070" s="53">
        <f>E1070*C1070</f>
        <v>200000</v>
      </c>
      <c r="G1070" s="146"/>
    </row>
    <row r="1071" spans="1:7" x14ac:dyDescent="0.25">
      <c r="A1071" s="148"/>
      <c r="B1071" s="257" t="s">
        <v>334</v>
      </c>
      <c r="C1071" s="167">
        <v>20</v>
      </c>
      <c r="D1071" s="168" t="s">
        <v>186</v>
      </c>
      <c r="E1071" s="30">
        <v>1000</v>
      </c>
      <c r="F1071" s="53">
        <f>E1071*C1071</f>
        <v>20000</v>
      </c>
      <c r="G1071" s="146"/>
    </row>
    <row r="1072" spans="1:7" x14ac:dyDescent="0.25">
      <c r="A1072" s="162"/>
      <c r="B1072" s="257" t="s">
        <v>335</v>
      </c>
      <c r="C1072" s="167">
        <v>2</v>
      </c>
      <c r="D1072" s="168" t="s">
        <v>336</v>
      </c>
      <c r="E1072" s="30">
        <v>10000</v>
      </c>
      <c r="F1072" s="53">
        <f>E1072*C1072</f>
        <v>20000</v>
      </c>
      <c r="G1072" s="146"/>
    </row>
    <row r="1073" spans="1:11" x14ac:dyDescent="0.25">
      <c r="A1073" s="162"/>
      <c r="B1073" s="257"/>
      <c r="C1073" s="167"/>
      <c r="D1073" s="168"/>
      <c r="E1073" s="30"/>
      <c r="F1073" s="53"/>
      <c r="G1073" s="146"/>
    </row>
    <row r="1074" spans="1:11" x14ac:dyDescent="0.25">
      <c r="A1074" s="148" t="s">
        <v>414</v>
      </c>
      <c r="B1074" s="257" t="s">
        <v>415</v>
      </c>
      <c r="C1074" s="167"/>
      <c r="D1074" s="168"/>
      <c r="E1074" s="30"/>
      <c r="F1074" s="53"/>
      <c r="G1074" s="146"/>
    </row>
    <row r="1075" spans="1:11" x14ac:dyDescent="0.25">
      <c r="A1075" s="148" t="s">
        <v>416</v>
      </c>
      <c r="B1075" s="257" t="s">
        <v>393</v>
      </c>
      <c r="C1075" s="167"/>
      <c r="D1075" s="168"/>
      <c r="E1075" s="30"/>
      <c r="F1075" s="53"/>
      <c r="G1075" s="146"/>
    </row>
    <row r="1076" spans="1:11" x14ac:dyDescent="0.25">
      <c r="A1076" s="148"/>
      <c r="B1076" s="257" t="s">
        <v>417</v>
      </c>
      <c r="C1076" s="167">
        <v>2</v>
      </c>
      <c r="D1076" s="168" t="s">
        <v>152</v>
      </c>
      <c r="E1076" s="30">
        <v>100000</v>
      </c>
      <c r="F1076" s="53">
        <f>E1076*C1076</f>
        <v>200000</v>
      </c>
      <c r="G1076" s="146"/>
    </row>
    <row r="1077" spans="1:11" ht="24" x14ac:dyDescent="0.25">
      <c r="A1077" s="148" t="s">
        <v>418</v>
      </c>
      <c r="B1077" s="257" t="s">
        <v>419</v>
      </c>
      <c r="C1077" s="167"/>
      <c r="D1077" s="168"/>
      <c r="E1077" s="30"/>
      <c r="F1077" s="53"/>
      <c r="G1077" s="146"/>
    </row>
    <row r="1078" spans="1:11" x14ac:dyDescent="0.25">
      <c r="A1078" s="148" t="s">
        <v>420</v>
      </c>
      <c r="B1078" s="257" t="s">
        <v>421</v>
      </c>
      <c r="C1078" s="167"/>
      <c r="D1078" s="168"/>
      <c r="E1078" s="30"/>
      <c r="F1078" s="53"/>
      <c r="G1078" s="146"/>
    </row>
    <row r="1079" spans="1:11" x14ac:dyDescent="0.25">
      <c r="A1079" s="148"/>
      <c r="B1079" s="257" t="s">
        <v>3000</v>
      </c>
      <c r="C1079" s="167">
        <f>68*2</f>
        <v>136</v>
      </c>
      <c r="D1079" s="168" t="s">
        <v>315</v>
      </c>
      <c r="E1079" s="30">
        <v>50000</v>
      </c>
      <c r="F1079" s="53">
        <f>E1079*C1079</f>
        <v>6800000</v>
      </c>
      <c r="G1079" s="146"/>
    </row>
    <row r="1080" spans="1:11" x14ac:dyDescent="0.25">
      <c r="A1080" s="148"/>
      <c r="B1080" s="257"/>
      <c r="C1080" s="167"/>
      <c r="D1080" s="168"/>
      <c r="E1080" s="30"/>
      <c r="F1080" s="53"/>
      <c r="G1080" s="146"/>
    </row>
    <row r="1081" spans="1:11" x14ac:dyDescent="0.25">
      <c r="A1081" s="269"/>
      <c r="B1081" s="4"/>
      <c r="C1081" s="236"/>
      <c r="D1081" s="168"/>
      <c r="E1081" s="22"/>
      <c r="F1081" s="55"/>
      <c r="G1081" s="16"/>
    </row>
    <row r="1082" spans="1:11" x14ac:dyDescent="0.25">
      <c r="A1082" s="328"/>
      <c r="B1082" s="1805" t="s">
        <v>27</v>
      </c>
      <c r="C1082" s="1805"/>
      <c r="D1082" s="1805"/>
      <c r="E1082" s="1806"/>
      <c r="F1082" s="238">
        <f>SUM(F1062:F1081)</f>
        <v>22595200</v>
      </c>
      <c r="G1082" s="272" t="s">
        <v>2620</v>
      </c>
      <c r="K1082" s="286">
        <f>F1082</f>
        <v>22595200</v>
      </c>
    </row>
    <row r="1083" spans="1:11" x14ac:dyDescent="0.25">
      <c r="F1083" s="451">
        <v>3124800</v>
      </c>
    </row>
    <row r="1084" spans="1:11" x14ac:dyDescent="0.25">
      <c r="A1084" s="1807" t="s">
        <v>614</v>
      </c>
      <c r="B1084" s="1807"/>
      <c r="C1084" s="5" t="s">
        <v>28</v>
      </c>
      <c r="D1084" s="1808" t="s">
        <v>1698</v>
      </c>
      <c r="E1084" s="1808"/>
      <c r="F1084" s="1808"/>
      <c r="G1084" s="5"/>
    </row>
    <row r="1085" spans="1:11" x14ac:dyDescent="0.25">
      <c r="A1085" s="1807" t="s">
        <v>29</v>
      </c>
      <c r="B1085" s="1807"/>
      <c r="C1085" s="5"/>
      <c r="D1085" s="1809" t="s">
        <v>2994</v>
      </c>
      <c r="E1085" s="1809"/>
      <c r="F1085" s="1809"/>
      <c r="G1085" s="5"/>
    </row>
    <row r="1086" spans="1:11" x14ac:dyDescent="0.25">
      <c r="A1086" s="1"/>
      <c r="B1086" s="3"/>
      <c r="C1086" s="5"/>
      <c r="D1086" s="7"/>
      <c r="E1086" s="17"/>
      <c r="F1086" s="1704"/>
      <c r="G1086" s="5"/>
    </row>
    <row r="1087" spans="1:11" x14ac:dyDescent="0.25">
      <c r="A1087" s="1"/>
      <c r="B1087" s="3"/>
      <c r="C1087" s="5"/>
      <c r="D1087" s="7"/>
      <c r="E1087" s="17"/>
      <c r="F1087" s="1704"/>
      <c r="G1087" s="5"/>
    </row>
    <row r="1088" spans="1:11" x14ac:dyDescent="0.25">
      <c r="A1088" s="1807"/>
      <c r="B1088" s="1807"/>
      <c r="C1088" s="5"/>
      <c r="D1088" s="7"/>
      <c r="E1088" s="1810"/>
      <c r="F1088" s="1807"/>
      <c r="G1088" s="5"/>
    </row>
    <row r="1089" spans="1:7" x14ac:dyDescent="0.25">
      <c r="A1089" s="1807" t="s">
        <v>30</v>
      </c>
      <c r="B1089" s="1807"/>
      <c r="C1089" s="5"/>
      <c r="D1089" s="1807" t="s">
        <v>2995</v>
      </c>
      <c r="E1089" s="1807"/>
      <c r="F1089" s="1807"/>
      <c r="G1089" s="5"/>
    </row>
    <row r="1092" spans="1:7" x14ac:dyDescent="0.25">
      <c r="A1092" s="1800" t="s">
        <v>0</v>
      </c>
      <c r="B1092" s="1800"/>
      <c r="C1092" s="1800"/>
      <c r="D1092" s="1800"/>
      <c r="E1092" s="1800"/>
      <c r="F1092" s="1800"/>
      <c r="G1092" s="162"/>
    </row>
    <row r="1093" spans="1:7" x14ac:dyDescent="0.25">
      <c r="A1093" s="1800" t="s">
        <v>1</v>
      </c>
      <c r="B1093" s="1800"/>
      <c r="C1093" s="1800"/>
      <c r="D1093" s="1800"/>
      <c r="E1093" s="1800"/>
      <c r="F1093" s="1800"/>
      <c r="G1093" s="162"/>
    </row>
    <row r="1094" spans="1:7" x14ac:dyDescent="0.25">
      <c r="A1094" s="1800" t="s">
        <v>1697</v>
      </c>
      <c r="B1094" s="1800"/>
      <c r="C1094" s="1800"/>
      <c r="D1094" s="1800"/>
      <c r="E1094" s="1800"/>
      <c r="F1094" s="1800"/>
      <c r="G1094" s="162"/>
    </row>
    <row r="1095" spans="1:7" x14ac:dyDescent="0.25">
      <c r="A1095" s="138"/>
      <c r="B1095" s="138"/>
      <c r="C1095" s="138"/>
      <c r="D1095" s="138"/>
      <c r="E1095" s="138"/>
      <c r="F1095" s="138"/>
      <c r="G1095" s="162"/>
    </row>
    <row r="1096" spans="1:7" x14ac:dyDescent="0.25">
      <c r="A1096" s="283" t="s">
        <v>399</v>
      </c>
      <c r="B1096" s="284" t="s">
        <v>59</v>
      </c>
      <c r="C1096" s="5"/>
      <c r="D1096" s="7"/>
      <c r="E1096" s="8"/>
      <c r="F1096" s="13"/>
      <c r="G1096" s="5"/>
    </row>
    <row r="1097" spans="1:7" ht="24" x14ac:dyDescent="0.25">
      <c r="A1097" s="163" t="s">
        <v>400</v>
      </c>
      <c r="B1097" s="164" t="s">
        <v>401</v>
      </c>
      <c r="C1097" s="5"/>
      <c r="D1097" s="7"/>
      <c r="E1097" s="23" t="s">
        <v>6</v>
      </c>
      <c r="F1097" s="13"/>
      <c r="G1097" s="5"/>
    </row>
    <row r="1098" spans="1:7" ht="48" x14ac:dyDescent="0.25">
      <c r="A1098" s="163" t="s">
        <v>402</v>
      </c>
      <c r="B1098" s="164" t="s">
        <v>422</v>
      </c>
      <c r="C1098" s="5"/>
      <c r="D1098" s="7"/>
      <c r="E1098" s="10" t="s">
        <v>9</v>
      </c>
      <c r="F1098" s="15"/>
      <c r="G1098" s="5"/>
    </row>
    <row r="1099" spans="1:7" x14ac:dyDescent="0.25">
      <c r="A1099" s="285" t="s">
        <v>38</v>
      </c>
      <c r="B1099" s="3" t="s">
        <v>404</v>
      </c>
      <c r="C1099" s="5"/>
      <c r="D1099" s="7"/>
      <c r="E1099" s="8"/>
      <c r="F1099" s="13"/>
      <c r="G1099" s="5"/>
    </row>
    <row r="1100" spans="1:7" x14ac:dyDescent="0.25">
      <c r="A1100" s="140" t="s">
        <v>11</v>
      </c>
      <c r="B1100" s="3"/>
      <c r="C1100" s="5"/>
      <c r="D1100" s="7"/>
      <c r="E1100" s="8"/>
      <c r="F1100" s="13"/>
      <c r="G1100" s="5"/>
    </row>
    <row r="1101" spans="1:7" x14ac:dyDescent="0.25">
      <c r="A1101" s="140"/>
      <c r="B1101" s="3"/>
      <c r="C1101" s="5"/>
      <c r="D1101" s="7"/>
      <c r="E1101" s="8"/>
      <c r="F1101" s="13"/>
      <c r="G1101" s="5"/>
    </row>
    <row r="1102" spans="1:7" ht="24" x14ac:dyDescent="0.25">
      <c r="A1102" s="146" t="s">
        <v>31</v>
      </c>
      <c r="B1102" s="144" t="s">
        <v>32</v>
      </c>
      <c r="C1102" s="1801" t="s">
        <v>13</v>
      </c>
      <c r="D1102" s="1802"/>
      <c r="E1102" s="144" t="s">
        <v>33</v>
      </c>
      <c r="F1102" s="152" t="s">
        <v>34</v>
      </c>
      <c r="G1102" s="146" t="s">
        <v>35</v>
      </c>
    </row>
    <row r="1103" spans="1:7" x14ac:dyDescent="0.25">
      <c r="A1103" s="145">
        <v>1</v>
      </c>
      <c r="B1103" s="145">
        <v>2</v>
      </c>
      <c r="C1103" s="1803">
        <v>3</v>
      </c>
      <c r="D1103" s="1803"/>
      <c r="E1103" s="18">
        <v>4</v>
      </c>
      <c r="F1103" s="147">
        <v>5</v>
      </c>
      <c r="G1103" s="147">
        <v>6</v>
      </c>
    </row>
    <row r="1104" spans="1:7" x14ac:dyDescent="0.25">
      <c r="A1104" s="148" t="s">
        <v>406</v>
      </c>
      <c r="B1104" s="257" t="s">
        <v>323</v>
      </c>
      <c r="C1104" s="167"/>
      <c r="D1104" s="168"/>
      <c r="E1104" s="146"/>
      <c r="F1104" s="152"/>
      <c r="G1104" s="256"/>
    </row>
    <row r="1105" spans="1:7" x14ac:dyDescent="0.25">
      <c r="A1105" s="148" t="s">
        <v>407</v>
      </c>
      <c r="B1105" s="257" t="s">
        <v>88</v>
      </c>
      <c r="C1105" s="167"/>
      <c r="D1105" s="168"/>
      <c r="E1105" s="146"/>
      <c r="F1105" s="152"/>
      <c r="G1105" s="256"/>
    </row>
    <row r="1106" spans="1:7" ht="24" x14ac:dyDescent="0.25">
      <c r="A1106" s="148" t="s">
        <v>408</v>
      </c>
      <c r="B1106" s="257" t="s">
        <v>326</v>
      </c>
      <c r="C1106" s="167"/>
      <c r="D1106" s="168"/>
      <c r="E1106" s="30"/>
      <c r="F1106" s="27"/>
      <c r="G1106" s="256"/>
    </row>
    <row r="1107" spans="1:7" x14ac:dyDescent="0.25">
      <c r="A1107" s="148"/>
      <c r="B1107" s="257" t="s">
        <v>328</v>
      </c>
      <c r="C1107" s="167">
        <v>4</v>
      </c>
      <c r="D1107" s="168" t="s">
        <v>123</v>
      </c>
      <c r="E1107" s="30">
        <v>90000</v>
      </c>
      <c r="F1107" s="27">
        <f>E1107*C1107</f>
        <v>360000</v>
      </c>
      <c r="G1107" s="16"/>
    </row>
    <row r="1108" spans="1:7" x14ac:dyDescent="0.25">
      <c r="A1108" s="148"/>
      <c r="B1108" s="257"/>
      <c r="C1108" s="167"/>
      <c r="D1108" s="168"/>
      <c r="E1108" s="30"/>
      <c r="F1108" s="27"/>
      <c r="G1108" s="208"/>
    </row>
    <row r="1109" spans="1:7" ht="36" x14ac:dyDescent="0.25">
      <c r="A1109" s="148" t="s">
        <v>409</v>
      </c>
      <c r="B1109" s="257" t="s">
        <v>329</v>
      </c>
      <c r="C1109" s="167"/>
      <c r="D1109" s="168"/>
      <c r="E1109" s="30"/>
      <c r="F1109" s="27"/>
      <c r="G1109" s="256"/>
    </row>
    <row r="1110" spans="1:7" x14ac:dyDescent="0.25">
      <c r="A1110" s="148"/>
      <c r="B1110" s="257" t="s">
        <v>1704</v>
      </c>
      <c r="C1110" s="167">
        <v>320</v>
      </c>
      <c r="D1110" s="168" t="s">
        <v>315</v>
      </c>
      <c r="E1110" s="30">
        <v>75000</v>
      </c>
      <c r="F1110" s="27">
        <f>E1110*C1110</f>
        <v>24000000</v>
      </c>
      <c r="G1110" s="16"/>
    </row>
    <row r="1111" spans="1:7" x14ac:dyDescent="0.25">
      <c r="A1111" s="148"/>
      <c r="B1111" s="257"/>
      <c r="C1111" s="167"/>
      <c r="D1111" s="168"/>
      <c r="E1111" s="30"/>
      <c r="F1111" s="27"/>
      <c r="G1111" s="208"/>
    </row>
    <row r="1112" spans="1:7" x14ac:dyDescent="0.25">
      <c r="A1112" s="148" t="s">
        <v>411</v>
      </c>
      <c r="B1112" s="257" t="s">
        <v>331</v>
      </c>
      <c r="C1112" s="167"/>
      <c r="D1112" s="168"/>
      <c r="E1112" s="30"/>
      <c r="F1112" s="27"/>
      <c r="G1112" s="256"/>
    </row>
    <row r="1113" spans="1:7" x14ac:dyDescent="0.25">
      <c r="A1113" s="148"/>
      <c r="B1113" s="257" t="s">
        <v>332</v>
      </c>
      <c r="C1113" s="167">
        <v>4</v>
      </c>
      <c r="D1113" s="168" t="s">
        <v>333</v>
      </c>
      <c r="E1113" s="30">
        <v>50000</v>
      </c>
      <c r="F1113" s="27">
        <f>E1113*C1113</f>
        <v>200000</v>
      </c>
      <c r="G1113" s="16"/>
    </row>
    <row r="1114" spans="1:7" x14ac:dyDescent="0.25">
      <c r="A1114" s="148"/>
      <c r="B1114" s="257" t="s">
        <v>413</v>
      </c>
      <c r="C1114" s="167">
        <v>20</v>
      </c>
      <c r="D1114" s="168" t="s">
        <v>423</v>
      </c>
      <c r="E1114" s="30">
        <v>20000</v>
      </c>
      <c r="F1114" s="27">
        <f>E1114*C1114</f>
        <v>400000</v>
      </c>
      <c r="G1114" s="16"/>
    </row>
    <row r="1115" spans="1:7" x14ac:dyDescent="0.25">
      <c r="A1115" s="148"/>
      <c r="B1115" s="257" t="s">
        <v>321</v>
      </c>
      <c r="C1115" s="167">
        <v>16</v>
      </c>
      <c r="D1115" s="168" t="s">
        <v>423</v>
      </c>
      <c r="E1115" s="30">
        <v>1000</v>
      </c>
      <c r="F1115" s="27">
        <f>E1115*C1115</f>
        <v>16000</v>
      </c>
      <c r="G1115" s="16"/>
    </row>
    <row r="1116" spans="1:7" x14ac:dyDescent="0.25">
      <c r="A1116" s="162"/>
      <c r="B1116" s="257" t="s">
        <v>424</v>
      </c>
      <c r="C1116" s="167">
        <v>4</v>
      </c>
      <c r="D1116" s="168" t="s">
        <v>336</v>
      </c>
      <c r="E1116" s="30">
        <v>10000</v>
      </c>
      <c r="F1116" s="27">
        <f>E1116*C1116</f>
        <v>40000</v>
      </c>
      <c r="G1116" s="16"/>
    </row>
    <row r="1117" spans="1:7" x14ac:dyDescent="0.25">
      <c r="A1117" s="162"/>
      <c r="B1117" s="257"/>
      <c r="C1117" s="167"/>
      <c r="D1117" s="168"/>
      <c r="E1117" s="30"/>
      <c r="F1117" s="27"/>
      <c r="G1117" s="208"/>
    </row>
    <row r="1118" spans="1:7" x14ac:dyDescent="0.25">
      <c r="A1118" s="148" t="s">
        <v>414</v>
      </c>
      <c r="B1118" s="257" t="s">
        <v>415</v>
      </c>
      <c r="C1118" s="167"/>
      <c r="D1118" s="168"/>
      <c r="E1118" s="30"/>
      <c r="F1118" s="27"/>
      <c r="G1118" s="256"/>
    </row>
    <row r="1119" spans="1:7" x14ac:dyDescent="0.25">
      <c r="A1119" s="148" t="s">
        <v>416</v>
      </c>
      <c r="B1119" s="257" t="s">
        <v>393</v>
      </c>
      <c r="C1119" s="167"/>
      <c r="D1119" s="168"/>
      <c r="E1119" s="30"/>
      <c r="F1119" s="27"/>
      <c r="G1119" s="256"/>
    </row>
    <row r="1120" spans="1:7" x14ac:dyDescent="0.25">
      <c r="A1120" s="148"/>
      <c r="B1120" s="257" t="s">
        <v>417</v>
      </c>
      <c r="C1120" s="167">
        <v>4</v>
      </c>
      <c r="D1120" s="168" t="s">
        <v>152</v>
      </c>
      <c r="E1120" s="30">
        <v>100000</v>
      </c>
      <c r="F1120" s="27">
        <f>E1120*C1120</f>
        <v>400000</v>
      </c>
      <c r="G1120" s="16"/>
    </row>
    <row r="1121" spans="1:11" x14ac:dyDescent="0.25">
      <c r="A1121" s="148"/>
      <c r="B1121" s="257"/>
      <c r="C1121" s="167"/>
      <c r="D1121" s="168"/>
      <c r="E1121" s="30"/>
      <c r="F1121" s="27"/>
      <c r="G1121" s="208"/>
    </row>
    <row r="1122" spans="1:11" ht="24" x14ac:dyDescent="0.25">
      <c r="A1122" s="148" t="s">
        <v>418</v>
      </c>
      <c r="B1122" s="257" t="s">
        <v>419</v>
      </c>
      <c r="C1122" s="167"/>
      <c r="D1122" s="168"/>
      <c r="E1122" s="30"/>
      <c r="F1122" s="27"/>
      <c r="G1122" s="256"/>
    </row>
    <row r="1123" spans="1:11" x14ac:dyDescent="0.25">
      <c r="A1123" s="148" t="s">
        <v>420</v>
      </c>
      <c r="B1123" s="257" t="s">
        <v>425</v>
      </c>
      <c r="C1123" s="167"/>
      <c r="D1123" s="168"/>
      <c r="E1123" s="30"/>
      <c r="F1123" s="27"/>
      <c r="G1123" s="256"/>
    </row>
    <row r="1124" spans="1:11" x14ac:dyDescent="0.25">
      <c r="A1124" s="148"/>
      <c r="B1124" s="257" t="s">
        <v>1705</v>
      </c>
      <c r="C1124" s="167">
        <v>320</v>
      </c>
      <c r="D1124" s="168" t="s">
        <v>315</v>
      </c>
      <c r="E1124" s="30">
        <v>50000</v>
      </c>
      <c r="F1124" s="27">
        <f>E1124*C1124</f>
        <v>16000000</v>
      </c>
      <c r="G1124" s="16"/>
    </row>
    <row r="1125" spans="1:11" x14ac:dyDescent="0.25">
      <c r="A1125" s="269"/>
      <c r="B1125" s="4"/>
      <c r="C1125" s="236"/>
      <c r="D1125" s="168"/>
      <c r="E1125" s="22"/>
      <c r="F1125" s="31"/>
      <c r="G1125" s="16"/>
    </row>
    <row r="1126" spans="1:11" x14ac:dyDescent="0.25">
      <c r="A1126" s="328"/>
      <c r="B1126" s="1805" t="s">
        <v>27</v>
      </c>
      <c r="C1126" s="1805"/>
      <c r="D1126" s="1805"/>
      <c r="E1126" s="1806"/>
      <c r="F1126" s="12">
        <f>SUM(F1106:F1125)</f>
        <v>41416000</v>
      </c>
      <c r="G1126" s="16" t="s">
        <v>1682</v>
      </c>
      <c r="J1126" s="286">
        <f>F1126</f>
        <v>41416000</v>
      </c>
      <c r="K1126" s="286"/>
    </row>
    <row r="1128" spans="1:11" x14ac:dyDescent="0.25">
      <c r="A1128" s="1807" t="s">
        <v>614</v>
      </c>
      <c r="B1128" s="1807"/>
      <c r="C1128" s="5" t="s">
        <v>28</v>
      </c>
      <c r="D1128" s="1808" t="s">
        <v>1698</v>
      </c>
      <c r="E1128" s="1808"/>
      <c r="F1128" s="1808"/>
      <c r="G1128" s="5"/>
    </row>
    <row r="1129" spans="1:11" x14ac:dyDescent="0.25">
      <c r="A1129" s="1807" t="s">
        <v>29</v>
      </c>
      <c r="B1129" s="1807"/>
      <c r="C1129" s="5"/>
      <c r="D1129" s="1809" t="s">
        <v>2994</v>
      </c>
      <c r="E1129" s="1809"/>
      <c r="F1129" s="1809"/>
      <c r="G1129" s="5"/>
    </row>
    <row r="1130" spans="1:11" x14ac:dyDescent="0.25">
      <c r="A1130" s="1"/>
      <c r="B1130" s="3"/>
      <c r="C1130" s="5"/>
      <c r="D1130" s="7"/>
      <c r="E1130" s="17"/>
      <c r="F1130" s="17"/>
      <c r="G1130" s="5"/>
    </row>
    <row r="1131" spans="1:11" x14ac:dyDescent="0.25">
      <c r="A1131" s="1"/>
      <c r="B1131" s="3"/>
      <c r="C1131" s="5"/>
      <c r="D1131" s="7"/>
      <c r="E1131" s="17"/>
      <c r="F1131" s="17"/>
      <c r="G1131" s="5"/>
    </row>
    <row r="1132" spans="1:11" x14ac:dyDescent="0.25">
      <c r="A1132" s="1807"/>
      <c r="B1132" s="1807"/>
      <c r="C1132" s="5"/>
      <c r="D1132" s="7"/>
      <c r="E1132" s="1807"/>
      <c r="F1132" s="1807"/>
      <c r="G1132" s="5"/>
    </row>
    <row r="1133" spans="1:11" x14ac:dyDescent="0.25">
      <c r="A1133" s="1807" t="s">
        <v>30</v>
      </c>
      <c r="B1133" s="1807"/>
      <c r="C1133" s="5"/>
      <c r="D1133" s="1807" t="s">
        <v>2995</v>
      </c>
      <c r="E1133" s="1807"/>
      <c r="F1133" s="1807"/>
      <c r="G1133" s="5"/>
    </row>
    <row r="1137" spans="1:7" x14ac:dyDescent="0.25">
      <c r="A1137" s="1800" t="s">
        <v>0</v>
      </c>
      <c r="B1137" s="1800"/>
      <c r="C1137" s="1800"/>
      <c r="D1137" s="1800"/>
      <c r="E1137" s="1800"/>
      <c r="F1137" s="1800"/>
      <c r="G1137" s="162"/>
    </row>
    <row r="1138" spans="1:7" x14ac:dyDescent="0.25">
      <c r="A1138" s="1800" t="s">
        <v>1</v>
      </c>
      <c r="B1138" s="1800"/>
      <c r="C1138" s="1800"/>
      <c r="D1138" s="1800"/>
      <c r="E1138" s="1800"/>
      <c r="F1138" s="1800"/>
      <c r="G1138" s="162"/>
    </row>
    <row r="1139" spans="1:7" x14ac:dyDescent="0.25">
      <c r="A1139" s="1800" t="s">
        <v>1697</v>
      </c>
      <c r="B1139" s="1800"/>
      <c r="C1139" s="1800"/>
      <c r="D1139" s="1800"/>
      <c r="E1139" s="1800"/>
      <c r="F1139" s="1800"/>
      <c r="G1139" s="162"/>
    </row>
    <row r="1140" spans="1:7" x14ac:dyDescent="0.25">
      <c r="A1140" s="138"/>
      <c r="B1140" s="138"/>
      <c r="C1140" s="138"/>
      <c r="D1140" s="138"/>
      <c r="E1140" s="138"/>
      <c r="F1140" s="138"/>
      <c r="G1140" s="162"/>
    </row>
    <row r="1141" spans="1:7" ht="25.5" x14ac:dyDescent="0.25">
      <c r="A1141" s="304" t="s">
        <v>296</v>
      </c>
      <c r="B1141" s="297" t="s">
        <v>3</v>
      </c>
      <c r="C1141" s="304"/>
      <c r="D1141" s="7"/>
      <c r="E1141" s="8"/>
      <c r="F1141" s="13"/>
      <c r="G1141" s="5"/>
    </row>
    <row r="1142" spans="1:7" ht="38.25" x14ac:dyDescent="0.25">
      <c r="A1142" s="304" t="s">
        <v>297</v>
      </c>
      <c r="B1142" s="297" t="s">
        <v>426</v>
      </c>
      <c r="C1142" s="304"/>
      <c r="D1142" s="7"/>
      <c r="E1142" s="23" t="s">
        <v>6</v>
      </c>
      <c r="F1142" s="13"/>
      <c r="G1142" s="5"/>
    </row>
    <row r="1143" spans="1:7" ht="25.5" x14ac:dyDescent="0.25">
      <c r="A1143" s="306" t="s">
        <v>298</v>
      </c>
      <c r="B1143" s="306" t="s">
        <v>427</v>
      </c>
      <c r="C1143" s="306"/>
      <c r="D1143" s="7"/>
      <c r="E1143" s="10" t="s">
        <v>9</v>
      </c>
      <c r="F1143" s="15"/>
      <c r="G1143" s="5"/>
    </row>
    <row r="1144" spans="1:7" x14ac:dyDescent="0.25">
      <c r="A1144" s="298" t="s">
        <v>62</v>
      </c>
      <c r="B1144" s="298" t="s">
        <v>63</v>
      </c>
      <c r="C1144" s="298"/>
      <c r="D1144" s="7"/>
      <c r="E1144" s="8"/>
      <c r="F1144" s="13"/>
      <c r="G1144" s="5"/>
    </row>
    <row r="1145" spans="1:7" x14ac:dyDescent="0.25">
      <c r="A1145" s="298" t="s">
        <v>64</v>
      </c>
      <c r="B1145" s="298" t="s">
        <v>65</v>
      </c>
      <c r="C1145" s="298"/>
      <c r="D1145" s="7"/>
      <c r="E1145" s="8"/>
      <c r="F1145" s="13"/>
      <c r="G1145" s="5"/>
    </row>
    <row r="1146" spans="1:7" ht="23.25" customHeight="1" x14ac:dyDescent="0.25">
      <c r="A1146" s="140"/>
      <c r="B1146" s="3"/>
      <c r="C1146" s="5"/>
      <c r="D1146" s="7"/>
      <c r="E1146" s="8"/>
      <c r="F1146" s="13"/>
      <c r="G1146" s="5"/>
    </row>
    <row r="1147" spans="1:7" ht="24" x14ac:dyDescent="0.25">
      <c r="A1147" s="146" t="s">
        <v>31</v>
      </c>
      <c r="B1147" s="144" t="s">
        <v>32</v>
      </c>
      <c r="C1147" s="1801" t="s">
        <v>13</v>
      </c>
      <c r="D1147" s="1802"/>
      <c r="E1147" s="144" t="s">
        <v>33</v>
      </c>
      <c r="F1147" s="152" t="s">
        <v>34</v>
      </c>
      <c r="G1147" s="146" t="s">
        <v>35</v>
      </c>
    </row>
    <row r="1148" spans="1:7" x14ac:dyDescent="0.25">
      <c r="A1148" s="145">
        <v>1</v>
      </c>
      <c r="B1148" s="145">
        <v>2</v>
      </c>
      <c r="C1148" s="1803">
        <v>3</v>
      </c>
      <c r="D1148" s="1803"/>
      <c r="E1148" s="18">
        <v>4</v>
      </c>
      <c r="F1148" s="147">
        <v>5</v>
      </c>
      <c r="G1148" s="147">
        <v>6</v>
      </c>
    </row>
    <row r="1149" spans="1:7" x14ac:dyDescent="0.25">
      <c r="A1149" s="148" t="s">
        <v>428</v>
      </c>
      <c r="B1149" s="257" t="s">
        <v>323</v>
      </c>
      <c r="C1149" s="167"/>
      <c r="D1149" s="168"/>
      <c r="E1149" s="146"/>
      <c r="F1149" s="152"/>
      <c r="G1149" s="256"/>
    </row>
    <row r="1150" spans="1:7" x14ac:dyDescent="0.25">
      <c r="A1150" s="148" t="s">
        <v>429</v>
      </c>
      <c r="B1150" s="257" t="s">
        <v>88</v>
      </c>
      <c r="C1150" s="167"/>
      <c r="D1150" s="168"/>
      <c r="E1150" s="146"/>
      <c r="F1150" s="152"/>
      <c r="G1150" s="256"/>
    </row>
    <row r="1151" spans="1:7" ht="24" x14ac:dyDescent="0.25">
      <c r="A1151" s="148" t="s">
        <v>430</v>
      </c>
      <c r="B1151" s="257" t="s">
        <v>326</v>
      </c>
      <c r="C1151" s="167"/>
      <c r="D1151" s="168"/>
      <c r="E1151" s="30"/>
      <c r="F1151" s="27"/>
      <c r="G1151" s="256"/>
    </row>
    <row r="1152" spans="1:7" x14ac:dyDescent="0.25">
      <c r="A1152" s="148"/>
      <c r="B1152" s="257" t="s">
        <v>328</v>
      </c>
      <c r="C1152" s="167">
        <v>4</v>
      </c>
      <c r="D1152" s="168" t="s">
        <v>123</v>
      </c>
      <c r="E1152" s="30">
        <v>90000</v>
      </c>
      <c r="F1152" s="27">
        <f>E1152*C1152</f>
        <v>360000</v>
      </c>
      <c r="G1152" s="16"/>
    </row>
    <row r="1153" spans="1:7" x14ac:dyDescent="0.25">
      <c r="A1153" s="229"/>
      <c r="B1153" s="257"/>
      <c r="C1153" s="167"/>
      <c r="D1153" s="168"/>
      <c r="E1153" s="30"/>
      <c r="F1153" s="27"/>
      <c r="G1153" s="208"/>
    </row>
    <row r="1154" spans="1:7" ht="36" x14ac:dyDescent="0.25">
      <c r="A1154" s="148" t="s">
        <v>431</v>
      </c>
      <c r="B1154" s="257" t="s">
        <v>329</v>
      </c>
      <c r="C1154" s="167"/>
      <c r="D1154" s="168"/>
      <c r="E1154" s="30"/>
      <c r="F1154" s="27"/>
      <c r="G1154" s="256"/>
    </row>
    <row r="1155" spans="1:7" x14ac:dyDescent="0.25">
      <c r="A1155" s="229"/>
      <c r="B1155" s="257" t="s">
        <v>1706</v>
      </c>
      <c r="C1155" s="167">
        <v>320</v>
      </c>
      <c r="D1155" s="168" t="s">
        <v>315</v>
      </c>
      <c r="E1155" s="30">
        <v>75000</v>
      </c>
      <c r="F1155" s="27">
        <f>E1155*C1155</f>
        <v>24000000</v>
      </c>
      <c r="G1155" s="16"/>
    </row>
    <row r="1156" spans="1:7" x14ac:dyDescent="0.25">
      <c r="A1156" s="148"/>
      <c r="B1156" s="257"/>
      <c r="C1156" s="167"/>
      <c r="D1156" s="168"/>
      <c r="E1156" s="30"/>
      <c r="F1156" s="27"/>
      <c r="G1156" s="208"/>
    </row>
    <row r="1157" spans="1:7" x14ac:dyDescent="0.25">
      <c r="A1157" s="148" t="s">
        <v>432</v>
      </c>
      <c r="B1157" s="257" t="s">
        <v>331</v>
      </c>
      <c r="C1157" s="167"/>
      <c r="D1157" s="168"/>
      <c r="E1157" s="30"/>
      <c r="F1157" s="27"/>
      <c r="G1157" s="256"/>
    </row>
    <row r="1158" spans="1:7" x14ac:dyDescent="0.25">
      <c r="A1158" s="148"/>
      <c r="B1158" s="257" t="s">
        <v>332</v>
      </c>
      <c r="C1158" s="167">
        <v>4</v>
      </c>
      <c r="D1158" s="168" t="s">
        <v>333</v>
      </c>
      <c r="E1158" s="30">
        <v>50000</v>
      </c>
      <c r="F1158" s="27">
        <f>E1158*C1158</f>
        <v>200000</v>
      </c>
      <c r="G1158" s="16"/>
    </row>
    <row r="1159" spans="1:7" x14ac:dyDescent="0.25">
      <c r="A1159" s="229"/>
      <c r="B1159" s="257" t="s">
        <v>321</v>
      </c>
      <c r="C1159" s="167">
        <v>12</v>
      </c>
      <c r="D1159" s="168" t="s">
        <v>186</v>
      </c>
      <c r="E1159" s="30">
        <v>1000</v>
      </c>
      <c r="F1159" s="27">
        <f>E1159*C1159</f>
        <v>12000</v>
      </c>
      <c r="G1159" s="16"/>
    </row>
    <row r="1160" spans="1:7" x14ac:dyDescent="0.25">
      <c r="A1160" s="229"/>
      <c r="B1160" s="257" t="s">
        <v>413</v>
      </c>
      <c r="C1160" s="167">
        <v>20</v>
      </c>
      <c r="D1160" s="168" t="s">
        <v>186</v>
      </c>
      <c r="E1160" s="30">
        <v>20000</v>
      </c>
      <c r="F1160" s="27">
        <f>E1160*C1160</f>
        <v>400000</v>
      </c>
      <c r="G1160" s="16"/>
    </row>
    <row r="1161" spans="1:7" x14ac:dyDescent="0.25">
      <c r="A1161" s="229"/>
      <c r="B1161" s="257" t="s">
        <v>335</v>
      </c>
      <c r="C1161" s="167">
        <v>4</v>
      </c>
      <c r="D1161" s="168" t="s">
        <v>336</v>
      </c>
      <c r="E1161" s="30">
        <v>10000</v>
      </c>
      <c r="F1161" s="27">
        <f>E1161*C1161</f>
        <v>40000</v>
      </c>
      <c r="G1161" s="16"/>
    </row>
    <row r="1162" spans="1:7" x14ac:dyDescent="0.25">
      <c r="A1162" s="148"/>
      <c r="B1162" s="257"/>
      <c r="C1162" s="167"/>
      <c r="D1162" s="168"/>
      <c r="E1162" s="30"/>
      <c r="F1162" s="27"/>
      <c r="G1162" s="208"/>
    </row>
    <row r="1163" spans="1:7" x14ac:dyDescent="0.25">
      <c r="A1163" s="148" t="s">
        <v>433</v>
      </c>
      <c r="B1163" s="257" t="s">
        <v>415</v>
      </c>
      <c r="C1163" s="167"/>
      <c r="D1163" s="168"/>
      <c r="E1163" s="30"/>
      <c r="F1163" s="27"/>
      <c r="G1163" s="256"/>
    </row>
    <row r="1164" spans="1:7" x14ac:dyDescent="0.25">
      <c r="A1164" s="148" t="s">
        <v>434</v>
      </c>
      <c r="B1164" s="257" t="s">
        <v>393</v>
      </c>
      <c r="C1164" s="167"/>
      <c r="D1164" s="168"/>
      <c r="E1164" s="30"/>
      <c r="F1164" s="27"/>
      <c r="G1164" s="256"/>
    </row>
    <row r="1165" spans="1:7" x14ac:dyDescent="0.25">
      <c r="A1165" s="148"/>
      <c r="B1165" s="257" t="s">
        <v>417</v>
      </c>
      <c r="C1165" s="167">
        <v>4</v>
      </c>
      <c r="D1165" s="168" t="s">
        <v>152</v>
      </c>
      <c r="E1165" s="30">
        <v>100000</v>
      </c>
      <c r="F1165" s="27">
        <f>E1165*C1165</f>
        <v>400000</v>
      </c>
      <c r="G1165" s="16"/>
    </row>
    <row r="1166" spans="1:7" x14ac:dyDescent="0.25">
      <c r="A1166" s="148"/>
      <c r="B1166" s="257"/>
      <c r="C1166" s="167"/>
      <c r="D1166" s="168"/>
      <c r="E1166" s="30"/>
      <c r="F1166" s="27"/>
      <c r="G1166" s="208"/>
    </row>
    <row r="1167" spans="1:7" ht="24" x14ac:dyDescent="0.25">
      <c r="A1167" s="148" t="s">
        <v>435</v>
      </c>
      <c r="B1167" s="257" t="s">
        <v>419</v>
      </c>
      <c r="C1167" s="167"/>
      <c r="D1167" s="168"/>
      <c r="E1167" s="30"/>
      <c r="F1167" s="27"/>
      <c r="G1167" s="256"/>
    </row>
    <row r="1168" spans="1:7" x14ac:dyDescent="0.25">
      <c r="A1168" s="148" t="s">
        <v>436</v>
      </c>
      <c r="B1168" s="257" t="s">
        <v>425</v>
      </c>
      <c r="C1168" s="167"/>
      <c r="D1168" s="168"/>
      <c r="E1168" s="30"/>
      <c r="F1168" s="27"/>
      <c r="G1168" s="256"/>
    </row>
    <row r="1169" spans="1:11" x14ac:dyDescent="0.25">
      <c r="A1169" s="148"/>
      <c r="B1169" s="257" t="s">
        <v>1707</v>
      </c>
      <c r="C1169" s="167">
        <v>320</v>
      </c>
      <c r="D1169" s="168" t="s">
        <v>315</v>
      </c>
      <c r="E1169" s="30">
        <v>50000</v>
      </c>
      <c r="F1169" s="27">
        <f>E1169*C1169</f>
        <v>16000000</v>
      </c>
      <c r="G1169" s="16"/>
    </row>
    <row r="1170" spans="1:11" x14ac:dyDescent="0.25">
      <c r="A1170" s="269"/>
      <c r="B1170" s="4"/>
      <c r="C1170" s="236"/>
      <c r="D1170" s="168"/>
      <c r="E1170" s="22"/>
      <c r="F1170" s="31"/>
      <c r="G1170" s="16"/>
    </row>
    <row r="1171" spans="1:11" x14ac:dyDescent="0.25">
      <c r="A1171" s="328"/>
      <c r="B1171" s="1805" t="s">
        <v>27</v>
      </c>
      <c r="C1171" s="1805"/>
      <c r="D1171" s="1805"/>
      <c r="E1171" s="1806"/>
      <c r="F1171" s="12">
        <f>SUM(F1151:F1170)</f>
        <v>41412000</v>
      </c>
      <c r="G1171" s="16" t="s">
        <v>1682</v>
      </c>
      <c r="J1171" s="286">
        <f>F1171</f>
        <v>41412000</v>
      </c>
      <c r="K1171" s="286"/>
    </row>
    <row r="1172" spans="1:11" x14ac:dyDescent="0.25">
      <c r="F1172" s="56"/>
    </row>
    <row r="1173" spans="1:11" x14ac:dyDescent="0.25">
      <c r="A1173" s="1807" t="s">
        <v>614</v>
      </c>
      <c r="B1173" s="1807"/>
      <c r="C1173" s="5" t="s">
        <v>28</v>
      </c>
      <c r="D1173" s="1808" t="s">
        <v>1698</v>
      </c>
      <c r="E1173" s="1808"/>
      <c r="F1173" s="1808"/>
      <c r="G1173" s="5"/>
    </row>
    <row r="1174" spans="1:11" x14ac:dyDescent="0.25">
      <c r="A1174" s="1807" t="s">
        <v>29</v>
      </c>
      <c r="B1174" s="1807"/>
      <c r="C1174" s="5"/>
      <c r="D1174" s="1809" t="s">
        <v>2994</v>
      </c>
      <c r="E1174" s="1809"/>
      <c r="F1174" s="1809"/>
      <c r="G1174" s="5"/>
    </row>
    <row r="1175" spans="1:11" x14ac:dyDescent="0.25">
      <c r="A1175" s="1"/>
      <c r="B1175" s="3"/>
      <c r="C1175" s="5"/>
      <c r="D1175" s="7"/>
      <c r="E1175" s="17"/>
      <c r="F1175" s="17"/>
      <c r="G1175" s="5"/>
    </row>
    <row r="1176" spans="1:11" x14ac:dyDescent="0.25">
      <c r="A1176" s="1"/>
      <c r="B1176" s="3"/>
      <c r="C1176" s="5"/>
      <c r="D1176" s="7"/>
      <c r="E1176" s="17"/>
      <c r="F1176" s="17"/>
      <c r="G1176" s="5"/>
    </row>
    <row r="1177" spans="1:11" x14ac:dyDescent="0.25">
      <c r="A1177" s="1807"/>
      <c r="B1177" s="1807"/>
      <c r="C1177" s="5"/>
      <c r="D1177" s="7"/>
      <c r="E1177" s="1807"/>
      <c r="F1177" s="1807"/>
      <c r="G1177" s="5"/>
    </row>
    <row r="1178" spans="1:11" x14ac:dyDescent="0.25">
      <c r="A1178" s="1807" t="s">
        <v>30</v>
      </c>
      <c r="B1178" s="1807"/>
      <c r="C1178" s="5"/>
      <c r="D1178" s="1807" t="s">
        <v>2995</v>
      </c>
      <c r="E1178" s="1807"/>
      <c r="F1178" s="1807"/>
      <c r="G1178" s="5"/>
    </row>
    <row r="1179" spans="1:11" x14ac:dyDescent="0.25">
      <c r="A1179" s="1841" t="s">
        <v>0</v>
      </c>
      <c r="B1179" s="1841"/>
      <c r="C1179" s="1841"/>
      <c r="D1179" s="1841"/>
      <c r="E1179" s="1841"/>
      <c r="F1179" s="1841"/>
      <c r="G1179" s="1160"/>
      <c r="H1179" s="56"/>
    </row>
    <row r="1180" spans="1:11" x14ac:dyDescent="0.25">
      <c r="A1180" s="1841" t="s">
        <v>1</v>
      </c>
      <c r="B1180" s="1841"/>
      <c r="C1180" s="1841"/>
      <c r="D1180" s="1841"/>
      <c r="E1180" s="1841"/>
      <c r="F1180" s="1841"/>
      <c r="G1180" s="1160"/>
      <c r="H1180" s="56"/>
    </row>
    <row r="1181" spans="1:11" x14ac:dyDescent="0.25">
      <c r="A1181" s="1841" t="s">
        <v>1697</v>
      </c>
      <c r="B1181" s="1841"/>
      <c r="C1181" s="1841"/>
      <c r="D1181" s="1841"/>
      <c r="E1181" s="1841"/>
      <c r="F1181" s="1841"/>
      <c r="G1181" s="1160"/>
      <c r="H1181" s="56"/>
    </row>
    <row r="1182" spans="1:11" x14ac:dyDescent="0.25">
      <c r="A1182" s="1217"/>
      <c r="B1182" s="1217"/>
      <c r="C1182" s="1217"/>
      <c r="D1182" s="1217"/>
      <c r="E1182" s="1217"/>
      <c r="F1182" s="1217"/>
      <c r="G1182" s="1160"/>
      <c r="H1182" s="56"/>
    </row>
    <row r="1183" spans="1:11" x14ac:dyDescent="0.25">
      <c r="A1183" s="1422" t="s">
        <v>296</v>
      </c>
      <c r="B1183" s="1423" t="s">
        <v>59</v>
      </c>
      <c r="C1183" s="1422"/>
      <c r="D1183" s="1422"/>
      <c r="E1183" s="1163" t="s">
        <v>6</v>
      </c>
      <c r="F1183" s="1424"/>
      <c r="G1183" s="1316"/>
      <c r="H1183" s="56"/>
    </row>
    <row r="1184" spans="1:11" ht="38.25" x14ac:dyDescent="0.25">
      <c r="A1184" s="1422" t="s">
        <v>297</v>
      </c>
      <c r="B1184" s="1423" t="s">
        <v>401</v>
      </c>
      <c r="C1184" s="1422"/>
      <c r="D1184" s="1422"/>
      <c r="E1184" s="1425" t="s">
        <v>9</v>
      </c>
      <c r="F1184" s="1426"/>
      <c r="G1184" s="1316"/>
      <c r="H1184" s="56"/>
    </row>
    <row r="1185" spans="1:8" ht="25.5" x14ac:dyDescent="0.25">
      <c r="A1185" s="1427" t="s">
        <v>298</v>
      </c>
      <c r="B1185" s="1427" t="s">
        <v>2801</v>
      </c>
      <c r="C1185" s="1427"/>
      <c r="D1185" s="1427"/>
      <c r="E1185" s="1427"/>
      <c r="F1185" s="1427"/>
      <c r="G1185" s="1316"/>
      <c r="H1185" s="56"/>
    </row>
    <row r="1186" spans="1:8" x14ac:dyDescent="0.25">
      <c r="A1186" s="1428" t="s">
        <v>62</v>
      </c>
      <c r="B1186" s="1428" t="s">
        <v>63</v>
      </c>
      <c r="C1186" s="1428"/>
      <c r="D1186" s="1161"/>
      <c r="E1186" s="1161"/>
      <c r="F1186" s="1161"/>
      <c r="G1186" s="1316"/>
      <c r="H1186" s="56"/>
    </row>
    <row r="1187" spans="1:8" x14ac:dyDescent="0.25">
      <c r="A1187" s="1428" t="s">
        <v>64</v>
      </c>
      <c r="B1187" s="1428" t="s">
        <v>65</v>
      </c>
      <c r="C1187" s="1428"/>
      <c r="D1187" s="1842"/>
      <c r="E1187" s="1842"/>
      <c r="F1187" s="1161"/>
      <c r="G1187" s="1316"/>
      <c r="H1187" s="56"/>
    </row>
    <row r="1188" spans="1:8" x14ac:dyDescent="0.25">
      <c r="A1188" s="1189"/>
      <c r="B1188" s="1189"/>
      <c r="C1188" s="1189"/>
      <c r="D1188" s="1189"/>
      <c r="E1188" s="1189"/>
      <c r="F1188" s="1189"/>
      <c r="G1188" s="1316"/>
      <c r="H1188" s="56"/>
    </row>
    <row r="1189" spans="1:8" ht="24" x14ac:dyDescent="0.25">
      <c r="A1189" s="1165" t="s">
        <v>300</v>
      </c>
      <c r="B1189" s="1165" t="s">
        <v>12</v>
      </c>
      <c r="C1189" s="1843" t="s">
        <v>13</v>
      </c>
      <c r="D1189" s="1843"/>
      <c r="E1189" s="1200" t="s">
        <v>14</v>
      </c>
      <c r="F1189" s="1166" t="s">
        <v>15</v>
      </c>
      <c r="G1189" s="1429" t="s">
        <v>301</v>
      </c>
      <c r="H1189" s="56"/>
    </row>
    <row r="1190" spans="1:8" x14ac:dyDescent="0.25">
      <c r="A1190" s="1165">
        <v>1</v>
      </c>
      <c r="B1190" s="1165">
        <v>2</v>
      </c>
      <c r="C1190" s="1845">
        <v>3</v>
      </c>
      <c r="D1190" s="1846"/>
      <c r="E1190" s="1430">
        <v>4</v>
      </c>
      <c r="F1190" s="1166">
        <v>5</v>
      </c>
      <c r="G1190" s="1431">
        <v>6</v>
      </c>
      <c r="H1190" s="56"/>
    </row>
    <row r="1191" spans="1:8" x14ac:dyDescent="0.25">
      <c r="A1191" s="1206" t="s">
        <v>620</v>
      </c>
      <c r="B1191" s="1207" t="s">
        <v>323</v>
      </c>
      <c r="C1191" s="1170"/>
      <c r="D1191" s="1171"/>
      <c r="E1191" s="1169"/>
      <c r="F1191" s="1209"/>
      <c r="G1191" s="1374"/>
      <c r="H1191" s="56"/>
    </row>
    <row r="1192" spans="1:8" x14ac:dyDescent="0.25">
      <c r="A1192" s="1206" t="s">
        <v>621</v>
      </c>
      <c r="B1192" s="1207" t="s">
        <v>88</v>
      </c>
      <c r="C1192" s="1170"/>
      <c r="D1192" s="1171"/>
      <c r="E1192" s="1169"/>
      <c r="F1192" s="1209"/>
      <c r="G1192" s="1374"/>
      <c r="H1192" s="56"/>
    </row>
    <row r="1193" spans="1:8" ht="31.5" customHeight="1" x14ac:dyDescent="0.25">
      <c r="A1193" s="1206" t="s">
        <v>622</v>
      </c>
      <c r="B1193" s="1207" t="s">
        <v>326</v>
      </c>
      <c r="C1193" s="1170"/>
      <c r="D1193" s="1171"/>
      <c r="E1193" s="1215"/>
      <c r="F1193" s="1432"/>
      <c r="G1193" s="1374"/>
      <c r="H1193" s="56"/>
    </row>
    <row r="1194" spans="1:8" x14ac:dyDescent="0.25">
      <c r="A1194" s="1206"/>
      <c r="B1194" s="1207" t="s">
        <v>623</v>
      </c>
      <c r="C1194" s="1170">
        <v>4</v>
      </c>
      <c r="D1194" s="1171" t="s">
        <v>123</v>
      </c>
      <c r="E1194" s="1215">
        <v>450000</v>
      </c>
      <c r="F1194" s="1432">
        <f>E1194*C1194</f>
        <v>1800000</v>
      </c>
      <c r="G1194" s="1374"/>
      <c r="H1194" s="56"/>
    </row>
    <row r="1195" spans="1:8" x14ac:dyDescent="0.25">
      <c r="A1195" s="1206"/>
      <c r="B1195" s="1207"/>
      <c r="C1195" s="1170"/>
      <c r="D1195" s="1171"/>
      <c r="E1195" s="1215"/>
      <c r="F1195" s="1432"/>
      <c r="G1195" s="1374"/>
      <c r="H1195" s="56"/>
    </row>
    <row r="1196" spans="1:8" ht="36" x14ac:dyDescent="0.25">
      <c r="A1196" s="1206" t="s">
        <v>624</v>
      </c>
      <c r="B1196" s="1207" t="s">
        <v>329</v>
      </c>
      <c r="C1196" s="1170"/>
      <c r="D1196" s="1171"/>
      <c r="E1196" s="1215"/>
      <c r="F1196" s="1432"/>
      <c r="G1196" s="1374"/>
      <c r="H1196" s="56"/>
    </row>
    <row r="1197" spans="1:8" x14ac:dyDescent="0.25">
      <c r="A1197" s="1206"/>
      <c r="B1197" s="1207" t="s">
        <v>625</v>
      </c>
      <c r="C1197" s="1170">
        <f>12*11</f>
        <v>132</v>
      </c>
      <c r="D1197" s="1171" t="s">
        <v>315</v>
      </c>
      <c r="E1197" s="1215">
        <v>15000</v>
      </c>
      <c r="F1197" s="1215">
        <f>E1197*C1197</f>
        <v>1980000</v>
      </c>
      <c r="G1197" s="1374"/>
      <c r="H1197" s="56"/>
    </row>
    <row r="1198" spans="1:8" x14ac:dyDescent="0.25">
      <c r="A1198" s="1206"/>
      <c r="B1198" s="1207"/>
      <c r="C1198" s="1170"/>
      <c r="D1198" s="1171"/>
      <c r="E1198" s="1215"/>
      <c r="F1198" s="1432"/>
      <c r="G1198" s="1374"/>
      <c r="H1198" s="56"/>
    </row>
    <row r="1199" spans="1:8" x14ac:dyDescent="0.25">
      <c r="A1199" s="1206" t="s">
        <v>626</v>
      </c>
      <c r="B1199" s="1207" t="s">
        <v>340</v>
      </c>
      <c r="C1199" s="1170"/>
      <c r="D1199" s="1171"/>
      <c r="E1199" s="1215"/>
      <c r="F1199" s="1432"/>
      <c r="G1199" s="1374"/>
      <c r="H1199" s="56"/>
    </row>
    <row r="1200" spans="1:8" ht="24" x14ac:dyDescent="0.25">
      <c r="A1200" s="1206" t="s">
        <v>627</v>
      </c>
      <c r="B1200" s="1207" t="s">
        <v>628</v>
      </c>
      <c r="C1200" s="1170"/>
      <c r="D1200" s="1171"/>
      <c r="E1200" s="1215"/>
      <c r="F1200" s="1432"/>
      <c r="G1200" s="1374"/>
      <c r="H1200" s="56"/>
    </row>
    <row r="1201" spans="1:10" x14ac:dyDescent="0.25">
      <c r="A1201" s="1231"/>
      <c r="B1201" s="1207" t="s">
        <v>631</v>
      </c>
      <c r="C1201" s="1170"/>
      <c r="D1201" s="1171"/>
      <c r="E1201" s="1215"/>
      <c r="F1201" s="1432"/>
      <c r="G1201" s="1374"/>
      <c r="H1201" s="56"/>
    </row>
    <row r="1202" spans="1:10" x14ac:dyDescent="0.25">
      <c r="A1202" s="1177"/>
      <c r="B1202" s="1207" t="s">
        <v>214</v>
      </c>
      <c r="C1202" s="1170">
        <v>1</v>
      </c>
      <c r="D1202" s="1171" t="s">
        <v>22</v>
      </c>
      <c r="E1202" s="1215">
        <v>600000</v>
      </c>
      <c r="F1202" s="1432">
        <f t="shared" ref="F1202:F1204" si="20">E1202*C1202</f>
        <v>600000</v>
      </c>
      <c r="G1202" s="1374"/>
      <c r="H1202" s="56"/>
    </row>
    <row r="1203" spans="1:10" x14ac:dyDescent="0.25">
      <c r="A1203" s="1231"/>
      <c r="B1203" s="1207" t="s">
        <v>215</v>
      </c>
      <c r="C1203" s="1170">
        <v>1</v>
      </c>
      <c r="D1203" s="1171" t="s">
        <v>22</v>
      </c>
      <c r="E1203" s="1215">
        <v>500000</v>
      </c>
      <c r="F1203" s="1432">
        <f t="shared" si="20"/>
        <v>500000</v>
      </c>
      <c r="G1203" s="1374"/>
      <c r="H1203" s="56"/>
    </row>
    <row r="1204" spans="1:10" x14ac:dyDescent="0.25">
      <c r="A1204" s="1177"/>
      <c r="B1204" s="1207" t="s">
        <v>2802</v>
      </c>
      <c r="C1204" s="1170">
        <v>9</v>
      </c>
      <c r="D1204" s="1171" t="s">
        <v>22</v>
      </c>
      <c r="E1204" s="1215">
        <v>450000</v>
      </c>
      <c r="F1204" s="1432">
        <f t="shared" si="20"/>
        <v>4050000</v>
      </c>
      <c r="G1204" s="1374"/>
      <c r="H1204" s="56"/>
    </row>
    <row r="1205" spans="1:10" x14ac:dyDescent="0.25">
      <c r="A1205" s="1374"/>
      <c r="B1205" s="1183"/>
      <c r="C1205" s="1231"/>
      <c r="D1205" s="1169"/>
      <c r="E1205" s="1433"/>
      <c r="F1205" s="1434"/>
      <c r="G1205" s="1374"/>
      <c r="H1205" s="56"/>
    </row>
    <row r="1206" spans="1:10" x14ac:dyDescent="0.25">
      <c r="A1206" s="1374"/>
      <c r="B1206" s="1847" t="s">
        <v>27</v>
      </c>
      <c r="C1206" s="1847"/>
      <c r="D1206" s="1847"/>
      <c r="E1206" s="1847"/>
      <c r="F1206" s="1185">
        <f>SUM(F1191:F1205)</f>
        <v>8930000</v>
      </c>
      <c r="G1206" s="1374" t="s">
        <v>1682</v>
      </c>
      <c r="H1206" s="56"/>
      <c r="I1206" s="286"/>
      <c r="J1206" s="286"/>
    </row>
    <row r="1207" spans="1:10" x14ac:dyDescent="0.25">
      <c r="A1207" s="1840" t="s">
        <v>614</v>
      </c>
      <c r="B1207" s="1840"/>
      <c r="C1207" s="1161" t="s">
        <v>28</v>
      </c>
      <c r="D1207" s="1842" t="s">
        <v>1700</v>
      </c>
      <c r="E1207" s="1842"/>
      <c r="F1207" s="1842"/>
      <c r="G1207" s="1161"/>
    </row>
    <row r="1208" spans="1:10" x14ac:dyDescent="0.25">
      <c r="A1208" s="1840" t="s">
        <v>29</v>
      </c>
      <c r="B1208" s="1840"/>
      <c r="C1208" s="1161"/>
      <c r="D1208" s="1844" t="s">
        <v>1699</v>
      </c>
      <c r="E1208" s="1844"/>
      <c r="F1208" s="1844"/>
      <c r="G1208" s="1161"/>
    </row>
    <row r="1209" spans="1:10" x14ac:dyDescent="0.25">
      <c r="A1209" s="1188"/>
      <c r="B1209" s="1189"/>
      <c r="C1209" s="1161"/>
      <c r="D1209" s="1187"/>
      <c r="E1209" s="1162"/>
      <c r="F1209" s="1162"/>
      <c r="G1209" s="1161"/>
    </row>
    <row r="1210" spans="1:10" x14ac:dyDescent="0.25">
      <c r="A1210" s="1188"/>
      <c r="B1210" s="1189"/>
      <c r="C1210" s="1161"/>
      <c r="D1210" s="1187"/>
      <c r="E1210" s="1162"/>
      <c r="F1210" s="1162"/>
      <c r="G1210" s="1161"/>
    </row>
    <row r="1211" spans="1:10" x14ac:dyDescent="0.25">
      <c r="A1211" s="1840"/>
      <c r="B1211" s="1840"/>
      <c r="C1211" s="1161"/>
      <c r="D1211" s="1187"/>
      <c r="E1211" s="1840"/>
      <c r="F1211" s="1840"/>
      <c r="G1211" s="1161"/>
    </row>
    <row r="1212" spans="1:10" x14ac:dyDescent="0.25">
      <c r="A1212" s="1840" t="s">
        <v>30</v>
      </c>
      <c r="B1212" s="1840"/>
      <c r="C1212" s="1161"/>
      <c r="D1212" s="1840" t="s">
        <v>615</v>
      </c>
      <c r="E1212" s="1840"/>
      <c r="F1212" s="1840"/>
      <c r="G1212" s="1161"/>
    </row>
    <row r="1213" spans="1:10" x14ac:dyDescent="0.25">
      <c r="A1213" s="1800" t="s">
        <v>0</v>
      </c>
      <c r="B1213" s="1800"/>
      <c r="C1213" s="1800"/>
      <c r="D1213" s="1800"/>
      <c r="E1213" s="1800"/>
      <c r="F1213" s="1800"/>
      <c r="G1213" s="162"/>
      <c r="H1213" s="56"/>
    </row>
    <row r="1214" spans="1:10" x14ac:dyDescent="0.25">
      <c r="A1214" s="1800" t="s">
        <v>1</v>
      </c>
      <c r="B1214" s="1800"/>
      <c r="C1214" s="1800"/>
      <c r="D1214" s="1800"/>
      <c r="E1214" s="1800"/>
      <c r="F1214" s="1800"/>
      <c r="G1214" s="162"/>
      <c r="H1214" s="56"/>
    </row>
    <row r="1215" spans="1:10" x14ac:dyDescent="0.25">
      <c r="A1215" s="1800" t="s">
        <v>1697</v>
      </c>
      <c r="B1215" s="1800"/>
      <c r="C1215" s="1800"/>
      <c r="D1215" s="1800"/>
      <c r="E1215" s="1800"/>
      <c r="F1215" s="1800"/>
      <c r="G1215" s="162"/>
      <c r="H1215" s="56"/>
    </row>
    <row r="1216" spans="1:10" x14ac:dyDescent="0.25">
      <c r="A1216" s="138"/>
      <c r="B1216" s="138"/>
      <c r="C1216" s="138"/>
      <c r="D1216" s="138"/>
      <c r="E1216" s="138"/>
      <c r="F1216" s="138"/>
      <c r="G1216" s="162"/>
      <c r="H1216" s="56"/>
    </row>
    <row r="1217" spans="1:8" x14ac:dyDescent="0.25">
      <c r="A1217" s="304" t="s">
        <v>296</v>
      </c>
      <c r="B1217" s="297" t="s">
        <v>59</v>
      </c>
      <c r="C1217" s="304"/>
      <c r="D1217" s="304"/>
      <c r="E1217" s="23" t="s">
        <v>6</v>
      </c>
      <c r="F1217" s="13"/>
      <c r="H1217" s="56"/>
    </row>
    <row r="1218" spans="1:8" ht="38.25" x14ac:dyDescent="0.25">
      <c r="A1218" s="304" t="s">
        <v>297</v>
      </c>
      <c r="B1218" s="297" t="s">
        <v>401</v>
      </c>
      <c r="C1218" s="304"/>
      <c r="D1218" s="304"/>
      <c r="E1218" s="10" t="s">
        <v>9</v>
      </c>
      <c r="F1218" s="15"/>
      <c r="H1218" s="56"/>
    </row>
    <row r="1219" spans="1:8" ht="25.5" x14ac:dyDescent="0.25">
      <c r="A1219" s="306" t="s">
        <v>298</v>
      </c>
      <c r="B1219" s="306" t="s">
        <v>1708</v>
      </c>
      <c r="C1219" s="306"/>
      <c r="D1219" s="306"/>
      <c r="E1219" s="306"/>
      <c r="F1219" s="306"/>
      <c r="H1219" s="56"/>
    </row>
    <row r="1220" spans="1:8" x14ac:dyDescent="0.25">
      <c r="A1220" s="298" t="s">
        <v>62</v>
      </c>
      <c r="B1220" s="298" t="s">
        <v>63</v>
      </c>
      <c r="C1220" s="298"/>
      <c r="D1220" s="5"/>
      <c r="E1220" s="5"/>
      <c r="F1220" s="5"/>
      <c r="H1220" s="56"/>
    </row>
    <row r="1221" spans="1:8" x14ac:dyDescent="0.25">
      <c r="A1221" s="298" t="s">
        <v>64</v>
      </c>
      <c r="B1221" s="298" t="s">
        <v>65</v>
      </c>
      <c r="C1221" s="298"/>
      <c r="D1221" s="1808"/>
      <c r="E1221" s="1808"/>
      <c r="F1221" s="5"/>
      <c r="H1221" s="56"/>
    </row>
    <row r="1222" spans="1:8" x14ac:dyDescent="0.25">
      <c r="A1222" s="3"/>
      <c r="B1222" s="3"/>
      <c r="C1222" s="3"/>
      <c r="D1222" s="3"/>
      <c r="E1222" s="3"/>
      <c r="F1222" s="3"/>
      <c r="H1222" s="56"/>
    </row>
    <row r="1223" spans="1:8" ht="24" x14ac:dyDescent="0.25">
      <c r="A1223" s="144" t="s">
        <v>300</v>
      </c>
      <c r="B1223" s="144" t="s">
        <v>12</v>
      </c>
      <c r="C1223" s="1804" t="s">
        <v>13</v>
      </c>
      <c r="D1223" s="1804"/>
      <c r="E1223" s="11" t="s">
        <v>14</v>
      </c>
      <c r="F1223" s="165" t="s">
        <v>15</v>
      </c>
      <c r="G1223" s="267" t="s">
        <v>301</v>
      </c>
      <c r="H1223" s="56"/>
    </row>
    <row r="1224" spans="1:8" x14ac:dyDescent="0.25">
      <c r="A1224" s="144">
        <v>1</v>
      </c>
      <c r="B1224" s="144">
        <v>2</v>
      </c>
      <c r="C1224" s="1811">
        <v>3</v>
      </c>
      <c r="D1224" s="1812"/>
      <c r="E1224" s="33">
        <v>4</v>
      </c>
      <c r="F1224" s="165">
        <v>5</v>
      </c>
      <c r="G1224" s="268">
        <v>6</v>
      </c>
      <c r="H1224" s="56"/>
    </row>
    <row r="1225" spans="1:8" x14ac:dyDescent="0.25">
      <c r="A1225" s="148" t="s">
        <v>620</v>
      </c>
      <c r="B1225" s="257" t="s">
        <v>323</v>
      </c>
      <c r="C1225" s="167"/>
      <c r="D1225" s="168"/>
      <c r="E1225" s="146"/>
      <c r="F1225" s="152"/>
      <c r="G1225" s="32"/>
      <c r="H1225" s="56"/>
    </row>
    <row r="1226" spans="1:8" x14ac:dyDescent="0.25">
      <c r="A1226" s="148" t="s">
        <v>621</v>
      </c>
      <c r="B1226" s="257" t="s">
        <v>88</v>
      </c>
      <c r="C1226" s="167"/>
      <c r="D1226" s="168"/>
      <c r="E1226" s="146"/>
      <c r="F1226" s="152"/>
      <c r="G1226" s="32"/>
      <c r="H1226" s="56"/>
    </row>
    <row r="1227" spans="1:8" ht="31.5" customHeight="1" x14ac:dyDescent="0.25">
      <c r="A1227" s="148" t="s">
        <v>622</v>
      </c>
      <c r="B1227" s="257" t="s">
        <v>326</v>
      </c>
      <c r="C1227" s="167"/>
      <c r="D1227" s="168"/>
      <c r="E1227" s="30"/>
      <c r="F1227" s="27"/>
      <c r="G1227" s="32"/>
      <c r="H1227" s="56"/>
    </row>
    <row r="1228" spans="1:8" x14ac:dyDescent="0.25">
      <c r="A1228" s="148"/>
      <c r="B1228" s="257" t="s">
        <v>623</v>
      </c>
      <c r="C1228" s="167">
        <v>4</v>
      </c>
      <c r="D1228" s="168" t="s">
        <v>123</v>
      </c>
      <c r="E1228" s="30">
        <v>450000</v>
      </c>
      <c r="F1228" s="27">
        <f>E1228*C1228</f>
        <v>1800000</v>
      </c>
      <c r="G1228" s="32"/>
      <c r="H1228" s="56"/>
    </row>
    <row r="1229" spans="1:8" x14ac:dyDescent="0.25">
      <c r="A1229" s="148"/>
      <c r="B1229" s="257"/>
      <c r="C1229" s="167"/>
      <c r="D1229" s="168"/>
      <c r="E1229" s="30"/>
      <c r="F1229" s="27"/>
      <c r="G1229" s="32"/>
      <c r="H1229" s="56"/>
    </row>
    <row r="1230" spans="1:8" ht="36" x14ac:dyDescent="0.25">
      <c r="A1230" s="148" t="s">
        <v>624</v>
      </c>
      <c r="B1230" s="257" t="s">
        <v>329</v>
      </c>
      <c r="C1230" s="167"/>
      <c r="D1230" s="168"/>
      <c r="E1230" s="30"/>
      <c r="F1230" s="27"/>
      <c r="G1230" s="32"/>
      <c r="H1230" s="56"/>
    </row>
    <row r="1231" spans="1:8" x14ac:dyDescent="0.25">
      <c r="A1231" s="148"/>
      <c r="B1231" s="257" t="s">
        <v>625</v>
      </c>
      <c r="C1231" s="167">
        <f>12*11</f>
        <v>132</v>
      </c>
      <c r="D1231" s="168" t="s">
        <v>315</v>
      </c>
      <c r="E1231" s="30">
        <v>15000</v>
      </c>
      <c r="F1231" s="30">
        <f>E1231*C1231</f>
        <v>1980000</v>
      </c>
      <c r="G1231" s="32"/>
      <c r="H1231" s="56"/>
    </row>
    <row r="1232" spans="1:8" x14ac:dyDescent="0.25">
      <c r="A1232" s="148"/>
      <c r="B1232" s="257"/>
      <c r="C1232" s="167"/>
      <c r="D1232" s="168"/>
      <c r="E1232" s="30"/>
      <c r="F1232" s="27"/>
      <c r="G1232" s="32"/>
      <c r="H1232" s="56"/>
    </row>
    <row r="1233" spans="1:10" x14ac:dyDescent="0.25">
      <c r="A1233" s="148" t="s">
        <v>626</v>
      </c>
      <c r="B1233" s="257" t="s">
        <v>340</v>
      </c>
      <c r="C1233" s="167"/>
      <c r="D1233" s="168"/>
      <c r="E1233" s="30"/>
      <c r="F1233" s="27"/>
      <c r="G1233" s="32"/>
      <c r="H1233" s="56"/>
    </row>
    <row r="1234" spans="1:10" ht="24" x14ac:dyDescent="0.25">
      <c r="A1234" s="148" t="s">
        <v>627</v>
      </c>
      <c r="B1234" s="257" t="s">
        <v>628</v>
      </c>
      <c r="C1234" s="167"/>
      <c r="D1234" s="168"/>
      <c r="E1234" s="30"/>
      <c r="F1234" s="27"/>
      <c r="G1234" s="32"/>
      <c r="H1234" s="56"/>
    </row>
    <row r="1235" spans="1:10" x14ac:dyDescent="0.25">
      <c r="A1235" s="148"/>
      <c r="B1235" s="257" t="s">
        <v>629</v>
      </c>
      <c r="C1235" s="167"/>
      <c r="D1235" s="168"/>
      <c r="E1235" s="30"/>
      <c r="F1235" s="27"/>
      <c r="G1235" s="32"/>
      <c r="H1235" s="56"/>
    </row>
    <row r="1236" spans="1:10" x14ac:dyDescent="0.25">
      <c r="A1236" s="148"/>
      <c r="B1236" s="257" t="s">
        <v>214</v>
      </c>
      <c r="C1236" s="167">
        <v>1</v>
      </c>
      <c r="D1236" s="168" t="s">
        <v>252</v>
      </c>
      <c r="E1236" s="30">
        <v>300000</v>
      </c>
      <c r="F1236" s="27">
        <f>E1236*C1236</f>
        <v>300000</v>
      </c>
      <c r="G1236" s="32"/>
      <c r="H1236" s="56"/>
    </row>
    <row r="1237" spans="1:10" x14ac:dyDescent="0.25">
      <c r="A1237" s="16"/>
      <c r="B1237" s="257" t="s">
        <v>215</v>
      </c>
      <c r="C1237" s="167">
        <v>1</v>
      </c>
      <c r="D1237" s="168" t="s">
        <v>252</v>
      </c>
      <c r="E1237" s="30">
        <v>250000</v>
      </c>
      <c r="F1237" s="27">
        <f t="shared" ref="F1237:F1243" si="21">E1237*C1237</f>
        <v>250000</v>
      </c>
      <c r="G1237" s="32"/>
      <c r="H1237" s="56"/>
    </row>
    <row r="1238" spans="1:10" x14ac:dyDescent="0.25">
      <c r="A1238" s="16"/>
      <c r="B1238" s="257" t="s">
        <v>630</v>
      </c>
      <c r="C1238" s="167">
        <v>3</v>
      </c>
      <c r="D1238" s="168" t="s">
        <v>252</v>
      </c>
      <c r="E1238" s="30">
        <v>200000</v>
      </c>
      <c r="F1238" s="27">
        <f t="shared" si="21"/>
        <v>600000</v>
      </c>
      <c r="G1238" s="32"/>
      <c r="H1238" s="56"/>
    </row>
    <row r="1239" spans="1:10" x14ac:dyDescent="0.25">
      <c r="A1239" s="16"/>
      <c r="B1239" s="257" t="s">
        <v>631</v>
      </c>
      <c r="C1239" s="167"/>
      <c r="D1239" s="168"/>
      <c r="E1239" s="30"/>
      <c r="F1239" s="27"/>
      <c r="G1239" s="32"/>
      <c r="H1239" s="56"/>
    </row>
    <row r="1240" spans="1:10" x14ac:dyDescent="0.25">
      <c r="A1240" s="236"/>
      <c r="B1240" s="257" t="s">
        <v>214</v>
      </c>
      <c r="C1240" s="167">
        <v>3</v>
      </c>
      <c r="D1240" s="168" t="s">
        <v>22</v>
      </c>
      <c r="E1240" s="30">
        <v>600000</v>
      </c>
      <c r="F1240" s="27">
        <f t="shared" si="21"/>
        <v>1800000</v>
      </c>
      <c r="G1240" s="32"/>
      <c r="H1240" s="56"/>
    </row>
    <row r="1241" spans="1:10" x14ac:dyDescent="0.25">
      <c r="A1241" s="16"/>
      <c r="B1241" s="257" t="s">
        <v>215</v>
      </c>
      <c r="C1241" s="167">
        <v>3</v>
      </c>
      <c r="D1241" s="168" t="s">
        <v>22</v>
      </c>
      <c r="E1241" s="30">
        <v>500000</v>
      </c>
      <c r="F1241" s="27">
        <f t="shared" si="21"/>
        <v>1500000</v>
      </c>
      <c r="G1241" s="32"/>
      <c r="H1241" s="56"/>
    </row>
    <row r="1242" spans="1:10" x14ac:dyDescent="0.25">
      <c r="A1242" s="236"/>
      <c r="B1242" s="257" t="s">
        <v>632</v>
      </c>
      <c r="C1242" s="167">
        <f>9*3</f>
        <v>27</v>
      </c>
      <c r="D1242" s="168" t="s">
        <v>22</v>
      </c>
      <c r="E1242" s="30">
        <v>450000</v>
      </c>
      <c r="F1242" s="27">
        <f t="shared" si="21"/>
        <v>12150000</v>
      </c>
      <c r="G1242" s="32"/>
      <c r="H1242" s="56"/>
    </row>
    <row r="1243" spans="1:10" x14ac:dyDescent="0.25">
      <c r="A1243" s="32"/>
      <c r="B1243" s="153" t="s">
        <v>633</v>
      </c>
      <c r="C1243" s="146">
        <v>3</v>
      </c>
      <c r="D1243" s="146" t="s">
        <v>22</v>
      </c>
      <c r="E1243" s="30">
        <v>1850000</v>
      </c>
      <c r="F1243" s="27">
        <f t="shared" si="21"/>
        <v>5550000</v>
      </c>
      <c r="G1243" s="32"/>
      <c r="H1243" s="56"/>
    </row>
    <row r="1244" spans="1:10" x14ac:dyDescent="0.25">
      <c r="A1244" s="32"/>
      <c r="B1244" s="4"/>
      <c r="C1244" s="16"/>
      <c r="D1244" s="146"/>
      <c r="E1244" s="22"/>
      <c r="F1244" s="31"/>
      <c r="G1244" s="32"/>
      <c r="H1244" s="56"/>
    </row>
    <row r="1245" spans="1:10" x14ac:dyDescent="0.25">
      <c r="A1245" s="32"/>
      <c r="B1245" s="1832" t="s">
        <v>27</v>
      </c>
      <c r="C1245" s="1832"/>
      <c r="D1245" s="1832"/>
      <c r="E1245" s="1832"/>
      <c r="F1245" s="12">
        <f>SUM(F1225:F1244)</f>
        <v>25930000</v>
      </c>
      <c r="G1245" s="32" t="s">
        <v>1682</v>
      </c>
      <c r="H1245" s="56"/>
      <c r="I1245" s="286"/>
      <c r="J1245" s="286">
        <f>F1245</f>
        <v>25930000</v>
      </c>
    </row>
    <row r="1246" spans="1:10" x14ac:dyDescent="0.25">
      <c r="A1246" s="1807" t="s">
        <v>614</v>
      </c>
      <c r="B1246" s="1807"/>
      <c r="C1246" s="5" t="s">
        <v>28</v>
      </c>
      <c r="D1246" s="1808" t="s">
        <v>1698</v>
      </c>
      <c r="E1246" s="1808"/>
      <c r="F1246" s="1808"/>
      <c r="G1246" s="5"/>
    </row>
    <row r="1247" spans="1:10" x14ac:dyDescent="0.25">
      <c r="A1247" s="1807" t="s">
        <v>29</v>
      </c>
      <c r="B1247" s="1807"/>
      <c r="C1247" s="5"/>
      <c r="D1247" s="1809" t="s">
        <v>2994</v>
      </c>
      <c r="E1247" s="1809"/>
      <c r="F1247" s="1809"/>
      <c r="G1247" s="5"/>
    </row>
    <row r="1248" spans="1:10" x14ac:dyDescent="0.25">
      <c r="A1248" s="1"/>
      <c r="B1248" s="3"/>
      <c r="C1248" s="5"/>
      <c r="D1248" s="7"/>
      <c r="E1248" s="17"/>
      <c r="F1248" s="17"/>
      <c r="G1248" s="5"/>
    </row>
    <row r="1249" spans="1:7" x14ac:dyDescent="0.25">
      <c r="A1249" s="1"/>
      <c r="B1249" s="3"/>
      <c r="C1249" s="5"/>
      <c r="D1249" s="7"/>
      <c r="E1249" s="17"/>
      <c r="F1249" s="17"/>
      <c r="G1249" s="5"/>
    </row>
    <row r="1250" spans="1:7" x14ac:dyDescent="0.25">
      <c r="A1250" s="1807"/>
      <c r="B1250" s="1807"/>
      <c r="C1250" s="5"/>
      <c r="D1250" s="7"/>
      <c r="E1250" s="1807"/>
      <c r="F1250" s="1807"/>
      <c r="G1250" s="5"/>
    </row>
    <row r="1251" spans="1:7" x14ac:dyDescent="0.25">
      <c r="A1251" s="1807" t="s">
        <v>30</v>
      </c>
      <c r="B1251" s="1807"/>
      <c r="C1251" s="5"/>
      <c r="D1251" s="1807" t="s">
        <v>2995</v>
      </c>
      <c r="E1251" s="1807"/>
      <c r="F1251" s="1807"/>
      <c r="G1251" s="5"/>
    </row>
    <row r="1254" spans="1:7" x14ac:dyDescent="0.25">
      <c r="A1254" s="1800" t="s">
        <v>0</v>
      </c>
      <c r="B1254" s="1800"/>
      <c r="C1254" s="1800"/>
      <c r="D1254" s="1800"/>
      <c r="E1254" s="1800"/>
      <c r="F1254" s="1800"/>
      <c r="G1254" s="1800"/>
    </row>
    <row r="1255" spans="1:7" x14ac:dyDescent="0.25">
      <c r="A1255" s="1800" t="s">
        <v>1</v>
      </c>
      <c r="B1255" s="1800"/>
      <c r="C1255" s="1800"/>
      <c r="D1255" s="1800"/>
      <c r="E1255" s="1800"/>
      <c r="F1255" s="1800"/>
      <c r="G1255" s="1800"/>
    </row>
    <row r="1256" spans="1:7" x14ac:dyDescent="0.25">
      <c r="A1256" s="1800" t="s">
        <v>1697</v>
      </c>
      <c r="B1256" s="1800"/>
      <c r="C1256" s="1800"/>
      <c r="D1256" s="1800"/>
      <c r="E1256" s="1800"/>
      <c r="F1256" s="1800"/>
      <c r="G1256" s="1800"/>
    </row>
    <row r="1257" spans="1:7" x14ac:dyDescent="0.25">
      <c r="A1257" s="138"/>
      <c r="B1257" s="138"/>
      <c r="C1257" s="138"/>
      <c r="D1257" s="138"/>
      <c r="E1257" s="138"/>
      <c r="F1257" s="138"/>
      <c r="G1257" s="138"/>
    </row>
    <row r="1258" spans="1:7" ht="25.5" x14ac:dyDescent="0.25">
      <c r="A1258" s="304" t="s">
        <v>296</v>
      </c>
      <c r="B1258" s="297" t="s">
        <v>3</v>
      </c>
      <c r="C1258" s="304"/>
      <c r="D1258" s="304"/>
      <c r="E1258" s="23" t="s">
        <v>6</v>
      </c>
      <c r="F1258" s="13"/>
    </row>
    <row r="1259" spans="1:7" ht="38.25" x14ac:dyDescent="0.25">
      <c r="A1259" s="304" t="s">
        <v>297</v>
      </c>
      <c r="B1259" s="297" t="s">
        <v>426</v>
      </c>
      <c r="C1259" s="304"/>
      <c r="D1259" s="304"/>
      <c r="E1259" s="10" t="s">
        <v>9</v>
      </c>
      <c r="F1259" s="15"/>
    </row>
    <row r="1260" spans="1:7" ht="25.5" x14ac:dyDescent="0.25">
      <c r="A1260" s="306" t="s">
        <v>298</v>
      </c>
      <c r="B1260" s="306" t="s">
        <v>1709</v>
      </c>
      <c r="C1260" s="306"/>
      <c r="D1260" s="306"/>
      <c r="E1260" s="306"/>
      <c r="F1260" s="306"/>
    </row>
    <row r="1261" spans="1:7" x14ac:dyDescent="0.25">
      <c r="A1261" s="298" t="s">
        <v>62</v>
      </c>
      <c r="B1261" s="298" t="s">
        <v>63</v>
      </c>
      <c r="C1261" s="298"/>
      <c r="D1261" s="5"/>
      <c r="E1261" s="5"/>
      <c r="F1261" s="5"/>
    </row>
    <row r="1262" spans="1:7" x14ac:dyDescent="0.25">
      <c r="A1262" s="298" t="s">
        <v>64</v>
      </c>
      <c r="B1262" s="298" t="s">
        <v>65</v>
      </c>
      <c r="C1262" s="298"/>
      <c r="D1262" s="1808"/>
      <c r="E1262" s="1808"/>
      <c r="F1262" s="5"/>
    </row>
    <row r="1263" spans="1:7" x14ac:dyDescent="0.25">
      <c r="A1263" s="3"/>
      <c r="B1263" s="3"/>
      <c r="C1263" s="3"/>
      <c r="D1263" s="3"/>
      <c r="E1263" s="3"/>
      <c r="F1263" s="3"/>
    </row>
    <row r="1264" spans="1:7" ht="24" x14ac:dyDescent="0.25">
      <c r="A1264" s="144" t="s">
        <v>300</v>
      </c>
      <c r="B1264" s="144" t="s">
        <v>12</v>
      </c>
      <c r="C1264" s="1804" t="s">
        <v>13</v>
      </c>
      <c r="D1264" s="1804"/>
      <c r="E1264" s="11" t="s">
        <v>14</v>
      </c>
      <c r="F1264" s="165" t="s">
        <v>15</v>
      </c>
      <c r="G1264" s="267" t="s">
        <v>301</v>
      </c>
    </row>
    <row r="1265" spans="1:20" x14ac:dyDescent="0.25">
      <c r="A1265" s="144">
        <v>1</v>
      </c>
      <c r="B1265" s="144">
        <v>2</v>
      </c>
      <c r="C1265" s="1811">
        <v>3</v>
      </c>
      <c r="D1265" s="1812"/>
      <c r="E1265" s="33">
        <v>4</v>
      </c>
      <c r="F1265" s="165">
        <v>5</v>
      </c>
      <c r="G1265" s="268">
        <v>6</v>
      </c>
    </row>
    <row r="1266" spans="1:20" x14ac:dyDescent="0.25">
      <c r="A1266" s="148" t="s">
        <v>442</v>
      </c>
      <c r="B1266" s="257" t="s">
        <v>86</v>
      </c>
      <c r="C1266" s="167"/>
      <c r="D1266" s="168"/>
      <c r="E1266" s="146"/>
      <c r="F1266" s="152"/>
      <c r="G1266" s="20"/>
    </row>
    <row r="1267" spans="1:20" x14ac:dyDescent="0.25">
      <c r="A1267" s="148" t="s">
        <v>443</v>
      </c>
      <c r="B1267" s="257" t="s">
        <v>88</v>
      </c>
      <c r="C1267" s="167"/>
      <c r="D1267" s="168"/>
      <c r="E1267" s="146"/>
      <c r="F1267" s="152"/>
      <c r="G1267" s="20"/>
    </row>
    <row r="1268" spans="1:20" ht="24" x14ac:dyDescent="0.25">
      <c r="A1268" s="148" t="s">
        <v>444</v>
      </c>
      <c r="B1268" s="257" t="s">
        <v>326</v>
      </c>
      <c r="C1268" s="167"/>
      <c r="D1268" s="168"/>
      <c r="E1268" s="30"/>
      <c r="F1268" s="27"/>
      <c r="G1268" s="20"/>
    </row>
    <row r="1269" spans="1:20" x14ac:dyDescent="0.25">
      <c r="A1269" s="148"/>
      <c r="B1269" s="257" t="s">
        <v>327</v>
      </c>
      <c r="C1269" s="167">
        <v>300</v>
      </c>
      <c r="D1269" s="168" t="s">
        <v>312</v>
      </c>
      <c r="E1269" s="30">
        <v>250</v>
      </c>
      <c r="F1269" s="27">
        <f>E1269*C1269</f>
        <v>75000</v>
      </c>
      <c r="G1269" s="20"/>
    </row>
    <row r="1270" spans="1:20" x14ac:dyDescent="0.25">
      <c r="A1270" s="148"/>
      <c r="B1270" s="257" t="s">
        <v>453</v>
      </c>
      <c r="C1270" s="167">
        <v>8</v>
      </c>
      <c r="D1270" s="168" t="s">
        <v>123</v>
      </c>
      <c r="E1270" s="30">
        <v>300000</v>
      </c>
      <c r="F1270" s="27">
        <f>E1270*C1270</f>
        <v>2400000</v>
      </c>
      <c r="G1270" s="20"/>
    </row>
    <row r="1271" spans="1:20" x14ac:dyDescent="0.25">
      <c r="A1271" s="148"/>
      <c r="B1271" s="257"/>
      <c r="C1271" s="167"/>
      <c r="D1271" s="168"/>
      <c r="E1271" s="30"/>
      <c r="F1271" s="27"/>
      <c r="G1271" s="20"/>
    </row>
    <row r="1272" spans="1:20" ht="36.75" x14ac:dyDescent="0.25">
      <c r="A1272" s="301" t="s">
        <v>445</v>
      </c>
      <c r="B1272" s="4" t="s">
        <v>446</v>
      </c>
      <c r="C1272" s="6"/>
      <c r="D1272" s="25"/>
      <c r="E1272" s="12"/>
      <c r="F1272" s="12"/>
      <c r="G1272" s="20"/>
    </row>
    <row r="1273" spans="1:20" x14ac:dyDescent="0.25">
      <c r="A1273" s="16"/>
      <c r="B1273" s="4" t="s">
        <v>447</v>
      </c>
      <c r="C1273" s="6">
        <v>180</v>
      </c>
      <c r="D1273" s="25" t="s">
        <v>448</v>
      </c>
      <c r="E1273" s="12">
        <v>15000</v>
      </c>
      <c r="F1273" s="12">
        <f>E1273*C1273</f>
        <v>2700000</v>
      </c>
      <c r="G1273" s="20"/>
    </row>
    <row r="1274" spans="1:20" x14ac:dyDescent="0.25">
      <c r="A1274" s="16"/>
      <c r="B1274" s="16"/>
      <c r="C1274" s="6"/>
      <c r="D1274" s="25"/>
      <c r="E1274" s="12"/>
      <c r="F1274" s="12"/>
      <c r="G1274" s="20"/>
    </row>
    <row r="1275" spans="1:20" x14ac:dyDescent="0.25">
      <c r="A1275" s="16"/>
      <c r="B1275" s="1848" t="s">
        <v>27</v>
      </c>
      <c r="C1275" s="1848"/>
      <c r="D1275" s="1848"/>
      <c r="E1275" s="1849"/>
      <c r="F1275" s="12">
        <f>SUM(F1268:F1274)</f>
        <v>5175000</v>
      </c>
      <c r="G1275" s="20" t="s">
        <v>2627</v>
      </c>
      <c r="J1275" s="286"/>
      <c r="T1275" s="286">
        <f>F1275</f>
        <v>5175000</v>
      </c>
    </row>
    <row r="1276" spans="1:20" x14ac:dyDescent="0.25">
      <c r="A1276" s="5"/>
      <c r="B1276" s="5"/>
      <c r="C1276" s="5"/>
      <c r="D1276" s="5"/>
      <c r="E1276" s="5"/>
      <c r="F1276" s="5"/>
      <c r="G1276" s="5"/>
    </row>
    <row r="1277" spans="1:20" x14ac:dyDescent="0.25">
      <c r="A1277" s="1807" t="s">
        <v>614</v>
      </c>
      <c r="B1277" s="1807"/>
      <c r="C1277" s="5" t="s">
        <v>28</v>
      </c>
      <c r="D1277" s="1808" t="s">
        <v>1698</v>
      </c>
      <c r="E1277" s="1808"/>
      <c r="F1277" s="1808"/>
      <c r="G1277" s="5"/>
    </row>
    <row r="1278" spans="1:20" x14ac:dyDescent="0.25">
      <c r="A1278" s="1807" t="s">
        <v>29</v>
      </c>
      <c r="B1278" s="1807"/>
      <c r="C1278" s="5"/>
      <c r="D1278" s="1809" t="s">
        <v>2994</v>
      </c>
      <c r="E1278" s="1809"/>
      <c r="F1278" s="1809"/>
      <c r="G1278" s="5"/>
    </row>
    <row r="1279" spans="1:20" x14ac:dyDescent="0.25">
      <c r="A1279" s="1"/>
      <c r="B1279" s="3"/>
      <c r="C1279" s="5"/>
      <c r="D1279" s="7"/>
      <c r="E1279" s="17"/>
      <c r="F1279" s="17"/>
      <c r="G1279" s="5"/>
    </row>
    <row r="1280" spans="1:20" x14ac:dyDescent="0.25">
      <c r="A1280" s="1"/>
      <c r="B1280" s="3"/>
      <c r="C1280" s="5"/>
      <c r="D1280" s="7"/>
      <c r="E1280" s="17"/>
      <c r="F1280" s="17"/>
      <c r="G1280" s="5"/>
    </row>
    <row r="1281" spans="1:7" x14ac:dyDescent="0.25">
      <c r="A1281" s="1807"/>
      <c r="B1281" s="1807"/>
      <c r="C1281" s="5"/>
      <c r="D1281" s="7"/>
      <c r="E1281" s="1807"/>
      <c r="F1281" s="1807"/>
      <c r="G1281" s="5"/>
    </row>
    <row r="1282" spans="1:7" x14ac:dyDescent="0.25">
      <c r="A1282" s="1807" t="s">
        <v>30</v>
      </c>
      <c r="B1282" s="1807"/>
      <c r="C1282" s="5"/>
      <c r="D1282" s="1807" t="s">
        <v>2995</v>
      </c>
      <c r="E1282" s="1807"/>
      <c r="F1282" s="1807"/>
      <c r="G1282" s="5"/>
    </row>
    <row r="1285" spans="1:7" x14ac:dyDescent="0.25">
      <c r="A1285" s="1800" t="s">
        <v>0</v>
      </c>
      <c r="B1285" s="1800"/>
      <c r="C1285" s="1800"/>
      <c r="D1285" s="1800"/>
      <c r="E1285" s="1800"/>
      <c r="F1285" s="1800"/>
      <c r="G1285" s="1800"/>
    </row>
    <row r="1286" spans="1:7" x14ac:dyDescent="0.25">
      <c r="A1286" s="1800" t="s">
        <v>1</v>
      </c>
      <c r="B1286" s="1800"/>
      <c r="C1286" s="1800"/>
      <c r="D1286" s="1800"/>
      <c r="E1286" s="1800"/>
      <c r="F1286" s="1800"/>
      <c r="G1286" s="1800"/>
    </row>
    <row r="1287" spans="1:7" x14ac:dyDescent="0.25">
      <c r="A1287" s="1800" t="s">
        <v>1697</v>
      </c>
      <c r="B1287" s="1800"/>
      <c r="C1287" s="1800"/>
      <c r="D1287" s="1800"/>
      <c r="E1287" s="1800"/>
      <c r="F1287" s="1800"/>
      <c r="G1287" s="1800"/>
    </row>
    <row r="1288" spans="1:7" x14ac:dyDescent="0.25">
      <c r="A1288" s="138"/>
      <c r="B1288" s="138"/>
      <c r="C1288" s="138"/>
      <c r="D1288" s="138"/>
      <c r="E1288" s="138"/>
      <c r="F1288" s="138"/>
      <c r="G1288" s="138"/>
    </row>
    <row r="1289" spans="1:7" ht="25.5" x14ac:dyDescent="0.25">
      <c r="A1289" s="304" t="s">
        <v>296</v>
      </c>
      <c r="B1289" s="297" t="s">
        <v>3</v>
      </c>
      <c r="C1289" s="304"/>
      <c r="D1289" s="304"/>
      <c r="E1289" s="23" t="s">
        <v>6</v>
      </c>
      <c r="F1289" s="13"/>
    </row>
    <row r="1290" spans="1:7" ht="38.25" x14ac:dyDescent="0.25">
      <c r="A1290" s="304" t="s">
        <v>297</v>
      </c>
      <c r="B1290" s="297" t="s">
        <v>426</v>
      </c>
      <c r="C1290" s="304"/>
      <c r="D1290" s="304"/>
      <c r="E1290" s="10" t="s">
        <v>9</v>
      </c>
      <c r="F1290" s="15"/>
    </row>
    <row r="1291" spans="1:7" ht="25.5" x14ac:dyDescent="0.25">
      <c r="A1291" s="306" t="s">
        <v>298</v>
      </c>
      <c r="B1291" s="306" t="s">
        <v>1710</v>
      </c>
      <c r="C1291" s="306"/>
      <c r="D1291" s="306"/>
      <c r="E1291" s="306"/>
      <c r="F1291" s="306"/>
    </row>
    <row r="1292" spans="1:7" x14ac:dyDescent="0.25">
      <c r="A1292" s="298" t="s">
        <v>62</v>
      </c>
      <c r="B1292" s="298" t="s">
        <v>63</v>
      </c>
      <c r="C1292" s="298"/>
      <c r="D1292" s="5"/>
      <c r="E1292" s="5"/>
      <c r="F1292" s="5"/>
    </row>
    <row r="1293" spans="1:7" x14ac:dyDescent="0.25">
      <c r="A1293" s="298" t="s">
        <v>64</v>
      </c>
      <c r="B1293" s="298" t="s">
        <v>65</v>
      </c>
      <c r="C1293" s="298"/>
      <c r="D1293" s="1808"/>
      <c r="E1293" s="1808"/>
      <c r="F1293" s="5"/>
    </row>
    <row r="1294" spans="1:7" x14ac:dyDescent="0.25">
      <c r="A1294" s="3"/>
      <c r="B1294" s="3"/>
      <c r="C1294" s="3"/>
      <c r="D1294" s="3"/>
      <c r="E1294" s="3"/>
      <c r="F1294" s="3"/>
    </row>
    <row r="1295" spans="1:7" ht="24" x14ac:dyDescent="0.25">
      <c r="A1295" s="144" t="s">
        <v>300</v>
      </c>
      <c r="B1295" s="144" t="s">
        <v>12</v>
      </c>
      <c r="C1295" s="1804" t="s">
        <v>13</v>
      </c>
      <c r="D1295" s="1804"/>
      <c r="E1295" s="11" t="s">
        <v>14</v>
      </c>
      <c r="F1295" s="165" t="s">
        <v>15</v>
      </c>
      <c r="G1295" s="267" t="s">
        <v>301</v>
      </c>
    </row>
    <row r="1296" spans="1:7" x14ac:dyDescent="0.25">
      <c r="A1296" s="144">
        <v>1</v>
      </c>
      <c r="B1296" s="144">
        <v>2</v>
      </c>
      <c r="C1296" s="1811">
        <v>3</v>
      </c>
      <c r="D1296" s="1812"/>
      <c r="E1296" s="33">
        <v>4</v>
      </c>
      <c r="F1296" s="165">
        <v>5</v>
      </c>
      <c r="G1296" s="268">
        <v>6</v>
      </c>
    </row>
    <row r="1297" spans="1:10" x14ac:dyDescent="0.25">
      <c r="A1297" s="148" t="s">
        <v>442</v>
      </c>
      <c r="B1297" s="257" t="s">
        <v>86</v>
      </c>
      <c r="C1297" s="167"/>
      <c r="D1297" s="168"/>
      <c r="E1297" s="146"/>
      <c r="F1297" s="152"/>
      <c r="G1297" s="20"/>
    </row>
    <row r="1298" spans="1:10" x14ac:dyDescent="0.25">
      <c r="A1298" s="148" t="s">
        <v>443</v>
      </c>
      <c r="B1298" s="257" t="s">
        <v>88</v>
      </c>
      <c r="C1298" s="167"/>
      <c r="D1298" s="168"/>
      <c r="E1298" s="146"/>
      <c r="F1298" s="152"/>
      <c r="G1298" s="20"/>
    </row>
    <row r="1299" spans="1:10" ht="24" x14ac:dyDescent="0.25">
      <c r="A1299" s="148" t="s">
        <v>444</v>
      </c>
      <c r="B1299" s="257" t="s">
        <v>326</v>
      </c>
      <c r="C1299" s="167"/>
      <c r="D1299" s="168"/>
      <c r="E1299" s="30"/>
      <c r="F1299" s="27"/>
      <c r="G1299" s="20"/>
    </row>
    <row r="1300" spans="1:10" x14ac:dyDescent="0.25">
      <c r="A1300" s="148"/>
      <c r="B1300" s="257" t="s">
        <v>449</v>
      </c>
      <c r="C1300" s="167">
        <v>500</v>
      </c>
      <c r="D1300" s="168" t="s">
        <v>312</v>
      </c>
      <c r="E1300" s="30">
        <v>250</v>
      </c>
      <c r="F1300" s="27">
        <f>E1300*C1300</f>
        <v>125000</v>
      </c>
      <c r="G1300" s="20"/>
    </row>
    <row r="1301" spans="1:10" x14ac:dyDescent="0.25">
      <c r="A1301" s="148"/>
      <c r="B1301" s="257" t="s">
        <v>455</v>
      </c>
      <c r="C1301" s="167">
        <v>12</v>
      </c>
      <c r="D1301" s="168" t="s">
        <v>123</v>
      </c>
      <c r="E1301" s="30">
        <v>300000</v>
      </c>
      <c r="F1301" s="27">
        <f>E1301*C1301</f>
        <v>3600000</v>
      </c>
      <c r="G1301" s="20"/>
    </row>
    <row r="1302" spans="1:10" x14ac:dyDescent="0.25">
      <c r="A1302" s="148"/>
      <c r="B1302" s="257"/>
      <c r="C1302" s="167"/>
      <c r="D1302" s="168"/>
      <c r="E1302" s="30"/>
      <c r="F1302" s="27"/>
      <c r="G1302" s="20"/>
    </row>
    <row r="1303" spans="1:10" ht="36.75" x14ac:dyDescent="0.25">
      <c r="A1303" s="301" t="s">
        <v>445</v>
      </c>
      <c r="B1303" s="4" t="s">
        <v>446</v>
      </c>
      <c r="C1303" s="6"/>
      <c r="D1303" s="25"/>
      <c r="E1303" s="12"/>
      <c r="F1303" s="12"/>
      <c r="G1303" s="20"/>
    </row>
    <row r="1304" spans="1:10" x14ac:dyDescent="0.25">
      <c r="A1304" s="16"/>
      <c r="B1304" s="4" t="s">
        <v>450</v>
      </c>
      <c r="C1304" s="6">
        <f>18*4</f>
        <v>72</v>
      </c>
      <c r="D1304" s="25" t="s">
        <v>315</v>
      </c>
      <c r="E1304" s="12">
        <v>15000</v>
      </c>
      <c r="F1304" s="12">
        <f>E1304*C1304</f>
        <v>1080000</v>
      </c>
      <c r="G1304" s="20"/>
    </row>
    <row r="1305" spans="1:10" x14ac:dyDescent="0.25">
      <c r="A1305" s="16"/>
      <c r="B1305" s="16"/>
      <c r="C1305" s="6"/>
      <c r="D1305" s="25"/>
      <c r="E1305" s="12"/>
      <c r="F1305" s="12"/>
      <c r="G1305" s="20"/>
    </row>
    <row r="1306" spans="1:10" x14ac:dyDescent="0.25">
      <c r="A1306" s="16"/>
      <c r="B1306" s="1848" t="s">
        <v>27</v>
      </c>
      <c r="C1306" s="1848"/>
      <c r="D1306" s="1848"/>
      <c r="E1306" s="1849"/>
      <c r="F1306" s="12">
        <f>SUM(F1299:F1305)</f>
        <v>4805000</v>
      </c>
      <c r="G1306" s="179" t="s">
        <v>1682</v>
      </c>
      <c r="J1306" s="286">
        <f>F1306</f>
        <v>4805000</v>
      </c>
    </row>
    <row r="1308" spans="1:10" x14ac:dyDescent="0.25">
      <c r="A1308" s="1807" t="s">
        <v>614</v>
      </c>
      <c r="B1308" s="1807"/>
      <c r="C1308" s="5" t="s">
        <v>28</v>
      </c>
      <c r="D1308" s="1808" t="s">
        <v>1698</v>
      </c>
      <c r="E1308" s="1808"/>
      <c r="F1308" s="1808"/>
      <c r="G1308" s="5"/>
    </row>
    <row r="1309" spans="1:10" x14ac:dyDescent="0.25">
      <c r="A1309" s="1807" t="s">
        <v>29</v>
      </c>
      <c r="B1309" s="1807"/>
      <c r="C1309" s="5"/>
      <c r="D1309" s="1809" t="s">
        <v>2994</v>
      </c>
      <c r="E1309" s="1809"/>
      <c r="F1309" s="1809"/>
      <c r="G1309" s="5"/>
    </row>
    <row r="1310" spans="1:10" x14ac:dyDescent="0.25">
      <c r="A1310" s="1"/>
      <c r="B1310" s="3"/>
      <c r="C1310" s="5"/>
      <c r="D1310" s="7"/>
      <c r="E1310" s="17"/>
      <c r="F1310" s="17"/>
      <c r="G1310" s="5"/>
    </row>
    <row r="1311" spans="1:10" x14ac:dyDescent="0.25">
      <c r="A1311" s="1"/>
      <c r="B1311" s="3"/>
      <c r="C1311" s="5"/>
      <c r="D1311" s="7"/>
      <c r="E1311" s="17"/>
      <c r="F1311" s="17"/>
      <c r="G1311" s="5"/>
    </row>
    <row r="1312" spans="1:10" x14ac:dyDescent="0.25">
      <c r="A1312" s="1807"/>
      <c r="B1312" s="1807"/>
      <c r="C1312" s="5"/>
      <c r="D1312" s="7"/>
      <c r="E1312" s="1807"/>
      <c r="F1312" s="1807"/>
      <c r="G1312" s="5"/>
    </row>
    <row r="1313" spans="1:7" x14ac:dyDescent="0.25">
      <c r="A1313" s="1807" t="s">
        <v>30</v>
      </c>
      <c r="B1313" s="1807"/>
      <c r="C1313" s="5"/>
      <c r="D1313" s="1807" t="s">
        <v>2995</v>
      </c>
      <c r="E1313" s="1807"/>
      <c r="F1313" s="1807"/>
      <c r="G1313" s="5"/>
    </row>
    <row r="1315" spans="1:7" x14ac:dyDescent="0.25">
      <c r="A1315" s="1800" t="s">
        <v>0</v>
      </c>
      <c r="B1315" s="1800"/>
      <c r="C1315" s="1800"/>
      <c r="D1315" s="1800"/>
      <c r="E1315" s="1800"/>
      <c r="F1315" s="1800"/>
      <c r="G1315" s="1800"/>
    </row>
    <row r="1316" spans="1:7" x14ac:dyDescent="0.25">
      <c r="A1316" s="1800" t="s">
        <v>1</v>
      </c>
      <c r="B1316" s="1800"/>
      <c r="C1316" s="1800"/>
      <c r="D1316" s="1800"/>
      <c r="E1316" s="1800"/>
      <c r="F1316" s="1800"/>
      <c r="G1316" s="1800"/>
    </row>
    <row r="1317" spans="1:7" x14ac:dyDescent="0.25">
      <c r="A1317" s="1800" t="s">
        <v>1697</v>
      </c>
      <c r="B1317" s="1800"/>
      <c r="C1317" s="1800"/>
      <c r="D1317" s="1800"/>
      <c r="E1317" s="1800"/>
      <c r="F1317" s="1800"/>
      <c r="G1317" s="1800"/>
    </row>
    <row r="1318" spans="1:7" x14ac:dyDescent="0.25">
      <c r="A1318" s="138"/>
      <c r="B1318" s="138"/>
      <c r="C1318" s="138"/>
      <c r="D1318" s="138"/>
      <c r="E1318" s="138"/>
      <c r="F1318" s="138"/>
      <c r="G1318" s="138"/>
    </row>
    <row r="1319" spans="1:7" x14ac:dyDescent="0.25">
      <c r="A1319" s="229" t="s">
        <v>296</v>
      </c>
      <c r="B1319" s="284" t="s">
        <v>3</v>
      </c>
      <c r="C1319" s="229"/>
      <c r="D1319" s="162"/>
      <c r="E1319" s="23" t="s">
        <v>6</v>
      </c>
      <c r="F1319" s="13"/>
    </row>
    <row r="1320" spans="1:7" ht="24" x14ac:dyDescent="0.25">
      <c r="A1320" s="229" t="s">
        <v>297</v>
      </c>
      <c r="B1320" s="284" t="s">
        <v>426</v>
      </c>
      <c r="C1320" s="229"/>
      <c r="D1320" s="162"/>
      <c r="E1320" s="10" t="s">
        <v>9</v>
      </c>
      <c r="F1320" s="15"/>
    </row>
    <row r="1321" spans="1:7" ht="24" x14ac:dyDescent="0.25">
      <c r="A1321" s="342" t="s">
        <v>298</v>
      </c>
      <c r="B1321" s="342" t="s">
        <v>1711</v>
      </c>
      <c r="C1321" s="342"/>
      <c r="D1321" s="139"/>
      <c r="E1321" s="139"/>
      <c r="F1321" s="139"/>
    </row>
    <row r="1322" spans="1:7" x14ac:dyDescent="0.25">
      <c r="A1322" s="162" t="s">
        <v>451</v>
      </c>
      <c r="B1322" s="162" t="s">
        <v>63</v>
      </c>
      <c r="C1322" s="162"/>
      <c r="D1322" s="162"/>
      <c r="E1322" s="162"/>
      <c r="F1322" s="162"/>
    </row>
    <row r="1323" spans="1:7" x14ac:dyDescent="0.25">
      <c r="A1323" s="162" t="s">
        <v>64</v>
      </c>
      <c r="B1323" s="162" t="s">
        <v>65</v>
      </c>
      <c r="C1323" s="162"/>
      <c r="D1323" s="68"/>
      <c r="E1323" s="69"/>
      <c r="F1323" s="162"/>
    </row>
    <row r="1324" spans="1:7" x14ac:dyDescent="0.25">
      <c r="A1324" s="3"/>
      <c r="B1324" s="3"/>
      <c r="C1324" s="3"/>
      <c r="D1324" s="3"/>
      <c r="E1324" s="3"/>
      <c r="F1324" s="3"/>
    </row>
    <row r="1325" spans="1:7" ht="24" x14ac:dyDescent="0.25">
      <c r="A1325" s="144" t="s">
        <v>300</v>
      </c>
      <c r="B1325" s="144" t="s">
        <v>12</v>
      </c>
      <c r="C1325" s="1804" t="s">
        <v>13</v>
      </c>
      <c r="D1325" s="1804"/>
      <c r="E1325" s="11" t="s">
        <v>14</v>
      </c>
      <c r="F1325" s="165" t="s">
        <v>15</v>
      </c>
      <c r="G1325" s="267" t="s">
        <v>301</v>
      </c>
    </row>
    <row r="1326" spans="1:7" x14ac:dyDescent="0.25">
      <c r="A1326" s="144">
        <v>1</v>
      </c>
      <c r="B1326" s="144">
        <v>2</v>
      </c>
      <c r="C1326" s="1811">
        <v>3</v>
      </c>
      <c r="D1326" s="1812"/>
      <c r="E1326" s="33">
        <v>4</v>
      </c>
      <c r="F1326" s="165">
        <v>5</v>
      </c>
      <c r="G1326" s="268">
        <v>6</v>
      </c>
    </row>
    <row r="1327" spans="1:7" x14ac:dyDescent="0.25">
      <c r="A1327" s="148" t="s">
        <v>442</v>
      </c>
      <c r="B1327" s="257" t="s">
        <v>86</v>
      </c>
      <c r="C1327" s="167"/>
      <c r="D1327" s="168"/>
      <c r="E1327" s="146"/>
      <c r="F1327" s="152"/>
      <c r="G1327" s="32"/>
    </row>
    <row r="1328" spans="1:7" x14ac:dyDescent="0.25">
      <c r="A1328" s="148" t="s">
        <v>443</v>
      </c>
      <c r="B1328" s="257" t="s">
        <v>88</v>
      </c>
      <c r="C1328" s="167"/>
      <c r="D1328" s="168"/>
      <c r="E1328" s="146"/>
      <c r="F1328" s="152"/>
      <c r="G1328" s="32"/>
    </row>
    <row r="1329" spans="1:19" ht="24" x14ac:dyDescent="0.25">
      <c r="A1329" s="148" t="s">
        <v>444</v>
      </c>
      <c r="B1329" s="257" t="s">
        <v>326</v>
      </c>
      <c r="C1329" s="167"/>
      <c r="D1329" s="168"/>
      <c r="E1329" s="30"/>
      <c r="F1329" s="27"/>
      <c r="G1329" s="32"/>
    </row>
    <row r="1330" spans="1:19" x14ac:dyDescent="0.25">
      <c r="A1330" s="145"/>
      <c r="B1330" s="257" t="s">
        <v>449</v>
      </c>
      <c r="C1330" s="167">
        <v>1500</v>
      </c>
      <c r="D1330" s="168" t="s">
        <v>312</v>
      </c>
      <c r="E1330" s="30">
        <v>250</v>
      </c>
      <c r="F1330" s="27">
        <f>E1330*C1330</f>
        <v>375000</v>
      </c>
      <c r="G1330" s="32"/>
    </row>
    <row r="1331" spans="1:19" x14ac:dyDescent="0.25">
      <c r="A1331" s="20"/>
      <c r="B1331" s="257" t="s">
        <v>457</v>
      </c>
      <c r="C1331" s="167">
        <v>4</v>
      </c>
      <c r="D1331" s="168" t="s">
        <v>123</v>
      </c>
      <c r="E1331" s="30">
        <v>300000</v>
      </c>
      <c r="F1331" s="27">
        <f>E1331*C1331</f>
        <v>1200000</v>
      </c>
      <c r="G1331" s="32"/>
    </row>
    <row r="1332" spans="1:19" x14ac:dyDescent="0.25">
      <c r="A1332" s="270"/>
      <c r="B1332" s="16"/>
      <c r="C1332" s="1854"/>
      <c r="D1332" s="1849"/>
      <c r="E1332" s="12"/>
      <c r="F1332" s="189"/>
      <c r="G1332" s="32"/>
    </row>
    <row r="1333" spans="1:19" ht="30" x14ac:dyDescent="0.25">
      <c r="A1333" s="184"/>
      <c r="B1333" s="1813" t="s">
        <v>27</v>
      </c>
      <c r="C1333" s="1814"/>
      <c r="D1333" s="1814"/>
      <c r="E1333" s="1815"/>
      <c r="F1333" s="187">
        <f>SUM(F1327:F1331)</f>
        <v>1575000</v>
      </c>
      <c r="G1333" s="66" t="s">
        <v>2626</v>
      </c>
      <c r="J1333" s="175"/>
      <c r="S1333" s="175">
        <f>F1333</f>
        <v>1575000</v>
      </c>
    </row>
    <row r="1335" spans="1:19" x14ac:dyDescent="0.25">
      <c r="A1335" s="1807" t="s">
        <v>614</v>
      </c>
      <c r="B1335" s="1807"/>
      <c r="C1335" s="5" t="s">
        <v>28</v>
      </c>
      <c r="D1335" s="1808" t="s">
        <v>1698</v>
      </c>
      <c r="E1335" s="1808"/>
      <c r="F1335" s="1808"/>
      <c r="G1335" s="5"/>
    </row>
    <row r="1336" spans="1:19" x14ac:dyDescent="0.25">
      <c r="A1336" s="1807" t="s">
        <v>29</v>
      </c>
      <c r="B1336" s="1807"/>
      <c r="C1336" s="5"/>
      <c r="D1336" s="1809" t="s">
        <v>2994</v>
      </c>
      <c r="E1336" s="1809"/>
      <c r="F1336" s="1809"/>
      <c r="G1336" s="5"/>
    </row>
    <row r="1337" spans="1:19" x14ac:dyDescent="0.25">
      <c r="A1337" s="1"/>
      <c r="B1337" s="3"/>
      <c r="C1337" s="5"/>
      <c r="D1337" s="7"/>
      <c r="E1337" s="17"/>
      <c r="F1337" s="17"/>
      <c r="G1337" s="5"/>
    </row>
    <row r="1338" spans="1:19" x14ac:dyDescent="0.25">
      <c r="A1338" s="1"/>
      <c r="B1338" s="3"/>
      <c r="C1338" s="5"/>
      <c r="D1338" s="7"/>
      <c r="E1338" s="17"/>
      <c r="F1338" s="17"/>
      <c r="G1338" s="5"/>
    </row>
    <row r="1339" spans="1:19" x14ac:dyDescent="0.25">
      <c r="A1339" s="1807"/>
      <c r="B1339" s="1807"/>
      <c r="C1339" s="5"/>
      <c r="D1339" s="7"/>
      <c r="E1339" s="1807"/>
      <c r="F1339" s="1807"/>
      <c r="G1339" s="5"/>
    </row>
    <row r="1340" spans="1:19" x14ac:dyDescent="0.25">
      <c r="A1340" s="1807" t="s">
        <v>30</v>
      </c>
      <c r="B1340" s="1807"/>
      <c r="C1340" s="5"/>
      <c r="D1340" s="1807" t="s">
        <v>2995</v>
      </c>
      <c r="E1340" s="1807"/>
      <c r="F1340" s="1807"/>
      <c r="G1340" s="5"/>
    </row>
    <row r="1343" spans="1:19" x14ac:dyDescent="0.25">
      <c r="A1343" s="1800" t="s">
        <v>0</v>
      </c>
      <c r="B1343" s="1800"/>
      <c r="C1343" s="1800"/>
      <c r="D1343" s="1800"/>
      <c r="E1343" s="1800"/>
      <c r="F1343" s="1800"/>
      <c r="G1343" s="1800"/>
    </row>
    <row r="1344" spans="1:19" x14ac:dyDescent="0.25">
      <c r="A1344" s="1800" t="s">
        <v>1</v>
      </c>
      <c r="B1344" s="1800"/>
      <c r="C1344" s="1800"/>
      <c r="D1344" s="1800"/>
      <c r="E1344" s="1800"/>
      <c r="F1344" s="1800"/>
      <c r="G1344" s="1800"/>
    </row>
    <row r="1345" spans="1:7" x14ac:dyDescent="0.25">
      <c r="A1345" s="1800" t="s">
        <v>1697</v>
      </c>
      <c r="B1345" s="1800"/>
      <c r="C1345" s="1800"/>
      <c r="D1345" s="1800"/>
      <c r="E1345" s="1800"/>
      <c r="F1345" s="1800"/>
      <c r="G1345" s="1800"/>
    </row>
    <row r="1346" spans="1:7" x14ac:dyDescent="0.25">
      <c r="A1346" s="138"/>
      <c r="B1346" s="138"/>
      <c r="C1346" s="138"/>
      <c r="D1346" s="138"/>
      <c r="E1346" s="138"/>
      <c r="F1346" s="138"/>
      <c r="G1346" s="138"/>
    </row>
    <row r="1347" spans="1:7" x14ac:dyDescent="0.25">
      <c r="A1347" s="229" t="s">
        <v>296</v>
      </c>
      <c r="B1347" s="284" t="s">
        <v>3</v>
      </c>
      <c r="C1347" s="229"/>
      <c r="D1347" s="229"/>
      <c r="E1347" s="23" t="s">
        <v>6</v>
      </c>
      <c r="F1347" s="13"/>
    </row>
    <row r="1348" spans="1:7" ht="24" x14ac:dyDescent="0.25">
      <c r="A1348" s="244" t="s">
        <v>297</v>
      </c>
      <c r="B1348" s="284" t="s">
        <v>426</v>
      </c>
      <c r="C1348" s="229"/>
      <c r="D1348" s="229"/>
      <c r="E1348" s="10" t="s">
        <v>9</v>
      </c>
      <c r="F1348" s="15"/>
    </row>
    <row r="1349" spans="1:7" ht="36" x14ac:dyDescent="0.25">
      <c r="A1349" s="342" t="s">
        <v>298</v>
      </c>
      <c r="B1349" s="342" t="s">
        <v>437</v>
      </c>
      <c r="C1349" s="342"/>
      <c r="D1349" s="342"/>
      <c r="E1349" s="342"/>
      <c r="F1349" s="342"/>
    </row>
    <row r="1350" spans="1:7" x14ac:dyDescent="0.25">
      <c r="A1350" s="298" t="s">
        <v>62</v>
      </c>
      <c r="B1350" s="298" t="s">
        <v>63</v>
      </c>
      <c r="C1350" s="298"/>
      <c r="D1350" s="5"/>
      <c r="E1350" s="5"/>
      <c r="F1350" s="5"/>
    </row>
    <row r="1351" spans="1:7" x14ac:dyDescent="0.25">
      <c r="A1351" s="298" t="s">
        <v>64</v>
      </c>
      <c r="B1351" s="298" t="s">
        <v>65</v>
      </c>
      <c r="C1351" s="298"/>
      <c r="D1351" s="1808"/>
      <c r="E1351" s="1808"/>
      <c r="F1351" s="5"/>
    </row>
    <row r="1352" spans="1:7" x14ac:dyDescent="0.25">
      <c r="A1352" s="3"/>
      <c r="B1352" s="3"/>
      <c r="C1352" s="3"/>
      <c r="D1352" s="3"/>
      <c r="E1352" s="3"/>
      <c r="F1352" s="3"/>
    </row>
    <row r="1353" spans="1:7" ht="24" x14ac:dyDescent="0.25">
      <c r="A1353" s="144" t="s">
        <v>300</v>
      </c>
      <c r="B1353" s="144" t="s">
        <v>12</v>
      </c>
      <c r="C1353" s="1804" t="s">
        <v>13</v>
      </c>
      <c r="D1353" s="1804"/>
      <c r="E1353" s="11" t="s">
        <v>14</v>
      </c>
      <c r="F1353" s="165" t="s">
        <v>15</v>
      </c>
      <c r="G1353" s="267" t="s">
        <v>301</v>
      </c>
    </row>
    <row r="1354" spans="1:7" x14ac:dyDescent="0.25">
      <c r="A1354" s="144">
        <v>1</v>
      </c>
      <c r="B1354" s="144">
        <v>2</v>
      </c>
      <c r="C1354" s="1811">
        <v>3</v>
      </c>
      <c r="D1354" s="1812"/>
      <c r="E1354" s="33">
        <v>4</v>
      </c>
      <c r="F1354" s="165">
        <v>5</v>
      </c>
      <c r="G1354" s="268">
        <v>6</v>
      </c>
    </row>
    <row r="1355" spans="1:7" x14ac:dyDescent="0.25">
      <c r="A1355" s="148" t="s">
        <v>438</v>
      </c>
      <c r="B1355" s="257" t="s">
        <v>86</v>
      </c>
      <c r="C1355" s="167"/>
      <c r="D1355" s="168"/>
      <c r="E1355" s="146"/>
      <c r="F1355" s="152"/>
      <c r="G1355" s="20"/>
    </row>
    <row r="1356" spans="1:7" x14ac:dyDescent="0.25">
      <c r="A1356" s="148" t="s">
        <v>439</v>
      </c>
      <c r="B1356" s="257" t="s">
        <v>88</v>
      </c>
      <c r="C1356" s="167"/>
      <c r="D1356" s="168"/>
      <c r="E1356" s="146"/>
      <c r="F1356" s="152"/>
      <c r="G1356" s="20"/>
    </row>
    <row r="1357" spans="1:7" ht="24" x14ac:dyDescent="0.25">
      <c r="A1357" s="148" t="s">
        <v>440</v>
      </c>
      <c r="B1357" s="257" t="s">
        <v>326</v>
      </c>
      <c r="C1357" s="167"/>
      <c r="D1357" s="168"/>
      <c r="E1357" s="30"/>
      <c r="F1357" s="27"/>
      <c r="G1357" s="20"/>
    </row>
    <row r="1358" spans="1:7" x14ac:dyDescent="0.25">
      <c r="A1358" s="148"/>
      <c r="B1358" s="257" t="s">
        <v>327</v>
      </c>
      <c r="C1358" s="167">
        <v>500</v>
      </c>
      <c r="D1358" s="168" t="s">
        <v>312</v>
      </c>
      <c r="E1358" s="30">
        <v>250</v>
      </c>
      <c r="F1358" s="27">
        <f>E1358*C1358</f>
        <v>125000</v>
      </c>
      <c r="G1358" s="20"/>
    </row>
    <row r="1359" spans="1:7" x14ac:dyDescent="0.25">
      <c r="A1359" s="148"/>
      <c r="B1359" s="257" t="s">
        <v>441</v>
      </c>
      <c r="C1359" s="167">
        <v>5</v>
      </c>
      <c r="D1359" s="168" t="s">
        <v>123</v>
      </c>
      <c r="E1359" s="30">
        <v>300000</v>
      </c>
      <c r="F1359" s="27">
        <f>E1359*C1359</f>
        <v>1500000</v>
      </c>
      <c r="G1359" s="20"/>
    </row>
    <row r="1360" spans="1:7" x14ac:dyDescent="0.25">
      <c r="A1360" s="16"/>
      <c r="B1360" s="257"/>
      <c r="C1360" s="167"/>
      <c r="D1360" s="168"/>
      <c r="E1360" s="30"/>
      <c r="F1360" s="27"/>
      <c r="G1360" s="20"/>
    </row>
    <row r="1361" spans="1:21" x14ac:dyDescent="0.25">
      <c r="A1361" s="16"/>
      <c r="B1361" s="16"/>
      <c r="C1361" s="6"/>
      <c r="D1361" s="25"/>
      <c r="E1361" s="12"/>
      <c r="F1361" s="12"/>
      <c r="G1361" s="20"/>
    </row>
    <row r="1362" spans="1:21" ht="24.75" x14ac:dyDescent="0.25">
      <c r="A1362" s="16"/>
      <c r="B1362" s="1848" t="s">
        <v>27</v>
      </c>
      <c r="C1362" s="1848"/>
      <c r="D1362" s="1848"/>
      <c r="E1362" s="1849"/>
      <c r="F1362" s="12">
        <f>SUM(F1357:F1361)</f>
        <v>1625000</v>
      </c>
      <c r="G1362" s="179" t="s">
        <v>2628</v>
      </c>
      <c r="J1362" s="286"/>
      <c r="U1362" s="286">
        <f>F1362</f>
        <v>1625000</v>
      </c>
    </row>
    <row r="1364" spans="1:21" x14ac:dyDescent="0.25">
      <c r="A1364" s="1807" t="s">
        <v>614</v>
      </c>
      <c r="B1364" s="1807"/>
      <c r="C1364" s="5" t="s">
        <v>28</v>
      </c>
      <c r="D1364" s="1808" t="s">
        <v>1698</v>
      </c>
      <c r="E1364" s="1808"/>
      <c r="F1364" s="1808"/>
      <c r="G1364" s="5"/>
    </row>
    <row r="1365" spans="1:21" x14ac:dyDescent="0.25">
      <c r="A1365" s="1807" t="s">
        <v>29</v>
      </c>
      <c r="B1365" s="1807"/>
      <c r="C1365" s="5"/>
      <c r="D1365" s="1809" t="s">
        <v>2994</v>
      </c>
      <c r="E1365" s="1809"/>
      <c r="F1365" s="1809"/>
      <c r="G1365" s="5"/>
    </row>
    <row r="1366" spans="1:21" x14ac:dyDescent="0.25">
      <c r="A1366" s="1"/>
      <c r="B1366" s="3"/>
      <c r="C1366" s="5"/>
      <c r="D1366" s="7"/>
      <c r="E1366" s="17"/>
      <c r="F1366" s="17"/>
      <c r="G1366" s="5"/>
    </row>
    <row r="1367" spans="1:21" x14ac:dyDescent="0.25">
      <c r="A1367" s="1"/>
      <c r="B1367" s="3"/>
      <c r="C1367" s="5"/>
      <c r="D1367" s="7"/>
      <c r="E1367" s="17"/>
      <c r="F1367" s="17"/>
      <c r="G1367" s="5"/>
    </row>
    <row r="1368" spans="1:21" x14ac:dyDescent="0.25">
      <c r="A1368" s="1807"/>
      <c r="B1368" s="1807"/>
      <c r="C1368" s="5"/>
      <c r="D1368" s="7"/>
      <c r="E1368" s="1807"/>
      <c r="F1368" s="1807"/>
      <c r="G1368" s="5"/>
    </row>
    <row r="1369" spans="1:21" x14ac:dyDescent="0.25">
      <c r="A1369" s="1807" t="s">
        <v>30</v>
      </c>
      <c r="B1369" s="1807"/>
      <c r="C1369" s="5"/>
      <c r="D1369" s="1807" t="s">
        <v>2995</v>
      </c>
      <c r="E1369" s="1807"/>
      <c r="F1369" s="1807"/>
      <c r="G1369" s="5"/>
    </row>
    <row r="1371" spans="1:21" x14ac:dyDescent="0.25">
      <c r="A1371" s="1800" t="s">
        <v>0</v>
      </c>
      <c r="B1371" s="1800"/>
      <c r="C1371" s="1800"/>
      <c r="D1371" s="1800"/>
      <c r="E1371" s="1800"/>
      <c r="F1371" s="1800"/>
      <c r="G1371" s="1800"/>
    </row>
    <row r="1372" spans="1:21" x14ac:dyDescent="0.25">
      <c r="A1372" s="1800" t="s">
        <v>1</v>
      </c>
      <c r="B1372" s="1800"/>
      <c r="C1372" s="1800"/>
      <c r="D1372" s="1800"/>
      <c r="E1372" s="1800"/>
      <c r="F1372" s="1800"/>
      <c r="G1372" s="1800"/>
    </row>
    <row r="1373" spans="1:21" x14ac:dyDescent="0.25">
      <c r="A1373" s="1800" t="s">
        <v>1697</v>
      </c>
      <c r="B1373" s="1800"/>
      <c r="C1373" s="1800"/>
      <c r="D1373" s="1800"/>
      <c r="E1373" s="1800"/>
      <c r="F1373" s="1800"/>
      <c r="G1373" s="1800"/>
    </row>
    <row r="1374" spans="1:21" x14ac:dyDescent="0.25">
      <c r="A1374" s="138"/>
      <c r="B1374" s="138"/>
      <c r="C1374" s="138"/>
      <c r="D1374" s="138"/>
      <c r="E1374" s="138"/>
      <c r="F1374" s="138"/>
      <c r="G1374" s="138"/>
    </row>
    <row r="1375" spans="1:21" x14ac:dyDescent="0.25">
      <c r="A1375" s="139" t="s">
        <v>1224</v>
      </c>
      <c r="B1375" s="240" t="s">
        <v>3</v>
      </c>
      <c r="C1375" s="139"/>
      <c r="D1375" s="139"/>
      <c r="E1375" s="1652" t="s">
        <v>6</v>
      </c>
      <c r="F1375" s="1652" t="s">
        <v>65</v>
      </c>
      <c r="G1375" s="240"/>
    </row>
    <row r="1376" spans="1:21" ht="32.25" customHeight="1" x14ac:dyDescent="0.25">
      <c r="A1376" s="71" t="s">
        <v>1225</v>
      </c>
      <c r="B1376" s="918" t="s">
        <v>2002</v>
      </c>
      <c r="C1376" s="139"/>
      <c r="D1376" s="139"/>
      <c r="E1376" s="72" t="s">
        <v>368</v>
      </c>
      <c r="F1376" s="139" t="s">
        <v>65</v>
      </c>
      <c r="G1376" s="240"/>
    </row>
    <row r="1377" spans="1:7" ht="56.25" customHeight="1" x14ac:dyDescent="0.25">
      <c r="A1377" s="71" t="s">
        <v>1226</v>
      </c>
      <c r="B1377" s="1653" t="s">
        <v>2003</v>
      </c>
      <c r="C1377" s="71"/>
      <c r="D1377" s="139"/>
      <c r="E1377" s="139"/>
      <c r="F1377" s="139"/>
      <c r="G1377" s="240"/>
    </row>
    <row r="1378" spans="1:7" x14ac:dyDescent="0.25">
      <c r="A1378" s="139" t="s">
        <v>579</v>
      </c>
      <c r="B1378" s="240" t="s">
        <v>2004</v>
      </c>
      <c r="C1378" s="139"/>
      <c r="D1378" s="139"/>
      <c r="E1378" s="139"/>
      <c r="F1378" s="139"/>
      <c r="G1378" s="240"/>
    </row>
    <row r="1379" spans="1:7" x14ac:dyDescent="0.25">
      <c r="A1379" s="3" t="s">
        <v>1177</v>
      </c>
      <c r="B1379" s="3" t="s">
        <v>65</v>
      </c>
      <c r="C1379" s="3"/>
      <c r="D1379" s="3"/>
      <c r="E1379" s="3"/>
      <c r="F1379" s="3"/>
      <c r="G1379" s="240"/>
    </row>
    <row r="1380" spans="1:7" x14ac:dyDescent="0.25">
      <c r="A1380" s="3"/>
      <c r="B1380" s="3"/>
      <c r="C1380" s="3"/>
      <c r="D1380" s="3"/>
      <c r="E1380" s="3"/>
      <c r="F1380" s="3"/>
      <c r="G1380" s="240"/>
    </row>
    <row r="1381" spans="1:7" ht="24" x14ac:dyDescent="0.25">
      <c r="A1381" s="144" t="s">
        <v>300</v>
      </c>
      <c r="B1381" s="144" t="s">
        <v>12</v>
      </c>
      <c r="C1381" s="1654" t="s">
        <v>13</v>
      </c>
      <c r="D1381" s="1654" t="s">
        <v>1947</v>
      </c>
      <c r="E1381" s="11" t="s">
        <v>14</v>
      </c>
      <c r="F1381" s="144" t="s">
        <v>15</v>
      </c>
      <c r="G1381" s="365" t="s">
        <v>301</v>
      </c>
    </row>
    <row r="1382" spans="1:7" x14ac:dyDescent="0.25">
      <c r="A1382" s="144">
        <v>1</v>
      </c>
      <c r="B1382" s="144">
        <v>2</v>
      </c>
      <c r="C1382" s="144">
        <v>3</v>
      </c>
      <c r="D1382" s="144">
        <v>4</v>
      </c>
      <c r="E1382" s="33">
        <v>5</v>
      </c>
      <c r="F1382" s="144">
        <v>6</v>
      </c>
      <c r="G1382" s="365">
        <v>7</v>
      </c>
    </row>
    <row r="1383" spans="1:7" x14ac:dyDescent="0.25">
      <c r="A1383" s="1655" t="s">
        <v>2005</v>
      </c>
      <c r="B1383" s="1656" t="s">
        <v>323</v>
      </c>
      <c r="C1383" s="365"/>
      <c r="D1383" s="1657"/>
      <c r="E1383" s="1657"/>
      <c r="F1383" s="176"/>
      <c r="G1383" s="241"/>
    </row>
    <row r="1384" spans="1:7" x14ac:dyDescent="0.25">
      <c r="A1384" s="1655" t="s">
        <v>2007</v>
      </c>
      <c r="B1384" s="1656" t="s">
        <v>2925</v>
      </c>
      <c r="C1384" s="365"/>
      <c r="D1384" s="1657"/>
      <c r="E1384" s="1657"/>
      <c r="F1384" s="176"/>
      <c r="G1384" s="241"/>
    </row>
    <row r="1385" spans="1:7" ht="28.5" x14ac:dyDescent="0.25">
      <c r="A1385" s="1655" t="s">
        <v>2923</v>
      </c>
      <c r="B1385" s="1656" t="s">
        <v>2832</v>
      </c>
      <c r="C1385" s="365"/>
      <c r="D1385" s="1657"/>
      <c r="E1385" s="1657"/>
      <c r="F1385" s="4"/>
      <c r="G1385" s="241"/>
    </row>
    <row r="1386" spans="1:7" x14ac:dyDescent="0.25">
      <c r="A1386" s="1655"/>
      <c r="B1386" s="1658" t="s">
        <v>308</v>
      </c>
      <c r="C1386" s="365">
        <v>6</v>
      </c>
      <c r="D1386" s="1657" t="s">
        <v>2833</v>
      </c>
      <c r="E1386" s="1657">
        <v>68000</v>
      </c>
      <c r="F1386" s="85">
        <f>E1386*C1386</f>
        <v>408000</v>
      </c>
      <c r="G1386" s="241"/>
    </row>
    <row r="1387" spans="1:7" x14ac:dyDescent="0.25">
      <c r="A1387" s="1655"/>
      <c r="B1387" s="1658" t="s">
        <v>2834</v>
      </c>
      <c r="C1387" s="365">
        <v>11</v>
      </c>
      <c r="D1387" s="1657" t="s">
        <v>2835</v>
      </c>
      <c r="E1387" s="1657">
        <v>4600</v>
      </c>
      <c r="F1387" s="85">
        <f t="shared" ref="F1387:F1389" si="22">E1387*C1387</f>
        <v>50600</v>
      </c>
      <c r="G1387" s="241"/>
    </row>
    <row r="1388" spans="1:7" x14ac:dyDescent="0.25">
      <c r="A1388" s="1655"/>
      <c r="B1388" s="1658" t="s">
        <v>2836</v>
      </c>
      <c r="C1388" s="365">
        <v>15</v>
      </c>
      <c r="D1388" s="1657" t="s">
        <v>2835</v>
      </c>
      <c r="E1388" s="1657">
        <v>3500</v>
      </c>
      <c r="F1388" s="85">
        <f t="shared" si="22"/>
        <v>52500</v>
      </c>
      <c r="G1388" s="241"/>
    </row>
    <row r="1389" spans="1:7" x14ac:dyDescent="0.25">
      <c r="A1389" s="1655"/>
      <c r="B1389" s="1658" t="s">
        <v>2424</v>
      </c>
      <c r="C1389" s="365">
        <v>1</v>
      </c>
      <c r="D1389" s="1657" t="s">
        <v>526</v>
      </c>
      <c r="E1389" s="1657">
        <v>48000</v>
      </c>
      <c r="F1389" s="85">
        <f t="shared" si="22"/>
        <v>48000</v>
      </c>
      <c r="G1389" s="241"/>
    </row>
    <row r="1390" spans="1:7" x14ac:dyDescent="0.25">
      <c r="A1390" s="1655"/>
      <c r="B1390" s="1656"/>
      <c r="C1390" s="365"/>
      <c r="D1390" s="1657"/>
      <c r="E1390" s="1657"/>
      <c r="F1390" s="85"/>
      <c r="G1390" s="241"/>
    </row>
    <row r="1391" spans="1:7" ht="28.5" x14ac:dyDescent="0.25">
      <c r="A1391" s="1655" t="s">
        <v>2924</v>
      </c>
      <c r="B1391" s="1656" t="s">
        <v>2837</v>
      </c>
      <c r="C1391" s="365"/>
      <c r="D1391" s="1657"/>
      <c r="E1391" s="1657"/>
      <c r="F1391" s="85"/>
      <c r="G1391" s="241"/>
    </row>
    <row r="1392" spans="1:7" x14ac:dyDescent="0.25">
      <c r="A1392" s="1655"/>
      <c r="B1392" s="1658" t="s">
        <v>120</v>
      </c>
      <c r="C1392" s="365">
        <v>20000</v>
      </c>
      <c r="D1392" s="1657" t="s">
        <v>2838</v>
      </c>
      <c r="E1392" s="1657">
        <v>300</v>
      </c>
      <c r="F1392" s="85">
        <f>E1392*C1392</f>
        <v>6000000</v>
      </c>
      <c r="G1392" s="241"/>
    </row>
    <row r="1393" spans="1:8" x14ac:dyDescent="0.25">
      <c r="A1393" s="1655"/>
      <c r="B1393" s="1658" t="s">
        <v>2839</v>
      </c>
      <c r="C1393" s="365">
        <v>4</v>
      </c>
      <c r="D1393" s="1657" t="s">
        <v>2840</v>
      </c>
      <c r="E1393" s="1657">
        <v>215000</v>
      </c>
      <c r="F1393" s="85">
        <f t="shared" ref="F1393:F1394" si="23">E1393*C1393</f>
        <v>860000</v>
      </c>
      <c r="G1393" s="241"/>
    </row>
    <row r="1394" spans="1:8" x14ac:dyDescent="0.25">
      <c r="A1394" s="1655"/>
      <c r="B1394" s="1658" t="s">
        <v>2841</v>
      </c>
      <c r="C1394" s="365">
        <v>50</v>
      </c>
      <c r="D1394" s="1657" t="s">
        <v>2842</v>
      </c>
      <c r="E1394" s="1657">
        <v>20000</v>
      </c>
      <c r="F1394" s="85">
        <f t="shared" si="23"/>
        <v>1000000</v>
      </c>
      <c r="G1394" s="241"/>
    </row>
    <row r="1395" spans="1:8" ht="28.5" x14ac:dyDescent="0.25">
      <c r="A1395" s="1655" t="s">
        <v>2008</v>
      </c>
      <c r="B1395" s="1659" t="s">
        <v>354</v>
      </c>
      <c r="C1395" s="365"/>
      <c r="D1395" s="1657"/>
      <c r="E1395" s="1660"/>
      <c r="F1395" s="1661"/>
      <c r="G1395" s="241"/>
    </row>
    <row r="1396" spans="1:8" ht="28.5" x14ac:dyDescent="0.25">
      <c r="A1396" s="1655"/>
      <c r="B1396" s="1659" t="s">
        <v>2829</v>
      </c>
      <c r="C1396" s="365">
        <f>40*2</f>
        <v>80</v>
      </c>
      <c r="D1396" s="1657" t="s">
        <v>526</v>
      </c>
      <c r="E1396" s="1660">
        <v>15000</v>
      </c>
      <c r="F1396" s="1661">
        <f>E1396*C1396</f>
        <v>1200000</v>
      </c>
      <c r="G1396" s="241"/>
    </row>
    <row r="1397" spans="1:8" ht="28.5" x14ac:dyDescent="0.25">
      <c r="A1397" s="1655"/>
      <c r="B1397" s="1659" t="s">
        <v>2830</v>
      </c>
      <c r="C1397" s="365">
        <f>50*2</f>
        <v>100</v>
      </c>
      <c r="D1397" s="1657" t="s">
        <v>526</v>
      </c>
      <c r="E1397" s="1660">
        <v>15000</v>
      </c>
      <c r="F1397" s="1661">
        <f>E1397*C1397</f>
        <v>1500000</v>
      </c>
      <c r="G1397" s="241"/>
    </row>
    <row r="1398" spans="1:8" ht="28.5" x14ac:dyDescent="0.25">
      <c r="A1398" s="1655"/>
      <c r="B1398" s="1659" t="s">
        <v>2831</v>
      </c>
      <c r="C1398" s="365">
        <f>50*2</f>
        <v>100</v>
      </c>
      <c r="D1398" s="1657" t="s">
        <v>526</v>
      </c>
      <c r="E1398" s="1660">
        <v>15000</v>
      </c>
      <c r="F1398" s="1661">
        <f t="shared" ref="F1398" si="24">E1398*C1398</f>
        <v>1500000</v>
      </c>
      <c r="G1398" s="241"/>
    </row>
    <row r="1399" spans="1:8" x14ac:dyDescent="0.25">
      <c r="A1399" s="1655"/>
      <c r="B1399" s="1659"/>
      <c r="C1399" s="365"/>
      <c r="D1399" s="1657"/>
      <c r="E1399" s="1660"/>
      <c r="F1399" s="1661"/>
      <c r="G1399" s="241"/>
    </row>
    <row r="1400" spans="1:8" ht="30" x14ac:dyDescent="0.25">
      <c r="A1400" s="2"/>
      <c r="B1400" s="613" t="s">
        <v>2009</v>
      </c>
      <c r="C1400" s="365">
        <v>400</v>
      </c>
      <c r="D1400" s="1657" t="s">
        <v>315</v>
      </c>
      <c r="E1400" s="1660">
        <v>15000</v>
      </c>
      <c r="F1400" s="1661">
        <f>C1400*E1400</f>
        <v>6000000</v>
      </c>
      <c r="G1400" s="241"/>
      <c r="H1400">
        <v>266</v>
      </c>
    </row>
    <row r="1401" spans="1:8" ht="150" x14ac:dyDescent="0.25">
      <c r="A1401" s="2"/>
      <c r="B1401" s="613" t="s">
        <v>2010</v>
      </c>
      <c r="C1401" s="365"/>
      <c r="D1401" s="1657"/>
      <c r="E1401" s="1660"/>
      <c r="F1401" s="1661"/>
      <c r="G1401" s="241"/>
    </row>
    <row r="1402" spans="1:8" ht="30" x14ac:dyDescent="0.25">
      <c r="A1402" s="2"/>
      <c r="B1402" s="613" t="s">
        <v>2011</v>
      </c>
      <c r="C1402" s="365">
        <v>400</v>
      </c>
      <c r="D1402" s="1657" t="s">
        <v>315</v>
      </c>
      <c r="E1402" s="1660">
        <v>15000</v>
      </c>
      <c r="F1402" s="1661">
        <f>C1402*E1402</f>
        <v>6000000</v>
      </c>
      <c r="G1402" s="241"/>
      <c r="H1402">
        <v>266</v>
      </c>
    </row>
    <row r="1403" spans="1:8" ht="150" x14ac:dyDescent="0.25">
      <c r="A1403" s="178"/>
      <c r="B1403" s="613" t="s">
        <v>2010</v>
      </c>
      <c r="C1403" s="365"/>
      <c r="D1403" s="1654"/>
      <c r="E1403" s="1662"/>
      <c r="F1403" s="1661"/>
      <c r="G1403" s="241"/>
    </row>
    <row r="1404" spans="1:8" x14ac:dyDescent="0.25">
      <c r="A1404" s="1655" t="s">
        <v>2012</v>
      </c>
      <c r="B1404" s="1656" t="s">
        <v>574</v>
      </c>
      <c r="C1404" s="365"/>
      <c r="D1404" s="1657"/>
      <c r="E1404" s="1660"/>
      <c r="F1404" s="1661"/>
      <c r="G1404" s="241"/>
    </row>
    <row r="1405" spans="1:8" x14ac:dyDescent="0.25">
      <c r="A1405" s="2"/>
      <c r="B1405" s="613" t="s">
        <v>2013</v>
      </c>
      <c r="C1405" s="365">
        <v>10</v>
      </c>
      <c r="D1405" s="1657" t="s">
        <v>142</v>
      </c>
      <c r="E1405" s="1660">
        <v>60000</v>
      </c>
      <c r="F1405" s="1661">
        <f t="shared" ref="F1405:F1413" si="25">C1405*E1405</f>
        <v>600000</v>
      </c>
      <c r="G1405" s="241"/>
    </row>
    <row r="1406" spans="1:8" x14ac:dyDescent="0.25">
      <c r="A1406" s="2"/>
      <c r="B1406" s="613" t="s">
        <v>2014</v>
      </c>
      <c r="C1406" s="365">
        <v>2</v>
      </c>
      <c r="D1406" s="1657" t="s">
        <v>460</v>
      </c>
      <c r="E1406" s="1660">
        <v>500000</v>
      </c>
      <c r="F1406" s="1661">
        <f t="shared" si="25"/>
        <v>1000000</v>
      </c>
      <c r="G1406" s="241"/>
    </row>
    <row r="1407" spans="1:8" x14ac:dyDescent="0.25">
      <c r="A1407" s="2"/>
      <c r="B1407" s="613" t="s">
        <v>2015</v>
      </c>
      <c r="C1407" s="365">
        <v>10</v>
      </c>
      <c r="D1407" s="1657" t="s">
        <v>460</v>
      </c>
      <c r="E1407" s="1660">
        <v>150000</v>
      </c>
      <c r="F1407" s="1661">
        <f t="shared" si="25"/>
        <v>1500000</v>
      </c>
      <c r="G1407" s="241"/>
    </row>
    <row r="1408" spans="1:8" x14ac:dyDescent="0.25">
      <c r="A1408" s="2"/>
      <c r="B1408" s="613" t="s">
        <v>2016</v>
      </c>
      <c r="C1408" s="365">
        <v>10</v>
      </c>
      <c r="D1408" s="1657" t="s">
        <v>460</v>
      </c>
      <c r="E1408" s="1660">
        <v>50000</v>
      </c>
      <c r="F1408" s="1661">
        <f t="shared" si="25"/>
        <v>500000</v>
      </c>
      <c r="G1408" s="241"/>
    </row>
    <row r="1409" spans="1:7" x14ac:dyDescent="0.25">
      <c r="A1409" s="2"/>
      <c r="B1409" s="700" t="s">
        <v>2017</v>
      </c>
      <c r="C1409" s="365">
        <v>25</v>
      </c>
      <c r="D1409" s="1657" t="s">
        <v>460</v>
      </c>
      <c r="E1409" s="1660">
        <v>75000</v>
      </c>
      <c r="F1409" s="1661">
        <f t="shared" si="25"/>
        <v>1875000</v>
      </c>
      <c r="G1409" s="241"/>
    </row>
    <row r="1410" spans="1:7" ht="30" x14ac:dyDescent="0.25">
      <c r="A1410" s="2"/>
      <c r="B1410" s="613" t="s">
        <v>2018</v>
      </c>
      <c r="C1410" s="365">
        <v>8</v>
      </c>
      <c r="D1410" s="1657" t="s">
        <v>460</v>
      </c>
      <c r="E1410" s="1660">
        <v>250000</v>
      </c>
      <c r="F1410" s="1661">
        <f t="shared" si="25"/>
        <v>2000000</v>
      </c>
      <c r="G1410" s="241"/>
    </row>
    <row r="1411" spans="1:7" x14ac:dyDescent="0.25">
      <c r="A1411" s="2"/>
      <c r="B1411" s="700" t="s">
        <v>2019</v>
      </c>
      <c r="C1411" s="365">
        <v>4</v>
      </c>
      <c r="D1411" s="1657" t="s">
        <v>460</v>
      </c>
      <c r="E1411" s="1660">
        <v>550000</v>
      </c>
      <c r="F1411" s="1661">
        <f t="shared" si="25"/>
        <v>2200000</v>
      </c>
      <c r="G1411" s="241"/>
    </row>
    <row r="1412" spans="1:7" x14ac:dyDescent="0.25">
      <c r="A1412" s="2"/>
      <c r="B1412" s="613" t="s">
        <v>2020</v>
      </c>
      <c r="C1412" s="365">
        <v>5</v>
      </c>
      <c r="D1412" s="1657" t="s">
        <v>460</v>
      </c>
      <c r="E1412" s="1660">
        <v>750000</v>
      </c>
      <c r="F1412" s="1661">
        <f t="shared" si="25"/>
        <v>3750000</v>
      </c>
      <c r="G1412" s="241"/>
    </row>
    <row r="1413" spans="1:7" ht="30" x14ac:dyDescent="0.25">
      <c r="A1413" s="2"/>
      <c r="B1413" s="1663" t="s">
        <v>2021</v>
      </c>
      <c r="C1413" s="365">
        <v>1</v>
      </c>
      <c r="D1413" s="1657" t="s">
        <v>689</v>
      </c>
      <c r="E1413" s="1660">
        <v>18374345</v>
      </c>
      <c r="F1413" s="1661">
        <f t="shared" si="25"/>
        <v>18374345</v>
      </c>
      <c r="G1413" s="241"/>
    </row>
    <row r="1414" spans="1:7" ht="28.5" x14ac:dyDescent="0.25">
      <c r="A1414" s="1655" t="s">
        <v>2022</v>
      </c>
      <c r="B1414" s="687" t="s">
        <v>2023</v>
      </c>
      <c r="C1414" s="365"/>
      <c r="D1414" s="1657"/>
      <c r="E1414" s="1660"/>
      <c r="F1414" s="1661"/>
      <c r="G1414" s="241"/>
    </row>
    <row r="1415" spans="1:7" x14ac:dyDescent="0.25">
      <c r="A1415" s="2"/>
      <c r="B1415" s="700" t="s">
        <v>2024</v>
      </c>
      <c r="C1415" s="365">
        <v>1</v>
      </c>
      <c r="D1415" s="1657" t="s">
        <v>460</v>
      </c>
      <c r="E1415" s="1660">
        <f>150000*6</f>
        <v>900000</v>
      </c>
      <c r="F1415" s="1661">
        <f>C1415*E1415</f>
        <v>900000</v>
      </c>
      <c r="G1415" s="241"/>
    </row>
    <row r="1416" spans="1:7" x14ac:dyDescent="0.25">
      <c r="A1416" s="2"/>
      <c r="B1416" s="700" t="s">
        <v>2025</v>
      </c>
      <c r="C1416" s="365">
        <v>1</v>
      </c>
      <c r="D1416" s="1657" t="s">
        <v>460</v>
      </c>
      <c r="E1416" s="1660">
        <v>150000</v>
      </c>
      <c r="F1416" s="1661">
        <f>C1416*E1416</f>
        <v>150000</v>
      </c>
      <c r="G1416" s="241"/>
    </row>
    <row r="1417" spans="1:7" ht="28.5" x14ac:dyDescent="0.25">
      <c r="A1417" s="1655" t="s">
        <v>2026</v>
      </c>
      <c r="B1417" s="687" t="s">
        <v>1188</v>
      </c>
      <c r="C1417" s="365"/>
      <c r="D1417" s="1657"/>
      <c r="E1417" s="1660"/>
      <c r="F1417" s="1661"/>
      <c r="G1417" s="241"/>
    </row>
    <row r="1418" spans="1:7" x14ac:dyDescent="0.25">
      <c r="A1418" s="2"/>
      <c r="B1418" s="613" t="s">
        <v>2027</v>
      </c>
      <c r="C1418" s="365">
        <v>69</v>
      </c>
      <c r="D1418" s="1657" t="s">
        <v>2028</v>
      </c>
      <c r="E1418" s="1660">
        <v>500000</v>
      </c>
      <c r="F1418" s="1661">
        <f>C1418*E1418</f>
        <v>34500000</v>
      </c>
      <c r="G1418" s="241"/>
    </row>
    <row r="1419" spans="1:7" x14ac:dyDescent="0.25">
      <c r="A1419" s="2"/>
      <c r="B1419" s="613" t="s">
        <v>574</v>
      </c>
      <c r="C1419" s="365"/>
      <c r="D1419" s="1657"/>
      <c r="E1419" s="1660"/>
      <c r="F1419" s="1661"/>
      <c r="G1419" s="241"/>
    </row>
    <row r="1420" spans="1:7" x14ac:dyDescent="0.25">
      <c r="A1420" s="1655" t="s">
        <v>2029</v>
      </c>
      <c r="B1420" s="1664" t="s">
        <v>516</v>
      </c>
      <c r="C1420" s="365"/>
      <c r="D1420" s="1657"/>
      <c r="E1420" s="1657"/>
      <c r="F1420" s="12"/>
      <c r="G1420" s="241"/>
    </row>
    <row r="1421" spans="1:7" ht="28.5" x14ac:dyDescent="0.25">
      <c r="A1421" s="1655" t="s">
        <v>2030</v>
      </c>
      <c r="B1421" s="687" t="s">
        <v>2031</v>
      </c>
      <c r="C1421" s="365"/>
      <c r="D1421" s="1657"/>
      <c r="E1421" s="1657"/>
      <c r="F1421" s="1661"/>
      <c r="G1421" s="241"/>
    </row>
    <row r="1422" spans="1:7" x14ac:dyDescent="0.25">
      <c r="A1422" s="2"/>
      <c r="B1422" s="613" t="s">
        <v>1286</v>
      </c>
      <c r="C1422" s="365">
        <v>1</v>
      </c>
      <c r="D1422" s="1657" t="s">
        <v>259</v>
      </c>
      <c r="E1422" s="1660">
        <v>5000000</v>
      </c>
      <c r="F1422" s="1665">
        <f>C1422*E1422</f>
        <v>5000000</v>
      </c>
      <c r="G1422" s="241"/>
    </row>
    <row r="1423" spans="1:7" ht="28.5" x14ac:dyDescent="0.25">
      <c r="A1423" s="1655" t="s">
        <v>2032</v>
      </c>
      <c r="B1423" s="687" t="s">
        <v>2033</v>
      </c>
      <c r="C1423" s="365"/>
      <c r="D1423" s="1657"/>
      <c r="E1423" s="1660"/>
      <c r="F1423" s="1661"/>
      <c r="G1423" s="241"/>
    </row>
    <row r="1424" spans="1:7" x14ac:dyDescent="0.25">
      <c r="A1424" s="2"/>
      <c r="B1424" s="613" t="s">
        <v>2034</v>
      </c>
      <c r="C1424" s="365">
        <v>1</v>
      </c>
      <c r="D1424" s="1657" t="s">
        <v>159</v>
      </c>
      <c r="E1424" s="1660">
        <v>1500000</v>
      </c>
      <c r="F1424" s="1661">
        <f>C1424*E1424</f>
        <v>1500000</v>
      </c>
      <c r="G1424" s="241"/>
    </row>
    <row r="1425" spans="1:10" x14ac:dyDescent="0.25">
      <c r="A1425" s="2"/>
      <c r="B1425" s="700" t="s">
        <v>2035</v>
      </c>
      <c r="C1425" s="365">
        <v>1</v>
      </c>
      <c r="D1425" s="1657" t="s">
        <v>259</v>
      </c>
      <c r="E1425" s="1660">
        <v>10000000</v>
      </c>
      <c r="F1425" s="1661">
        <f>C1425*E1425</f>
        <v>10000000</v>
      </c>
      <c r="G1425" s="241"/>
    </row>
    <row r="1426" spans="1:10" s="495" customFormat="1" x14ac:dyDescent="0.25">
      <c r="A1426" s="178"/>
      <c r="B1426" s="613" t="s">
        <v>2891</v>
      </c>
      <c r="C1426" s="144">
        <v>1</v>
      </c>
      <c r="D1426" s="144" t="s">
        <v>159</v>
      </c>
      <c r="E1426" s="1662">
        <v>2000000</v>
      </c>
      <c r="F1426" s="1661">
        <f>E1426*C1426</f>
        <v>2000000</v>
      </c>
      <c r="G1426" s="241"/>
      <c r="H1426" s="495" t="s">
        <v>2926</v>
      </c>
    </row>
    <row r="1427" spans="1:10" x14ac:dyDescent="0.25">
      <c r="A1427" s="178"/>
      <c r="B1427" s="613"/>
      <c r="C1427" s="144"/>
      <c r="D1427" s="144"/>
      <c r="E1427" s="1662"/>
      <c r="F1427" s="1661"/>
      <c r="G1427" s="241"/>
    </row>
    <row r="1428" spans="1:10" x14ac:dyDescent="0.25">
      <c r="A1428" s="271"/>
      <c r="B1428" s="1880" t="s">
        <v>27</v>
      </c>
      <c r="C1428" s="1880"/>
      <c r="D1428" s="1880"/>
      <c r="E1428" s="1880"/>
      <c r="F1428" s="1666">
        <f>SUM(F1386:F1426)</f>
        <v>110468445</v>
      </c>
      <c r="G1428" s="241" t="s">
        <v>1682</v>
      </c>
      <c r="J1428" s="286">
        <f>F1428</f>
        <v>110468445</v>
      </c>
    </row>
    <row r="1429" spans="1:10" x14ac:dyDescent="0.25">
      <c r="A1429" s="1807" t="s">
        <v>614</v>
      </c>
      <c r="B1429" s="1807"/>
      <c r="C1429" s="5" t="s">
        <v>28</v>
      </c>
      <c r="D1429" s="1808" t="s">
        <v>1698</v>
      </c>
      <c r="E1429" s="1808"/>
      <c r="F1429" s="1808"/>
      <c r="G1429" s="5"/>
    </row>
    <row r="1430" spans="1:10" x14ac:dyDescent="0.25">
      <c r="A1430" s="1807" t="s">
        <v>29</v>
      </c>
      <c r="B1430" s="1807"/>
      <c r="C1430" s="5"/>
      <c r="D1430" s="1809" t="s">
        <v>2992</v>
      </c>
      <c r="E1430" s="1809"/>
      <c r="F1430" s="1809"/>
      <c r="G1430" s="5"/>
    </row>
    <row r="1431" spans="1:10" x14ac:dyDescent="0.25">
      <c r="A1431" s="1"/>
      <c r="B1431" s="3"/>
      <c r="C1431" s="5"/>
      <c r="D1431" s="7"/>
      <c r="E1431" s="17"/>
      <c r="F1431" s="17"/>
      <c r="G1431" s="5"/>
    </row>
    <row r="1432" spans="1:10" x14ac:dyDescent="0.25">
      <c r="A1432" s="1"/>
      <c r="B1432" s="3"/>
      <c r="C1432" s="5"/>
      <c r="D1432" s="7"/>
      <c r="E1432" s="17"/>
      <c r="F1432" s="17"/>
      <c r="G1432" s="5"/>
    </row>
    <row r="1433" spans="1:10" x14ac:dyDescent="0.25">
      <c r="A1433" s="1807"/>
      <c r="B1433" s="1807"/>
      <c r="C1433" s="5"/>
      <c r="D1433" s="7"/>
      <c r="E1433" s="1807"/>
      <c r="F1433" s="1807"/>
      <c r="G1433" s="5"/>
    </row>
    <row r="1434" spans="1:10" x14ac:dyDescent="0.25">
      <c r="A1434" s="1807" t="s">
        <v>30</v>
      </c>
      <c r="B1434" s="1807"/>
      <c r="C1434" s="5"/>
      <c r="D1434" s="1807" t="s">
        <v>2993</v>
      </c>
      <c r="E1434" s="1807"/>
      <c r="F1434" s="1807"/>
      <c r="G1434" s="5"/>
      <c r="I1434" s="1335"/>
    </row>
    <row r="1435" spans="1:10" x14ac:dyDescent="0.25">
      <c r="I1435" s="1335"/>
    </row>
    <row r="1436" spans="1:10" x14ac:dyDescent="0.25">
      <c r="F1436" s="1333">
        <f>F1428+F1362+F1333+F1306+F1275+F1245+F1171+F1126+F1082+F1038+F998+F959+F906+F871+F840+F802+F763+F728+F700+F674+F642+F606+F570+F538+F495+F465+F429+F390+F349+F308+F277+F94+F60+F20</f>
        <v>3380479444.6599998</v>
      </c>
      <c r="G1436" s="1333"/>
      <c r="I1436" s="1335"/>
    </row>
    <row r="1437" spans="1:10" x14ac:dyDescent="0.25">
      <c r="I1437" s="1335"/>
    </row>
    <row r="1438" spans="1:10" x14ac:dyDescent="0.25">
      <c r="I1438" s="1335"/>
    </row>
    <row r="1439" spans="1:10" x14ac:dyDescent="0.25">
      <c r="I1439" s="1335"/>
    </row>
    <row r="1440" spans="1:10" x14ac:dyDescent="0.25">
      <c r="I1440" s="1335"/>
    </row>
    <row r="1441" spans="9:9" x14ac:dyDescent="0.25">
      <c r="I1441" s="1335"/>
    </row>
    <row r="1442" spans="9:9" x14ac:dyDescent="0.25">
      <c r="I1442" s="1335"/>
    </row>
    <row r="1443" spans="9:9" x14ac:dyDescent="0.25">
      <c r="I1443" s="1335"/>
    </row>
    <row r="1444" spans="9:9" x14ac:dyDescent="0.25">
      <c r="I1444" s="1335"/>
    </row>
    <row r="1445" spans="9:9" x14ac:dyDescent="0.25">
      <c r="I1445" s="1335"/>
    </row>
    <row r="1446" spans="9:9" x14ac:dyDescent="0.25">
      <c r="I1446" s="1335"/>
    </row>
  </sheetData>
  <mergeCells count="515">
    <mergeCell ref="A841:B841"/>
    <mergeCell ref="D841:F841"/>
    <mergeCell ref="A842:B842"/>
    <mergeCell ref="D842:F842"/>
    <mergeCell ref="A845:B845"/>
    <mergeCell ref="E845:F845"/>
    <mergeCell ref="A846:B846"/>
    <mergeCell ref="D846:F846"/>
    <mergeCell ref="A809:G809"/>
    <mergeCell ref="A810:G810"/>
    <mergeCell ref="A811:G811"/>
    <mergeCell ref="A818:B818"/>
    <mergeCell ref="C820:D820"/>
    <mergeCell ref="C821:D821"/>
    <mergeCell ref="C826:E826"/>
    <mergeCell ref="C838:E838"/>
    <mergeCell ref="B840:E840"/>
    <mergeCell ref="A1430:B1430"/>
    <mergeCell ref="D1430:F1430"/>
    <mergeCell ref="A1433:B1433"/>
    <mergeCell ref="E1433:F1433"/>
    <mergeCell ref="A1434:B1434"/>
    <mergeCell ref="D1434:F1434"/>
    <mergeCell ref="A1371:G1371"/>
    <mergeCell ref="A1372:G1372"/>
    <mergeCell ref="A1373:G1373"/>
    <mergeCell ref="B1428:E1428"/>
    <mergeCell ref="A1429:B1429"/>
    <mergeCell ref="D1429:F1429"/>
    <mergeCell ref="A1336:B1336"/>
    <mergeCell ref="D1336:F1336"/>
    <mergeCell ref="A1339:B1339"/>
    <mergeCell ref="A1277:B1277"/>
    <mergeCell ref="D1309:F1309"/>
    <mergeCell ref="A1312:B1312"/>
    <mergeCell ref="E1312:F1312"/>
    <mergeCell ref="A1335:B1335"/>
    <mergeCell ref="D1335:F1335"/>
    <mergeCell ref="E1281:F1281"/>
    <mergeCell ref="C1325:D1325"/>
    <mergeCell ref="C1326:D1326"/>
    <mergeCell ref="C1332:D1332"/>
    <mergeCell ref="B1333:E1333"/>
    <mergeCell ref="C1296:D1296"/>
    <mergeCell ref="B1306:E1306"/>
    <mergeCell ref="A1308:B1308"/>
    <mergeCell ref="D1308:F1308"/>
    <mergeCell ref="A1309:B1309"/>
    <mergeCell ref="A578:F578"/>
    <mergeCell ref="A651:G651"/>
    <mergeCell ref="A652:G652"/>
    <mergeCell ref="A653:G653"/>
    <mergeCell ref="D659:E659"/>
    <mergeCell ref="C662:D662"/>
    <mergeCell ref="B674:E674"/>
    <mergeCell ref="A676:B676"/>
    <mergeCell ref="A803:B803"/>
    <mergeCell ref="D803:F803"/>
    <mergeCell ref="E734:F734"/>
    <mergeCell ref="A735:B735"/>
    <mergeCell ref="D735:F735"/>
    <mergeCell ref="A765:B765"/>
    <mergeCell ref="D765:F765"/>
    <mergeCell ref="A685:G685"/>
    <mergeCell ref="A773:G773"/>
    <mergeCell ref="A774:G774"/>
    <mergeCell ref="C693:D693"/>
    <mergeCell ref="C694:D694"/>
    <mergeCell ref="A682:G682"/>
    <mergeCell ref="A772:G772"/>
    <mergeCell ref="A700:E700"/>
    <mergeCell ref="D766:F766"/>
    <mergeCell ref="A804:B804"/>
    <mergeCell ref="D804:F804"/>
    <mergeCell ref="A807:B807"/>
    <mergeCell ref="E807:F807"/>
    <mergeCell ref="A808:B808"/>
    <mergeCell ref="D808:F808"/>
    <mergeCell ref="A544:B544"/>
    <mergeCell ref="D544:F544"/>
    <mergeCell ref="C514:D514"/>
    <mergeCell ref="C515:D515"/>
    <mergeCell ref="B538:E538"/>
    <mergeCell ref="A539:B539"/>
    <mergeCell ref="D539:F539"/>
    <mergeCell ref="A540:B540"/>
    <mergeCell ref="D540:F540"/>
    <mergeCell ref="A543:B543"/>
    <mergeCell ref="E543:F543"/>
    <mergeCell ref="A763:E763"/>
    <mergeCell ref="A681:B681"/>
    <mergeCell ref="D681:F681"/>
    <mergeCell ref="A683:G683"/>
    <mergeCell ref="A684:G684"/>
    <mergeCell ref="A766:B766"/>
    <mergeCell ref="D730:F730"/>
    <mergeCell ref="A467:B467"/>
    <mergeCell ref="D467:F467"/>
    <mergeCell ref="A470:B470"/>
    <mergeCell ref="E470:F470"/>
    <mergeCell ref="A471:B471"/>
    <mergeCell ref="D471:F471"/>
    <mergeCell ref="A504:F504"/>
    <mergeCell ref="A505:F505"/>
    <mergeCell ref="A506:F506"/>
    <mergeCell ref="D498:F498"/>
    <mergeCell ref="A473:F473"/>
    <mergeCell ref="A474:F474"/>
    <mergeCell ref="A475:F475"/>
    <mergeCell ref="C483:D483"/>
    <mergeCell ref="C484:D484"/>
    <mergeCell ref="A438:F438"/>
    <mergeCell ref="A401:F401"/>
    <mergeCell ref="A439:F439"/>
    <mergeCell ref="A440:F440"/>
    <mergeCell ref="D446:E446"/>
    <mergeCell ref="C448:D448"/>
    <mergeCell ref="C449:D449"/>
    <mergeCell ref="B465:E465"/>
    <mergeCell ref="A466:B466"/>
    <mergeCell ref="D466:F466"/>
    <mergeCell ref="A402:F402"/>
    <mergeCell ref="D408:E408"/>
    <mergeCell ref="C410:D410"/>
    <mergeCell ref="C411:D411"/>
    <mergeCell ref="A435:B435"/>
    <mergeCell ref="A432:B432"/>
    <mergeCell ref="D432:F432"/>
    <mergeCell ref="E396:F396"/>
    <mergeCell ref="A397:B397"/>
    <mergeCell ref="D397:F397"/>
    <mergeCell ref="D355:F355"/>
    <mergeCell ref="A359:G359"/>
    <mergeCell ref="A360:G360"/>
    <mergeCell ref="A361:G361"/>
    <mergeCell ref="A315:B315"/>
    <mergeCell ref="D315:F315"/>
    <mergeCell ref="A317:F317"/>
    <mergeCell ref="A318:F318"/>
    <mergeCell ref="C369:D369"/>
    <mergeCell ref="A1000:B1000"/>
    <mergeCell ref="D1000:F1000"/>
    <mergeCell ref="C782:D782"/>
    <mergeCell ref="C296:D296"/>
    <mergeCell ref="C297:D297"/>
    <mergeCell ref="A308:E308"/>
    <mergeCell ref="A310:B310"/>
    <mergeCell ref="D310:F310"/>
    <mergeCell ref="A311:B311"/>
    <mergeCell ref="D311:F311"/>
    <mergeCell ref="A349:E349"/>
    <mergeCell ref="D367:E367"/>
    <mergeCell ref="A350:B350"/>
    <mergeCell ref="D350:F350"/>
    <mergeCell ref="A351:B351"/>
    <mergeCell ref="D351:F351"/>
    <mergeCell ref="A354:B354"/>
    <mergeCell ref="E354:F354"/>
    <mergeCell ref="A355:B355"/>
    <mergeCell ref="E314:F314"/>
    <mergeCell ref="C781:D781"/>
    <mergeCell ref="A677:B677"/>
    <mergeCell ref="C661:D661"/>
    <mergeCell ref="A396:B396"/>
    <mergeCell ref="A10:G10"/>
    <mergeCell ref="D78:E78"/>
    <mergeCell ref="A285:B285"/>
    <mergeCell ref="D285:F285"/>
    <mergeCell ref="D62:F62"/>
    <mergeCell ref="A63:B63"/>
    <mergeCell ref="D63:F63"/>
    <mergeCell ref="A66:B66"/>
    <mergeCell ref="E66:F66"/>
    <mergeCell ref="A67:B67"/>
    <mergeCell ref="D67:F67"/>
    <mergeCell ref="A96:B96"/>
    <mergeCell ref="A97:B97"/>
    <mergeCell ref="D97:F97"/>
    <mergeCell ref="D281:F281"/>
    <mergeCell ref="A284:B284"/>
    <mergeCell ref="E284:F284"/>
    <mergeCell ref="A277:E277"/>
    <mergeCell ref="A280:B280"/>
    <mergeCell ref="D280:F280"/>
    <mergeCell ref="C79:D79"/>
    <mergeCell ref="C80:D80"/>
    <mergeCell ref="A104:G104"/>
    <mergeCell ref="A105:G105"/>
    <mergeCell ref="A287:G287"/>
    <mergeCell ref="A288:G288"/>
    <mergeCell ref="C38:D38"/>
    <mergeCell ref="C113:D113"/>
    <mergeCell ref="C114:D114"/>
    <mergeCell ref="D1262:E1262"/>
    <mergeCell ref="C1264:D1264"/>
    <mergeCell ref="C1265:D1265"/>
    <mergeCell ref="B1275:E1275"/>
    <mergeCell ref="E100:F100"/>
    <mergeCell ref="B74:D74"/>
    <mergeCell ref="A319:F319"/>
    <mergeCell ref="C327:D327"/>
    <mergeCell ref="C328:D328"/>
    <mergeCell ref="A802:E802"/>
    <mergeCell ref="A769:B769"/>
    <mergeCell ref="E769:F769"/>
    <mergeCell ref="A770:B770"/>
    <mergeCell ref="D770:F770"/>
    <mergeCell ref="A736:G736"/>
    <mergeCell ref="A737:G737"/>
    <mergeCell ref="A738:G738"/>
    <mergeCell ref="C746:D746"/>
    <mergeCell ref="C747:D747"/>
    <mergeCell ref="A1:G1"/>
    <mergeCell ref="A2:G2"/>
    <mergeCell ref="A3:G3"/>
    <mergeCell ref="A400:F400"/>
    <mergeCell ref="A31:G31"/>
    <mergeCell ref="C39:D39"/>
    <mergeCell ref="A27:B27"/>
    <mergeCell ref="C11:D11"/>
    <mergeCell ref="C12:D12"/>
    <mergeCell ref="A29:G29"/>
    <mergeCell ref="A30:G30"/>
    <mergeCell ref="A20:E20"/>
    <mergeCell ref="A22:B22"/>
    <mergeCell ref="A23:B23"/>
    <mergeCell ref="A26:B26"/>
    <mergeCell ref="A70:G70"/>
    <mergeCell ref="A71:G71"/>
    <mergeCell ref="A72:G72"/>
    <mergeCell ref="A289:G289"/>
    <mergeCell ref="A314:B314"/>
    <mergeCell ref="A60:E60"/>
    <mergeCell ref="A100:B100"/>
    <mergeCell ref="A62:B62"/>
    <mergeCell ref="A281:B281"/>
    <mergeCell ref="A106:G106"/>
    <mergeCell ref="A101:B101"/>
    <mergeCell ref="D101:F101"/>
    <mergeCell ref="A94:E94"/>
    <mergeCell ref="D96:F96"/>
    <mergeCell ref="D676:F676"/>
    <mergeCell ref="D677:F677"/>
    <mergeCell ref="A680:B680"/>
    <mergeCell ref="E680:F680"/>
    <mergeCell ref="A579:F579"/>
    <mergeCell ref="A580:F580"/>
    <mergeCell ref="C588:D588"/>
    <mergeCell ref="C589:D589"/>
    <mergeCell ref="B606:E606"/>
    <mergeCell ref="A608:B608"/>
    <mergeCell ref="D608:F608"/>
    <mergeCell ref="A609:B609"/>
    <mergeCell ref="D609:F609"/>
    <mergeCell ref="A612:B612"/>
    <mergeCell ref="E612:F612"/>
    <mergeCell ref="A613:B613"/>
    <mergeCell ref="D613:F613"/>
    <mergeCell ref="A648:B648"/>
    <mergeCell ref="E648:F648"/>
    <mergeCell ref="A1008:G1008"/>
    <mergeCell ref="A702:B702"/>
    <mergeCell ref="D702:F702"/>
    <mergeCell ref="A703:B703"/>
    <mergeCell ref="D703:F703"/>
    <mergeCell ref="A706:B706"/>
    <mergeCell ref="E706:F706"/>
    <mergeCell ref="A707:B707"/>
    <mergeCell ref="D707:F707"/>
    <mergeCell ref="A710:G710"/>
    <mergeCell ref="A711:G711"/>
    <mergeCell ref="A712:G712"/>
    <mergeCell ref="C720:D720"/>
    <mergeCell ref="C721:D721"/>
    <mergeCell ref="A728:E728"/>
    <mergeCell ref="A730:B730"/>
    <mergeCell ref="C895:E895"/>
    <mergeCell ref="C899:E899"/>
    <mergeCell ref="C904:E904"/>
    <mergeCell ref="A907:B907"/>
    <mergeCell ref="D907:F907"/>
    <mergeCell ref="A908:B908"/>
    <mergeCell ref="D908:F908"/>
    <mergeCell ref="A911:B911"/>
    <mergeCell ref="E911:F911"/>
    <mergeCell ref="A912:B912"/>
    <mergeCell ref="A1045:B1045"/>
    <mergeCell ref="D1045:F1045"/>
    <mergeCell ref="D1015:E1015"/>
    <mergeCell ref="C1017:D1017"/>
    <mergeCell ref="C1018:D1018"/>
    <mergeCell ref="B1038:E1038"/>
    <mergeCell ref="A1040:B1040"/>
    <mergeCell ref="D1040:F1040"/>
    <mergeCell ref="A1009:G1009"/>
    <mergeCell ref="D912:F912"/>
    <mergeCell ref="A1041:B1041"/>
    <mergeCell ref="A913:G913"/>
    <mergeCell ref="A914:G914"/>
    <mergeCell ref="A915:G915"/>
    <mergeCell ref="D921:E921"/>
    <mergeCell ref="C923:D923"/>
    <mergeCell ref="C924:D924"/>
    <mergeCell ref="B959:E959"/>
    <mergeCell ref="A961:B961"/>
    <mergeCell ref="D961:F961"/>
    <mergeCell ref="A962:B962"/>
    <mergeCell ref="D962:F962"/>
    <mergeCell ref="A965:B965"/>
    <mergeCell ref="A1365:B1365"/>
    <mergeCell ref="D1365:F1365"/>
    <mergeCell ref="A1368:B1368"/>
    <mergeCell ref="E1368:F1368"/>
    <mergeCell ref="A1369:B1369"/>
    <mergeCell ref="D1369:F1369"/>
    <mergeCell ref="A1137:F1137"/>
    <mergeCell ref="A1138:F1138"/>
    <mergeCell ref="A1139:F1139"/>
    <mergeCell ref="C1147:D1147"/>
    <mergeCell ref="C1148:D1148"/>
    <mergeCell ref="B1171:E1171"/>
    <mergeCell ref="A1173:B1173"/>
    <mergeCell ref="D1173:F1173"/>
    <mergeCell ref="A1174:B1174"/>
    <mergeCell ref="D1174:F1174"/>
    <mergeCell ref="A1282:B1282"/>
    <mergeCell ref="D1282:F1282"/>
    <mergeCell ref="A1285:G1285"/>
    <mergeCell ref="A1286:G1286"/>
    <mergeCell ref="A1287:G1287"/>
    <mergeCell ref="A1254:G1254"/>
    <mergeCell ref="A1255:G1255"/>
    <mergeCell ref="A1256:G1256"/>
    <mergeCell ref="A1343:G1343"/>
    <mergeCell ref="A1344:G1344"/>
    <mergeCell ref="A1345:G1345"/>
    <mergeCell ref="D1351:E1351"/>
    <mergeCell ref="C1353:D1353"/>
    <mergeCell ref="C1354:D1354"/>
    <mergeCell ref="B1362:E1362"/>
    <mergeCell ref="A1364:B1364"/>
    <mergeCell ref="D1364:F1364"/>
    <mergeCell ref="E1339:F1339"/>
    <mergeCell ref="D1293:E1293"/>
    <mergeCell ref="C1295:D1295"/>
    <mergeCell ref="D1277:F1277"/>
    <mergeCell ref="A1340:B1340"/>
    <mergeCell ref="D1340:F1340"/>
    <mergeCell ref="A1313:B1313"/>
    <mergeCell ref="D1313:F1313"/>
    <mergeCell ref="A1315:G1315"/>
    <mergeCell ref="A1316:G1316"/>
    <mergeCell ref="A1317:G1317"/>
    <mergeCell ref="A1278:B1278"/>
    <mergeCell ref="D1278:F1278"/>
    <mergeCell ref="A1281:B1281"/>
    <mergeCell ref="A1211:B1211"/>
    <mergeCell ref="E1211:F1211"/>
    <mergeCell ref="A1212:B1212"/>
    <mergeCell ref="D1212:F1212"/>
    <mergeCell ref="A1179:F1179"/>
    <mergeCell ref="A1180:F1180"/>
    <mergeCell ref="A1181:F1181"/>
    <mergeCell ref="D1187:E1187"/>
    <mergeCell ref="C1189:D1189"/>
    <mergeCell ref="A1208:B1208"/>
    <mergeCell ref="D1208:F1208"/>
    <mergeCell ref="C1190:D1190"/>
    <mergeCell ref="B1206:E1206"/>
    <mergeCell ref="A1207:B1207"/>
    <mergeCell ref="D1207:F1207"/>
    <mergeCell ref="A1178:B1178"/>
    <mergeCell ref="D1178:F1178"/>
    <mergeCell ref="B1126:E1126"/>
    <mergeCell ref="A1128:B1128"/>
    <mergeCell ref="D1128:F1128"/>
    <mergeCell ref="A1129:B1129"/>
    <mergeCell ref="D1129:F1129"/>
    <mergeCell ref="A1132:B1132"/>
    <mergeCell ref="E1132:F1132"/>
    <mergeCell ref="A1133:B1133"/>
    <mergeCell ref="D1133:F1133"/>
    <mergeCell ref="A1177:B1177"/>
    <mergeCell ref="E1177:F1177"/>
    <mergeCell ref="B906:E906"/>
    <mergeCell ref="A546:F546"/>
    <mergeCell ref="A547:F547"/>
    <mergeCell ref="A548:F548"/>
    <mergeCell ref="C556:D556"/>
    <mergeCell ref="B570:E570"/>
    <mergeCell ref="A572:B572"/>
    <mergeCell ref="D572:F572"/>
    <mergeCell ref="A573:B573"/>
    <mergeCell ref="A731:B731"/>
    <mergeCell ref="D731:F731"/>
    <mergeCell ref="A734:B734"/>
    <mergeCell ref="D573:F573"/>
    <mergeCell ref="A576:B576"/>
    <mergeCell ref="E576:F576"/>
    <mergeCell ref="A577:B577"/>
    <mergeCell ref="D577:F577"/>
    <mergeCell ref="C557:D557"/>
    <mergeCell ref="A878:G878"/>
    <mergeCell ref="A879:G879"/>
    <mergeCell ref="A880:G880"/>
    <mergeCell ref="A887:B887"/>
    <mergeCell ref="C889:D889"/>
    <mergeCell ref="C890:D890"/>
    <mergeCell ref="A1251:B1251"/>
    <mergeCell ref="D1251:F1251"/>
    <mergeCell ref="A1213:F1213"/>
    <mergeCell ref="A1214:F1214"/>
    <mergeCell ref="A1215:F1215"/>
    <mergeCell ref="D1221:E1221"/>
    <mergeCell ref="C1223:D1223"/>
    <mergeCell ref="C1224:D1224"/>
    <mergeCell ref="B1245:E1245"/>
    <mergeCell ref="A1246:B1246"/>
    <mergeCell ref="D1246:F1246"/>
    <mergeCell ref="A1247:B1247"/>
    <mergeCell ref="D1247:F1247"/>
    <mergeCell ref="A1250:B1250"/>
    <mergeCell ref="E1250:F1250"/>
    <mergeCell ref="D22:F22"/>
    <mergeCell ref="D23:F23"/>
    <mergeCell ref="E26:F26"/>
    <mergeCell ref="D27:F27"/>
    <mergeCell ref="A501:B501"/>
    <mergeCell ref="E501:F501"/>
    <mergeCell ref="A502:B502"/>
    <mergeCell ref="D502:F502"/>
    <mergeCell ref="B495:E495"/>
    <mergeCell ref="A497:B497"/>
    <mergeCell ref="E435:F435"/>
    <mergeCell ref="A436:B436"/>
    <mergeCell ref="D436:F436"/>
    <mergeCell ref="B429:E429"/>
    <mergeCell ref="A431:B431"/>
    <mergeCell ref="D431:F431"/>
    <mergeCell ref="C370:D370"/>
    <mergeCell ref="B390:E390"/>
    <mergeCell ref="A392:B392"/>
    <mergeCell ref="D392:F392"/>
    <mergeCell ref="A393:B393"/>
    <mergeCell ref="D393:F393"/>
    <mergeCell ref="D497:F497"/>
    <mergeCell ref="A498:B498"/>
    <mergeCell ref="A649:B649"/>
    <mergeCell ref="D649:F649"/>
    <mergeCell ref="A614:F614"/>
    <mergeCell ref="A615:F615"/>
    <mergeCell ref="A616:F616"/>
    <mergeCell ref="C624:D624"/>
    <mergeCell ref="C625:D625"/>
    <mergeCell ref="B642:E642"/>
    <mergeCell ref="A644:B644"/>
    <mergeCell ref="D644:F644"/>
    <mergeCell ref="A645:B645"/>
    <mergeCell ref="D645:F645"/>
    <mergeCell ref="A872:B872"/>
    <mergeCell ref="D872:F872"/>
    <mergeCell ref="A873:B873"/>
    <mergeCell ref="D873:F873"/>
    <mergeCell ref="A876:B876"/>
    <mergeCell ref="E876:F876"/>
    <mergeCell ref="A877:B877"/>
    <mergeCell ref="D877:F877"/>
    <mergeCell ref="A847:G847"/>
    <mergeCell ref="A848:G848"/>
    <mergeCell ref="A849:G849"/>
    <mergeCell ref="A856:B856"/>
    <mergeCell ref="C858:D858"/>
    <mergeCell ref="C859:D859"/>
    <mergeCell ref="C864:E864"/>
    <mergeCell ref="C869:E869"/>
    <mergeCell ref="B871:E871"/>
    <mergeCell ref="E965:F965"/>
    <mergeCell ref="A966:B966"/>
    <mergeCell ref="D966:F966"/>
    <mergeCell ref="A1007:G1007"/>
    <mergeCell ref="D977:E977"/>
    <mergeCell ref="C979:D979"/>
    <mergeCell ref="C980:D980"/>
    <mergeCell ref="B998:E998"/>
    <mergeCell ref="D1089:F1089"/>
    <mergeCell ref="A1048:G1048"/>
    <mergeCell ref="A1049:G1049"/>
    <mergeCell ref="A1050:G1050"/>
    <mergeCell ref="D1041:F1041"/>
    <mergeCell ref="A1044:B1044"/>
    <mergeCell ref="E1044:F1044"/>
    <mergeCell ref="A971:G971"/>
    <mergeCell ref="A1001:B1001"/>
    <mergeCell ref="D1001:F1001"/>
    <mergeCell ref="A1004:B1004"/>
    <mergeCell ref="E1004:F1004"/>
    <mergeCell ref="A1005:B1005"/>
    <mergeCell ref="D1005:F1005"/>
    <mergeCell ref="A969:G969"/>
    <mergeCell ref="A970:G970"/>
    <mergeCell ref="A1092:F1092"/>
    <mergeCell ref="A1093:F1093"/>
    <mergeCell ref="A1094:F1094"/>
    <mergeCell ref="C1102:D1102"/>
    <mergeCell ref="C1103:D1103"/>
    <mergeCell ref="C1058:D1058"/>
    <mergeCell ref="C1059:D1059"/>
    <mergeCell ref="B1082:E1082"/>
    <mergeCell ref="A1084:B1084"/>
    <mergeCell ref="D1084:F1084"/>
    <mergeCell ref="A1085:B1085"/>
    <mergeCell ref="D1085:F1085"/>
    <mergeCell ref="A1088:B1088"/>
    <mergeCell ref="E1088:F1088"/>
    <mergeCell ref="A1089:B1089"/>
  </mergeCells>
  <pageMargins left="0.70866141732283472" right="0.70866141732283472" top="0.78740157480314965" bottom="1.1811023622047245" header="0.31496062992125984" footer="0.31496062992125984"/>
  <pageSetup paperSize="9" scale="85" orientation="portrait" horizontalDpi="90" verticalDpi="9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4B763-FDD9-4BD1-829A-B1DA6113AA9D}">
  <dimension ref="A1:Y1074"/>
  <sheetViews>
    <sheetView tabSelected="1" workbookViewId="0">
      <selection sqref="A1:X1074"/>
    </sheetView>
  </sheetViews>
  <sheetFormatPr defaultRowHeight="15" x14ac:dyDescent="0.25"/>
  <cols>
    <col min="1" max="3" width="3.28515625" customWidth="1"/>
    <col min="4" max="4" width="2.5703125" customWidth="1"/>
    <col min="5" max="7" width="3.28515625" customWidth="1"/>
    <col min="8" max="8" width="24.28515625" customWidth="1"/>
    <col min="9" max="9" width="18.140625" customWidth="1"/>
    <col min="10" max="10" width="8.5703125" customWidth="1"/>
    <col min="11" max="11" width="16.7109375" customWidth="1"/>
    <col min="12" max="12" width="17" customWidth="1"/>
    <col min="13" max="13" width="17.42578125" customWidth="1"/>
    <col min="14" max="14" width="17.5703125" customWidth="1"/>
    <col min="15" max="15" width="15.140625" customWidth="1"/>
    <col min="16" max="16" width="16.85546875" customWidth="1"/>
    <col min="17" max="17" width="17" customWidth="1"/>
    <col min="18" max="18" width="16.42578125" customWidth="1"/>
    <col min="19" max="19" width="14.5703125" customWidth="1"/>
    <col min="20" max="20" width="15.28515625" customWidth="1"/>
    <col min="21" max="21" width="15" customWidth="1"/>
    <col min="22" max="22" width="15.7109375" customWidth="1"/>
    <col min="23" max="23" width="14" customWidth="1"/>
    <col min="24" max="24" width="18.28515625" customWidth="1"/>
    <col min="25" max="25" width="20" customWidth="1"/>
    <col min="26" max="26" width="15.28515625" bestFit="1" customWidth="1"/>
  </cols>
  <sheetData>
    <row r="1" spans="1:24" x14ac:dyDescent="0.25">
      <c r="A1" s="2167" t="s">
        <v>3032</v>
      </c>
      <c r="B1" s="2167"/>
      <c r="C1" s="2167"/>
      <c r="D1" s="2167"/>
      <c r="E1" s="2167"/>
      <c r="F1" s="2167"/>
      <c r="G1" s="2167"/>
      <c r="H1" s="2167"/>
      <c r="I1" s="2167"/>
      <c r="J1" s="2167"/>
      <c r="K1" s="2167"/>
      <c r="L1" s="2167"/>
      <c r="M1" s="2167"/>
      <c r="N1" s="2167"/>
      <c r="O1" s="2167"/>
      <c r="P1" s="2167"/>
      <c r="Q1" s="2167"/>
      <c r="R1" s="2167"/>
      <c r="S1" s="2167"/>
      <c r="T1" s="2167"/>
      <c r="U1" s="2167"/>
      <c r="V1" s="2167"/>
      <c r="W1" s="2167"/>
      <c r="X1" s="2167"/>
    </row>
    <row r="2" spans="1:24" x14ac:dyDescent="0.25">
      <c r="A2" s="2167" t="s">
        <v>1697</v>
      </c>
      <c r="B2" s="2167"/>
      <c r="C2" s="2167"/>
      <c r="D2" s="2167"/>
      <c r="E2" s="2167"/>
      <c r="F2" s="2167"/>
      <c r="G2" s="2167"/>
      <c r="H2" s="2167"/>
      <c r="I2" s="2167"/>
      <c r="J2" s="2167"/>
      <c r="K2" s="2167"/>
      <c r="L2" s="2167"/>
      <c r="M2" s="2167"/>
      <c r="N2" s="2167"/>
      <c r="O2" s="2167"/>
      <c r="P2" s="2167"/>
      <c r="Q2" s="2167"/>
      <c r="R2" s="2167"/>
      <c r="S2" s="2167"/>
      <c r="T2" s="2167"/>
      <c r="U2" s="2167"/>
      <c r="V2" s="2167"/>
      <c r="W2" s="2167"/>
      <c r="X2" s="2167"/>
    </row>
    <row r="4" spans="1:24" x14ac:dyDescent="0.25">
      <c r="H4" t="s">
        <v>3033</v>
      </c>
      <c r="I4" t="s">
        <v>1338</v>
      </c>
    </row>
    <row r="5" spans="1:24" x14ac:dyDescent="0.25">
      <c r="H5" t="s">
        <v>1339</v>
      </c>
      <c r="I5" t="s">
        <v>3034</v>
      </c>
    </row>
    <row r="6" spans="1:24" x14ac:dyDescent="0.25">
      <c r="H6" t="s">
        <v>3035</v>
      </c>
      <c r="I6" t="s">
        <v>1342</v>
      </c>
    </row>
    <row r="7" spans="1:24" x14ac:dyDescent="0.25">
      <c r="F7" s="86"/>
      <c r="H7" t="s">
        <v>1343</v>
      </c>
      <c r="I7" t="s">
        <v>1344</v>
      </c>
      <c r="J7" s="86"/>
    </row>
    <row r="8" spans="1:24" x14ac:dyDescent="0.25">
      <c r="F8" s="86"/>
      <c r="J8" s="86"/>
    </row>
    <row r="9" spans="1:24" x14ac:dyDescent="0.25">
      <c r="A9" s="2064" t="s">
        <v>2680</v>
      </c>
      <c r="B9" s="2064"/>
      <c r="C9" s="2064"/>
      <c r="D9" s="2064"/>
      <c r="E9" s="2064"/>
      <c r="F9" s="2064"/>
      <c r="G9" s="2064"/>
      <c r="H9" s="2057" t="s">
        <v>3007</v>
      </c>
      <c r="I9" s="2065" t="s">
        <v>2682</v>
      </c>
      <c r="J9" s="2067" t="s">
        <v>2683</v>
      </c>
      <c r="K9" s="1748" t="s">
        <v>3008</v>
      </c>
      <c r="L9" s="2069" t="s">
        <v>3009</v>
      </c>
      <c r="M9" s="2070"/>
      <c r="N9" s="2070"/>
      <c r="O9" s="2070"/>
      <c r="P9" s="2070"/>
      <c r="Q9" s="2070"/>
      <c r="R9" s="2070"/>
      <c r="S9" s="2070"/>
      <c r="T9" s="2070"/>
      <c r="U9" s="2070"/>
      <c r="V9" s="2070"/>
      <c r="W9" s="2071"/>
      <c r="X9" s="2058" t="s">
        <v>27</v>
      </c>
    </row>
    <row r="10" spans="1:24" x14ac:dyDescent="0.25">
      <c r="A10" s="2064"/>
      <c r="B10" s="2064"/>
      <c r="C10" s="2064"/>
      <c r="D10" s="2064"/>
      <c r="E10" s="2064"/>
      <c r="F10" s="2064"/>
      <c r="G10" s="2064"/>
      <c r="H10" s="2057"/>
      <c r="I10" s="2066"/>
      <c r="J10" s="2068"/>
      <c r="K10" s="1748" t="s">
        <v>3010</v>
      </c>
      <c r="L10" s="1798" t="s">
        <v>3011</v>
      </c>
      <c r="M10" s="1798" t="s">
        <v>3012</v>
      </c>
      <c r="N10" s="1798" t="s">
        <v>3013</v>
      </c>
      <c r="O10" s="1798" t="s">
        <v>3014</v>
      </c>
      <c r="P10" s="1798" t="s">
        <v>3015</v>
      </c>
      <c r="Q10" s="1798" t="s">
        <v>3016</v>
      </c>
      <c r="R10" s="1798" t="s">
        <v>3017</v>
      </c>
      <c r="S10" s="1798" t="s">
        <v>3018</v>
      </c>
      <c r="T10" s="1798" t="s">
        <v>3019</v>
      </c>
      <c r="U10" s="1798" t="s">
        <v>3020</v>
      </c>
      <c r="V10" s="1798" t="s">
        <v>3021</v>
      </c>
      <c r="W10" s="1798" t="s">
        <v>3022</v>
      </c>
      <c r="X10" s="2059"/>
    </row>
    <row r="11" spans="1:24" x14ac:dyDescent="0.25">
      <c r="A11" s="2060">
        <v>1</v>
      </c>
      <c r="B11" s="2060"/>
      <c r="C11" s="2060"/>
      <c r="D11" s="2060">
        <v>2</v>
      </c>
      <c r="E11" s="2060"/>
      <c r="F11" s="2060"/>
      <c r="G11" s="2060"/>
      <c r="H11" s="355">
        <v>3</v>
      </c>
      <c r="I11" s="1749">
        <v>4</v>
      </c>
      <c r="J11" s="2061">
        <v>5</v>
      </c>
      <c r="K11" s="2062"/>
      <c r="L11" s="2062"/>
      <c r="M11" s="2062"/>
      <c r="N11" s="2062"/>
      <c r="O11" s="2062"/>
      <c r="P11" s="2062"/>
      <c r="Q11" s="2062"/>
      <c r="R11" s="2062"/>
      <c r="S11" s="2062"/>
      <c r="T11" s="2062"/>
      <c r="U11" s="2062"/>
      <c r="V11" s="2062"/>
      <c r="W11" s="2063"/>
      <c r="X11" s="267">
        <v>6</v>
      </c>
    </row>
    <row r="12" spans="1:24" x14ac:dyDescent="0.25">
      <c r="A12" s="267" t="s">
        <v>1358</v>
      </c>
      <c r="B12" s="267" t="s">
        <v>1359</v>
      </c>
      <c r="C12" s="267" t="s">
        <v>1360</v>
      </c>
      <c r="D12" s="267" t="s">
        <v>1358</v>
      </c>
      <c r="E12" s="267" t="s">
        <v>1359</v>
      </c>
      <c r="F12" s="267" t="s">
        <v>1360</v>
      </c>
      <c r="G12" s="267" t="s">
        <v>1361</v>
      </c>
      <c r="H12" s="32"/>
      <c r="I12" s="470"/>
      <c r="J12" s="66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</row>
    <row r="13" spans="1:24" x14ac:dyDescent="0.25">
      <c r="A13" s="32"/>
      <c r="B13" s="32"/>
      <c r="C13" s="32"/>
      <c r="D13" s="32">
        <v>4</v>
      </c>
      <c r="E13" s="32"/>
      <c r="F13" s="32"/>
      <c r="G13" s="32"/>
      <c r="H13" s="32" t="s">
        <v>2687</v>
      </c>
      <c r="I13" s="470"/>
      <c r="J13" s="66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</row>
    <row r="14" spans="1:24" x14ac:dyDescent="0.25">
      <c r="A14" s="32"/>
      <c r="B14" s="32"/>
      <c r="C14" s="32"/>
      <c r="D14" s="32">
        <v>4</v>
      </c>
      <c r="E14" s="32">
        <v>1</v>
      </c>
      <c r="F14" s="32"/>
      <c r="G14" s="32"/>
      <c r="H14" s="32" t="s">
        <v>1665</v>
      </c>
      <c r="I14" s="470"/>
      <c r="J14" s="66"/>
      <c r="K14" s="32"/>
      <c r="L14" s="32"/>
      <c r="M14" s="32"/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</row>
    <row r="15" spans="1:24" x14ac:dyDescent="0.25">
      <c r="A15" s="32"/>
      <c r="B15" s="32"/>
      <c r="C15" s="32"/>
      <c r="D15" s="32">
        <v>4</v>
      </c>
      <c r="E15" s="32">
        <v>1</v>
      </c>
      <c r="F15" s="32">
        <v>1</v>
      </c>
      <c r="G15" s="1340" t="s">
        <v>2688</v>
      </c>
      <c r="H15" s="32" t="s">
        <v>2689</v>
      </c>
      <c r="I15" s="470">
        <f>Hitungan!L3</f>
        <v>174437800</v>
      </c>
      <c r="J15" s="66" t="s">
        <v>1690</v>
      </c>
      <c r="K15" s="32"/>
      <c r="L15" s="497">
        <v>14536483</v>
      </c>
      <c r="M15" s="497">
        <v>14536483</v>
      </c>
      <c r="N15" s="497">
        <v>14536483</v>
      </c>
      <c r="O15" s="497">
        <v>14536483</v>
      </c>
      <c r="P15" s="497">
        <v>14536483</v>
      </c>
      <c r="Q15" s="497">
        <v>14536483</v>
      </c>
      <c r="R15" s="497">
        <v>14536483</v>
      </c>
      <c r="S15" s="497">
        <v>14536483</v>
      </c>
      <c r="T15" s="497">
        <v>14536483</v>
      </c>
      <c r="U15" s="497">
        <v>14536483</v>
      </c>
      <c r="V15" s="497">
        <v>14536483</v>
      </c>
      <c r="W15" s="497">
        <v>14536487</v>
      </c>
      <c r="X15" s="470">
        <f>SUM(L15:W15)</f>
        <v>174437800</v>
      </c>
    </row>
    <row r="16" spans="1:24" ht="30" x14ac:dyDescent="0.25">
      <c r="A16" s="32"/>
      <c r="B16" s="32"/>
      <c r="C16" s="32"/>
      <c r="D16" s="32">
        <v>4</v>
      </c>
      <c r="E16" s="32">
        <v>1</v>
      </c>
      <c r="F16" s="32">
        <v>3</v>
      </c>
      <c r="G16" s="1340"/>
      <c r="H16" s="66" t="s">
        <v>2918</v>
      </c>
      <c r="I16" s="470"/>
      <c r="J16" s="66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470"/>
    </row>
    <row r="17" spans="1:24" ht="45" x14ac:dyDescent="0.25">
      <c r="A17" s="32"/>
      <c r="B17" s="32"/>
      <c r="C17" s="32"/>
      <c r="D17" s="32">
        <v>4</v>
      </c>
      <c r="E17" s="32">
        <v>1</v>
      </c>
      <c r="F17" s="32">
        <v>3</v>
      </c>
      <c r="G17" s="1340" t="s">
        <v>2688</v>
      </c>
      <c r="H17" s="66" t="s">
        <v>2919</v>
      </c>
      <c r="I17" s="470">
        <f>Hitungan!M3</f>
        <v>72966100</v>
      </c>
      <c r="J17" s="66" t="s">
        <v>2624</v>
      </c>
      <c r="K17" s="174"/>
      <c r="L17" s="497">
        <v>6080508</v>
      </c>
      <c r="M17" s="497">
        <v>6080508</v>
      </c>
      <c r="N17" s="497">
        <v>6080508</v>
      </c>
      <c r="O17" s="497">
        <v>6080508</v>
      </c>
      <c r="P17" s="497">
        <v>6080508</v>
      </c>
      <c r="Q17" s="497">
        <v>6080508</v>
      </c>
      <c r="R17" s="497">
        <v>6080508</v>
      </c>
      <c r="S17" s="497">
        <v>6080508</v>
      </c>
      <c r="T17" s="497">
        <v>6080508</v>
      </c>
      <c r="U17" s="497">
        <v>6080508</v>
      </c>
      <c r="V17" s="497">
        <v>6080508</v>
      </c>
      <c r="W17" s="497">
        <v>6080512</v>
      </c>
      <c r="X17" s="470">
        <f t="shared" ref="X17:X28" si="0">SUM(L17:W17)</f>
        <v>72966100</v>
      </c>
    </row>
    <row r="18" spans="1:24" x14ac:dyDescent="0.25">
      <c r="A18" s="32"/>
      <c r="B18" s="32"/>
      <c r="C18" s="32"/>
      <c r="D18" s="32">
        <v>4</v>
      </c>
      <c r="E18" s="32">
        <v>2</v>
      </c>
      <c r="F18" s="32"/>
      <c r="G18" s="32"/>
      <c r="H18" s="32" t="s">
        <v>2690</v>
      </c>
      <c r="I18" s="470"/>
      <c r="J18" s="66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470"/>
    </row>
    <row r="19" spans="1:24" x14ac:dyDescent="0.25">
      <c r="A19" s="32"/>
      <c r="B19" s="32"/>
      <c r="C19" s="32"/>
      <c r="D19" s="32">
        <v>4</v>
      </c>
      <c r="E19" s="32">
        <v>2</v>
      </c>
      <c r="F19" s="32">
        <v>1</v>
      </c>
      <c r="G19" s="32"/>
      <c r="H19" s="32" t="s">
        <v>1683</v>
      </c>
      <c r="I19" s="470"/>
      <c r="J19" s="66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470"/>
    </row>
    <row r="20" spans="1:24" x14ac:dyDescent="0.25">
      <c r="A20" s="32"/>
      <c r="B20" s="32"/>
      <c r="C20" s="32"/>
      <c r="D20" s="32">
        <v>4</v>
      </c>
      <c r="E20" s="32">
        <v>2</v>
      </c>
      <c r="F20" s="32">
        <v>1</v>
      </c>
      <c r="G20" s="1340" t="s">
        <v>2688</v>
      </c>
      <c r="H20" s="32" t="s">
        <v>1683</v>
      </c>
      <c r="I20" s="497">
        <f>Hitungan!E3</f>
        <v>897307000</v>
      </c>
      <c r="J20" s="66" t="s">
        <v>2387</v>
      </c>
      <c r="K20" s="32"/>
      <c r="L20" s="32"/>
      <c r="M20" s="32"/>
      <c r="N20" s="174"/>
      <c r="O20" s="32"/>
      <c r="P20" s="32"/>
      <c r="Q20" s="32"/>
      <c r="R20" s="32"/>
      <c r="S20" s="32"/>
      <c r="T20" s="32"/>
      <c r="U20" s="32"/>
      <c r="V20" s="174"/>
      <c r="W20" s="32"/>
      <c r="X20" s="470"/>
    </row>
    <row r="21" spans="1:24" ht="45" x14ac:dyDescent="0.25">
      <c r="A21" s="32"/>
      <c r="B21" s="32"/>
      <c r="C21" s="32"/>
      <c r="D21" s="32">
        <v>4</v>
      </c>
      <c r="E21" s="32">
        <v>2</v>
      </c>
      <c r="F21" s="32">
        <v>2</v>
      </c>
      <c r="G21" s="32"/>
      <c r="H21" s="66" t="s">
        <v>2691</v>
      </c>
      <c r="I21" s="470"/>
      <c r="J21" s="66"/>
      <c r="K21" s="32"/>
      <c r="L21" s="32"/>
      <c r="M21" s="32"/>
      <c r="N21" s="497"/>
      <c r="O21" s="32"/>
      <c r="P21" s="32"/>
      <c r="Q21" s="32"/>
      <c r="R21" s="32"/>
      <c r="S21" s="32"/>
      <c r="T21" s="32"/>
      <c r="U21" s="32"/>
      <c r="V21" s="32"/>
      <c r="W21" s="32"/>
      <c r="X21" s="470"/>
    </row>
    <row r="22" spans="1:24" ht="30" x14ac:dyDescent="0.25">
      <c r="A22" s="32"/>
      <c r="B22" s="32"/>
      <c r="C22" s="32"/>
      <c r="D22" s="32">
        <v>4</v>
      </c>
      <c r="E22" s="32">
        <v>2</v>
      </c>
      <c r="F22" s="32">
        <v>2</v>
      </c>
      <c r="G22" s="1340" t="s">
        <v>2688</v>
      </c>
      <c r="H22" s="66" t="s">
        <v>2692</v>
      </c>
      <c r="I22" s="470">
        <f>Hitungan!G3+Hitungan!H3</f>
        <v>2556511537</v>
      </c>
      <c r="J22" s="66" t="s">
        <v>2693</v>
      </c>
      <c r="K22" s="32"/>
      <c r="L22" s="32"/>
      <c r="M22" s="497"/>
      <c r="N22" s="497">
        <v>1022604413</v>
      </c>
      <c r="O22" s="32"/>
      <c r="P22" s="497"/>
      <c r="Q22" s="32"/>
      <c r="R22" s="497">
        <v>1022604413</v>
      </c>
      <c r="S22" s="32"/>
      <c r="T22" s="32"/>
      <c r="U22" s="32"/>
      <c r="V22" s="497">
        <v>511302711</v>
      </c>
      <c r="W22" s="32"/>
      <c r="X22" s="470">
        <f t="shared" si="0"/>
        <v>2556511537</v>
      </c>
    </row>
    <row r="23" spans="1:24" x14ac:dyDescent="0.25">
      <c r="A23" s="32"/>
      <c r="B23" s="32"/>
      <c r="C23" s="32"/>
      <c r="D23" s="32">
        <v>4</v>
      </c>
      <c r="E23" s="32">
        <v>2</v>
      </c>
      <c r="F23" s="32">
        <v>3</v>
      </c>
      <c r="G23" s="32"/>
      <c r="H23" s="32" t="s">
        <v>2694</v>
      </c>
      <c r="I23" s="470"/>
      <c r="J23" s="66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470"/>
    </row>
    <row r="24" spans="1:24" x14ac:dyDescent="0.25">
      <c r="A24" s="32"/>
      <c r="B24" s="32"/>
      <c r="C24" s="32"/>
      <c r="D24" s="32">
        <v>4</v>
      </c>
      <c r="E24" s="32">
        <v>2</v>
      </c>
      <c r="F24" s="32">
        <v>3</v>
      </c>
      <c r="G24" s="1340" t="s">
        <v>2688</v>
      </c>
      <c r="H24" s="32" t="s">
        <v>2694</v>
      </c>
      <c r="I24" s="470">
        <f>Hitungan!F3</f>
        <v>2814314395</v>
      </c>
      <c r="J24" s="66" t="s">
        <v>1682</v>
      </c>
      <c r="K24" s="32"/>
      <c r="L24" s="32"/>
      <c r="M24" s="32"/>
      <c r="N24" s="497">
        <v>1125725758</v>
      </c>
      <c r="O24" s="32"/>
      <c r="P24" s="32"/>
      <c r="Q24" s="32"/>
      <c r="R24" s="497">
        <v>1125725758</v>
      </c>
      <c r="S24" s="32"/>
      <c r="T24" s="32"/>
      <c r="U24" s="32"/>
      <c r="V24" s="497">
        <v>562862879</v>
      </c>
      <c r="W24" s="32"/>
      <c r="X24" s="470">
        <f t="shared" si="0"/>
        <v>2814314395</v>
      </c>
    </row>
    <row r="25" spans="1:24" ht="30" x14ac:dyDescent="0.25">
      <c r="A25" s="32"/>
      <c r="B25" s="32"/>
      <c r="C25" s="32"/>
      <c r="D25" s="32">
        <v>4</v>
      </c>
      <c r="E25" s="32">
        <v>2</v>
      </c>
      <c r="F25" s="32">
        <v>4</v>
      </c>
      <c r="G25" s="32"/>
      <c r="H25" s="66" t="s">
        <v>2695</v>
      </c>
      <c r="I25" s="470"/>
      <c r="J25" s="66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470"/>
    </row>
    <row r="26" spans="1:24" ht="30" x14ac:dyDescent="0.25">
      <c r="A26" s="32"/>
      <c r="B26" s="32"/>
      <c r="C26" s="32"/>
      <c r="D26" s="32">
        <v>4</v>
      </c>
      <c r="E26" s="32">
        <v>2</v>
      </c>
      <c r="F26" s="32">
        <v>4</v>
      </c>
      <c r="G26" s="1340" t="s">
        <v>2688</v>
      </c>
      <c r="H26" s="66" t="s">
        <v>2696</v>
      </c>
      <c r="I26" s="470">
        <f>Hitungan!U3+Hitungan!J3</f>
        <v>123000000</v>
      </c>
      <c r="J26" s="66" t="s">
        <v>2697</v>
      </c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470"/>
    </row>
    <row r="27" spans="1:24" ht="30" x14ac:dyDescent="0.25">
      <c r="A27" s="32"/>
      <c r="B27" s="32"/>
      <c r="C27" s="32"/>
      <c r="D27" s="32">
        <v>4</v>
      </c>
      <c r="E27" s="32">
        <v>2</v>
      </c>
      <c r="F27" s="32">
        <v>5</v>
      </c>
      <c r="G27" s="32"/>
      <c r="H27" s="66" t="s">
        <v>2698</v>
      </c>
      <c r="I27" s="470"/>
      <c r="J27" s="66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470"/>
    </row>
    <row r="28" spans="1:24" ht="30" x14ac:dyDescent="0.25">
      <c r="A28" s="32"/>
      <c r="B28" s="32"/>
      <c r="C28" s="32"/>
      <c r="D28" s="32">
        <v>4</v>
      </c>
      <c r="E28" s="32">
        <v>2</v>
      </c>
      <c r="F28" s="32">
        <v>5</v>
      </c>
      <c r="G28" s="1340" t="s">
        <v>2688</v>
      </c>
      <c r="H28" s="66" t="s">
        <v>2698</v>
      </c>
      <c r="I28" s="470">
        <f>Hitungan!I3</f>
        <v>770000000</v>
      </c>
      <c r="J28" s="66" t="s">
        <v>2622</v>
      </c>
      <c r="K28" s="32"/>
      <c r="L28" s="32"/>
      <c r="M28" s="32"/>
      <c r="N28" s="497"/>
      <c r="O28" s="497">
        <v>770000000</v>
      </c>
      <c r="P28" s="32"/>
      <c r="Q28" s="32"/>
      <c r="R28" s="32"/>
      <c r="S28" s="32"/>
      <c r="T28" s="32"/>
      <c r="U28" s="32"/>
      <c r="V28" s="32"/>
      <c r="W28" s="32"/>
      <c r="X28" s="470">
        <f t="shared" si="0"/>
        <v>770000000</v>
      </c>
    </row>
    <row r="29" spans="1:24" x14ac:dyDescent="0.25">
      <c r="A29" s="32"/>
      <c r="B29" s="32"/>
      <c r="C29" s="32"/>
      <c r="D29" s="32">
        <v>4</v>
      </c>
      <c r="E29" s="32">
        <v>3</v>
      </c>
      <c r="F29" s="32"/>
      <c r="G29" s="32"/>
      <c r="H29" s="32" t="s">
        <v>2699</v>
      </c>
      <c r="I29" s="470"/>
      <c r="J29" s="66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</row>
    <row r="30" spans="1:24" x14ac:dyDescent="0.25">
      <c r="A30" s="32"/>
      <c r="B30" s="32"/>
      <c r="C30" s="32"/>
      <c r="D30" s="32">
        <v>4</v>
      </c>
      <c r="E30" s="32">
        <v>3</v>
      </c>
      <c r="F30" s="32">
        <v>6</v>
      </c>
      <c r="G30" s="32"/>
      <c r="H30" s="32" t="s">
        <v>2623</v>
      </c>
      <c r="I30" s="470"/>
      <c r="J30" s="66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</row>
    <row r="31" spans="1:24" ht="30" x14ac:dyDescent="0.25">
      <c r="A31" s="32"/>
      <c r="B31" s="32"/>
      <c r="C31" s="32"/>
      <c r="D31" s="32">
        <v>4</v>
      </c>
      <c r="E31" s="32">
        <v>3</v>
      </c>
      <c r="F31" s="32">
        <v>6</v>
      </c>
      <c r="G31" s="1340" t="s">
        <v>2688</v>
      </c>
      <c r="H31" s="32" t="s">
        <v>2623</v>
      </c>
      <c r="I31" s="470">
        <f>Hitungan!K3</f>
        <v>25108000</v>
      </c>
      <c r="J31" s="66" t="s">
        <v>2623</v>
      </c>
      <c r="K31" s="32"/>
      <c r="L31" s="497">
        <v>2092333</v>
      </c>
      <c r="M31" s="497">
        <v>2092333</v>
      </c>
      <c r="N31" s="497">
        <v>2092333</v>
      </c>
      <c r="O31" s="497">
        <v>2092333</v>
      </c>
      <c r="P31" s="497">
        <v>2092333</v>
      </c>
      <c r="Q31" s="497">
        <v>2092333</v>
      </c>
      <c r="R31" s="497">
        <v>2092333</v>
      </c>
      <c r="S31" s="497">
        <v>2092333</v>
      </c>
      <c r="T31" s="497">
        <v>2092333</v>
      </c>
      <c r="U31" s="497">
        <v>2092333</v>
      </c>
      <c r="V31" s="497">
        <v>2092333</v>
      </c>
      <c r="W31" s="497">
        <v>2092337</v>
      </c>
      <c r="X31" s="1750">
        <f>SUM(L31:W31)</f>
        <v>25108000</v>
      </c>
    </row>
    <row r="32" spans="1:24" x14ac:dyDescent="0.25">
      <c r="A32" s="32"/>
      <c r="B32" s="32"/>
      <c r="C32" s="32"/>
      <c r="D32" s="32"/>
      <c r="E32" s="32"/>
      <c r="F32" s="32"/>
      <c r="G32" s="32"/>
      <c r="H32" s="32"/>
      <c r="I32" s="470"/>
      <c r="J32" s="66"/>
      <c r="K32" s="32"/>
      <c r="L32" s="32"/>
      <c r="M32" s="32"/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1750">
        <f t="shared" ref="X32:X95" si="1">SUM(L32:W32)</f>
        <v>0</v>
      </c>
    </row>
    <row r="33" spans="1:25" x14ac:dyDescent="0.25">
      <c r="A33" s="32"/>
      <c r="B33" s="32"/>
      <c r="C33" s="32"/>
      <c r="D33" s="32"/>
      <c r="E33" s="32"/>
      <c r="F33" s="32"/>
      <c r="G33" s="32"/>
      <c r="H33" s="32" t="s">
        <v>2700</v>
      </c>
      <c r="I33" s="1341">
        <f>SUM(I14:I32)</f>
        <v>7433644832</v>
      </c>
      <c r="J33" s="66"/>
      <c r="K33" s="497"/>
      <c r="L33" s="174"/>
      <c r="M33" s="32"/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1750">
        <f t="shared" si="1"/>
        <v>0</v>
      </c>
    </row>
    <row r="34" spans="1:25" x14ac:dyDescent="0.25">
      <c r="A34" s="32"/>
      <c r="B34" s="32"/>
      <c r="C34" s="32"/>
      <c r="D34" s="32"/>
      <c r="E34" s="32"/>
      <c r="F34" s="32"/>
      <c r="G34" s="32"/>
      <c r="H34" s="32"/>
      <c r="I34" s="470"/>
      <c r="J34" s="66"/>
      <c r="K34" s="174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1750">
        <f t="shared" si="1"/>
        <v>0</v>
      </c>
    </row>
    <row r="35" spans="1:25" x14ac:dyDescent="0.25">
      <c r="A35" s="32"/>
      <c r="B35" s="32"/>
      <c r="C35" s="32"/>
      <c r="D35" s="32">
        <v>5</v>
      </c>
      <c r="E35" s="32"/>
      <c r="F35" s="32"/>
      <c r="G35" s="32"/>
      <c r="H35" s="32" t="s">
        <v>2006</v>
      </c>
      <c r="I35" s="470"/>
      <c r="J35" s="66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1750">
        <f t="shared" si="1"/>
        <v>0</v>
      </c>
    </row>
    <row r="36" spans="1:25" x14ac:dyDescent="0.25">
      <c r="A36" s="1342">
        <v>1</v>
      </c>
      <c r="B36" s="1342"/>
      <c r="C36" s="1342"/>
      <c r="D36" s="1342"/>
      <c r="E36" s="1342"/>
      <c r="F36" s="1342"/>
      <c r="G36" s="1343"/>
      <c r="H36" s="1343" t="str">
        <f>'BID I'!B5</f>
        <v>: Penyelenggaraan Pemerintahan Desa</v>
      </c>
      <c r="I36" s="1351">
        <f>I38+I45+I50+I57+I88+I93+I97+I104+I110+I116+I120+I129++I134+I139+I143+I147+I152+I158+I170+I175+I180+I186+I199+I207+I215+I225+I235+I245+I252+I257+I262+I266+I270</f>
        <v>3380479444.6599998</v>
      </c>
      <c r="J36" s="1343"/>
      <c r="K36" s="1351"/>
      <c r="L36" s="1351"/>
      <c r="M36" s="1342"/>
      <c r="N36" s="1342"/>
      <c r="O36" s="1342"/>
      <c r="P36" s="1342"/>
      <c r="Q36" s="1342"/>
      <c r="R36" s="1342"/>
      <c r="S36" s="1342"/>
      <c r="T36" s="1342"/>
      <c r="U36" s="1342"/>
      <c r="V36" s="1342"/>
      <c r="W36" s="1342"/>
      <c r="X36" s="1799">
        <f t="shared" si="1"/>
        <v>0</v>
      </c>
    </row>
    <row r="37" spans="1:25" ht="75" x14ac:dyDescent="0.25">
      <c r="A37" s="1344">
        <v>1</v>
      </c>
      <c r="B37" s="1344">
        <v>1</v>
      </c>
      <c r="C37" s="1344"/>
      <c r="D37" s="1344"/>
      <c r="E37" s="1344"/>
      <c r="F37" s="1344"/>
      <c r="G37" s="1344"/>
      <c r="H37" s="1345" t="str">
        <f>'BID I'!B6</f>
        <v>: Penyelenggaraan Belanja Penghasilan Tetap, Tunjangan dan Operasional Pemerintah Desa ( Maksimal 30% )</v>
      </c>
      <c r="I37" s="1344"/>
      <c r="J37" s="1345"/>
      <c r="K37" s="1347"/>
      <c r="L37" s="1344"/>
      <c r="M37" s="1344"/>
      <c r="N37" s="1344"/>
      <c r="O37" s="1344"/>
      <c r="P37" s="1344"/>
      <c r="Q37" s="1344"/>
      <c r="R37" s="1344"/>
      <c r="S37" s="1344"/>
      <c r="T37" s="1344"/>
      <c r="U37" s="1344"/>
      <c r="V37" s="1344"/>
      <c r="W37" s="1344"/>
      <c r="X37" s="1353">
        <f t="shared" si="1"/>
        <v>0</v>
      </c>
    </row>
    <row r="38" spans="1:25" ht="45" x14ac:dyDescent="0.25">
      <c r="A38" s="1344">
        <v>1</v>
      </c>
      <c r="B38" s="1344">
        <v>1</v>
      </c>
      <c r="C38" s="1346" t="s">
        <v>2688</v>
      </c>
      <c r="D38" s="1344"/>
      <c r="E38" s="1344"/>
      <c r="F38" s="1344"/>
      <c r="G38" s="1344"/>
      <c r="H38" s="1345" t="str">
        <f>'BID I'!B7</f>
        <v>: Penyediaan Penghasilan tetap dan Tunjangan Perbekel</v>
      </c>
      <c r="I38" s="1347">
        <f>SUM(I39:I44)</f>
        <v>159920000</v>
      </c>
      <c r="J38" s="1345"/>
      <c r="K38" s="1347" t="s">
        <v>2988</v>
      </c>
      <c r="L38" s="1344"/>
      <c r="M38" s="1344"/>
      <c r="N38" s="1344"/>
      <c r="O38" s="1344"/>
      <c r="P38" s="1344"/>
      <c r="Q38" s="1344"/>
      <c r="R38" s="1344"/>
      <c r="S38" s="1344"/>
      <c r="T38" s="1344"/>
      <c r="U38" s="1344"/>
      <c r="V38" s="1344"/>
      <c r="W38" s="1344"/>
      <c r="X38" s="1353">
        <f t="shared" si="1"/>
        <v>0</v>
      </c>
    </row>
    <row r="39" spans="1:25" x14ac:dyDescent="0.25">
      <c r="A39" s="32"/>
      <c r="B39" s="32"/>
      <c r="C39" s="32"/>
      <c r="D39" s="32">
        <v>5</v>
      </c>
      <c r="E39" s="32">
        <v>1</v>
      </c>
      <c r="F39" s="32"/>
      <c r="G39" s="32"/>
      <c r="H39" s="66" t="str">
        <f>'BID I'!B13</f>
        <v xml:space="preserve">Belanja Pegawai </v>
      </c>
      <c r="I39" s="32"/>
      <c r="J39" s="66"/>
      <c r="K39" s="497" t="s">
        <v>2988</v>
      </c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1750">
        <f t="shared" si="1"/>
        <v>0</v>
      </c>
    </row>
    <row r="40" spans="1:25" ht="30" x14ac:dyDescent="0.25">
      <c r="A40" s="32"/>
      <c r="B40" s="32"/>
      <c r="C40" s="32"/>
      <c r="D40" s="32"/>
      <c r="E40" s="32"/>
      <c r="F40" s="32">
        <v>1</v>
      </c>
      <c r="G40" s="32"/>
      <c r="H40" s="66" t="str">
        <f>'BID I'!B14</f>
        <v>Penghasilan tetap dan Tunjangan Perbekel</v>
      </c>
      <c r="I40" s="32"/>
      <c r="J40" s="66"/>
      <c r="K40" s="497" t="s">
        <v>2988</v>
      </c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1750">
        <f t="shared" si="1"/>
        <v>0</v>
      </c>
    </row>
    <row r="41" spans="1:25" ht="30" x14ac:dyDescent="0.25">
      <c r="A41" s="32"/>
      <c r="B41" s="32"/>
      <c r="C41" s="32"/>
      <c r="D41" s="32"/>
      <c r="E41" s="32"/>
      <c r="F41" s="32"/>
      <c r="G41" s="1340" t="s">
        <v>2688</v>
      </c>
      <c r="H41" s="66" t="str">
        <f>'BID I'!B15</f>
        <v>Penghasilan Tetap Perbekel</v>
      </c>
      <c r="I41" s="513">
        <f>'BID I'!F15</f>
        <v>47520000</v>
      </c>
      <c r="J41" s="66" t="s">
        <v>1682</v>
      </c>
      <c r="K41" s="497" t="s">
        <v>2988</v>
      </c>
      <c r="L41" s="497">
        <v>3960000</v>
      </c>
      <c r="M41" s="497">
        <v>3960000</v>
      </c>
      <c r="N41" s="497">
        <v>3960000</v>
      </c>
      <c r="O41" s="497">
        <v>3960000</v>
      </c>
      <c r="P41" s="497">
        <v>3960000</v>
      </c>
      <c r="Q41" s="497">
        <v>3960000</v>
      </c>
      <c r="R41" s="497">
        <v>3960000</v>
      </c>
      <c r="S41" s="497">
        <v>3960000</v>
      </c>
      <c r="T41" s="497">
        <v>3960000</v>
      </c>
      <c r="U41" s="497">
        <v>3960000</v>
      </c>
      <c r="V41" s="497">
        <v>3960000</v>
      </c>
      <c r="W41" s="497">
        <v>3960000</v>
      </c>
      <c r="X41" s="1750">
        <f t="shared" si="1"/>
        <v>47520000</v>
      </c>
      <c r="Y41" s="175">
        <f>X41-I41</f>
        <v>0</v>
      </c>
    </row>
    <row r="42" spans="1:25" x14ac:dyDescent="0.25">
      <c r="A42" s="32"/>
      <c r="B42" s="32"/>
      <c r="C42" s="32"/>
      <c r="D42" s="32"/>
      <c r="E42" s="32"/>
      <c r="F42" s="32"/>
      <c r="G42" s="1340" t="s">
        <v>2702</v>
      </c>
      <c r="H42" s="66" t="str">
        <f>'BID I'!B16</f>
        <v>Penghasilan ke 13</v>
      </c>
      <c r="I42" s="513">
        <f>'BID I'!F16</f>
        <v>4000000</v>
      </c>
      <c r="J42" s="66" t="s">
        <v>2620</v>
      </c>
      <c r="K42" s="497" t="s">
        <v>2988</v>
      </c>
      <c r="L42" s="32"/>
      <c r="M42" s="32"/>
      <c r="N42" s="32"/>
      <c r="O42" s="32"/>
      <c r="P42" s="32"/>
      <c r="Q42" s="497">
        <v>4000000</v>
      </c>
      <c r="R42" s="32"/>
      <c r="S42" s="32"/>
      <c r="T42" s="32"/>
      <c r="U42" s="32"/>
      <c r="V42" s="32"/>
      <c r="W42" s="32"/>
      <c r="X42" s="1750">
        <f t="shared" si="1"/>
        <v>4000000</v>
      </c>
      <c r="Y42" s="175">
        <f t="shared" ref="Y42:Y105" si="2">X42-I42</f>
        <v>0</v>
      </c>
    </row>
    <row r="43" spans="1:25" x14ac:dyDescent="0.25">
      <c r="A43" s="32"/>
      <c r="B43" s="32"/>
      <c r="C43" s="32"/>
      <c r="D43" s="32"/>
      <c r="E43" s="32"/>
      <c r="F43" s="32"/>
      <c r="G43" s="1340" t="s">
        <v>2702</v>
      </c>
      <c r="H43" s="66" t="str">
        <f>'BID I'!B17</f>
        <v>Tunjangan Perbekel</v>
      </c>
      <c r="I43" s="513">
        <f>'BID I'!F17</f>
        <v>104400000</v>
      </c>
      <c r="J43" s="66" t="s">
        <v>2620</v>
      </c>
      <c r="K43" s="497" t="s">
        <v>2988</v>
      </c>
      <c r="L43" s="497">
        <v>8700000</v>
      </c>
      <c r="M43" s="497">
        <v>8700000</v>
      </c>
      <c r="N43" s="497">
        <v>8700000</v>
      </c>
      <c r="O43" s="497">
        <v>8700000</v>
      </c>
      <c r="P43" s="497">
        <v>8700000</v>
      </c>
      <c r="Q43" s="497">
        <v>8700000</v>
      </c>
      <c r="R43" s="497">
        <v>8700000</v>
      </c>
      <c r="S43" s="497">
        <v>8700000</v>
      </c>
      <c r="T43" s="497">
        <v>8700000</v>
      </c>
      <c r="U43" s="497">
        <v>8700000</v>
      </c>
      <c r="V43" s="497">
        <v>8700000</v>
      </c>
      <c r="W43" s="497">
        <v>8700000</v>
      </c>
      <c r="X43" s="1750">
        <f t="shared" si="1"/>
        <v>104400000</v>
      </c>
      <c r="Y43" s="175">
        <f t="shared" si="2"/>
        <v>0</v>
      </c>
    </row>
    <row r="44" spans="1:25" x14ac:dyDescent="0.25">
      <c r="A44" s="32"/>
      <c r="B44" s="32"/>
      <c r="C44" s="32"/>
      <c r="D44" s="32"/>
      <c r="E44" s="32"/>
      <c r="F44" s="32"/>
      <c r="G44" s="1340" t="s">
        <v>2702</v>
      </c>
      <c r="H44" s="66" t="str">
        <f>'BID I'!B18</f>
        <v>Tunjangan Hari Raya</v>
      </c>
      <c r="I44" s="513">
        <f>'BID I'!F18</f>
        <v>4000000</v>
      </c>
      <c r="J44" s="66" t="s">
        <v>2620</v>
      </c>
      <c r="K44" s="497" t="s">
        <v>2988</v>
      </c>
      <c r="L44" s="32"/>
      <c r="M44" s="32"/>
      <c r="N44" s="497">
        <v>4000000</v>
      </c>
      <c r="O44" s="32"/>
      <c r="P44" s="32"/>
      <c r="Q44" s="32"/>
      <c r="R44" s="32"/>
      <c r="S44" s="32"/>
      <c r="T44" s="32"/>
      <c r="U44" s="32"/>
      <c r="V44" s="32"/>
      <c r="W44" s="32"/>
      <c r="X44" s="1750">
        <f t="shared" si="1"/>
        <v>4000000</v>
      </c>
      <c r="Y44" s="175">
        <f t="shared" si="2"/>
        <v>0</v>
      </c>
    </row>
    <row r="45" spans="1:25" ht="45" x14ac:dyDescent="0.25">
      <c r="A45" s="1344">
        <v>1</v>
      </c>
      <c r="B45" s="1344">
        <v>1</v>
      </c>
      <c r="C45" s="1346" t="s">
        <v>2702</v>
      </c>
      <c r="D45" s="1344"/>
      <c r="E45" s="1344"/>
      <c r="F45" s="1344"/>
      <c r="G45" s="1344"/>
      <c r="H45" s="1345" t="str">
        <f>'BID I'!B35</f>
        <v>: Penyediaan Penghasilan tetap dan Tunjangan Perangkat Desa</v>
      </c>
      <c r="I45" s="1347">
        <f>SUM(I46:I49)</f>
        <v>939625760</v>
      </c>
      <c r="J45" s="1345"/>
      <c r="K45" s="1347" t="s">
        <v>2988</v>
      </c>
      <c r="L45" s="1344"/>
      <c r="M45" s="1344"/>
      <c r="N45" s="1344"/>
      <c r="O45" s="1344"/>
      <c r="P45" s="1344"/>
      <c r="Q45" s="1344"/>
      <c r="R45" s="1344"/>
      <c r="S45" s="1344"/>
      <c r="T45" s="1344"/>
      <c r="U45" s="1344"/>
      <c r="V45" s="1344"/>
      <c r="W45" s="1344"/>
      <c r="X45" s="1353">
        <f t="shared" si="1"/>
        <v>0</v>
      </c>
      <c r="Y45" s="175">
        <f t="shared" si="2"/>
        <v>-939625760</v>
      </c>
    </row>
    <row r="46" spans="1:25" x14ac:dyDescent="0.25">
      <c r="A46" s="32"/>
      <c r="B46" s="32"/>
      <c r="C46" s="32"/>
      <c r="D46" s="32">
        <v>5</v>
      </c>
      <c r="E46" s="32">
        <v>1</v>
      </c>
      <c r="F46" s="32"/>
      <c r="G46" s="32"/>
      <c r="H46" s="66" t="str">
        <f>'BID I'!B40</f>
        <v xml:space="preserve">Belanja Pegawai </v>
      </c>
      <c r="I46" s="32"/>
      <c r="J46" s="66"/>
      <c r="K46" s="497" t="s">
        <v>2988</v>
      </c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1750">
        <f t="shared" si="1"/>
        <v>0</v>
      </c>
      <c r="Y46" s="175">
        <f t="shared" si="2"/>
        <v>0</v>
      </c>
    </row>
    <row r="47" spans="1:25" ht="45" x14ac:dyDescent="0.25">
      <c r="A47" s="32"/>
      <c r="B47" s="32"/>
      <c r="C47" s="32"/>
      <c r="D47" s="32"/>
      <c r="E47" s="32"/>
      <c r="F47" s="32">
        <v>2</v>
      </c>
      <c r="G47" s="32"/>
      <c r="H47" s="66" t="str">
        <f>'BID I'!B41</f>
        <v>Penghasilan tetap dan Tunjangan Perangkat Desa</v>
      </c>
      <c r="I47" s="32"/>
      <c r="J47" s="66"/>
      <c r="K47" s="497" t="s">
        <v>2988</v>
      </c>
      <c r="L47" s="32"/>
      <c r="M47" s="32"/>
      <c r="N47" s="174"/>
      <c r="O47" s="32"/>
      <c r="P47" s="32"/>
      <c r="Q47" s="32"/>
      <c r="R47" s="32"/>
      <c r="S47" s="32"/>
      <c r="T47" s="32"/>
      <c r="U47" s="32"/>
      <c r="V47" s="32"/>
      <c r="W47" s="32"/>
      <c r="X47" s="1750">
        <f t="shared" si="1"/>
        <v>0</v>
      </c>
      <c r="Y47" s="175">
        <f t="shared" si="2"/>
        <v>0</v>
      </c>
    </row>
    <row r="48" spans="1:25" ht="30" x14ac:dyDescent="0.25">
      <c r="A48" s="32"/>
      <c r="B48" s="32"/>
      <c r="C48" s="32"/>
      <c r="D48" s="32"/>
      <c r="E48" s="32"/>
      <c r="F48" s="32"/>
      <c r="G48" s="1340">
        <v>0</v>
      </c>
      <c r="H48" s="66" t="str">
        <f>'BID I'!B42</f>
        <v>Penghasilan tetap Perangkat Desa</v>
      </c>
      <c r="I48" s="513">
        <f>SUM('BID I'!F43:F45)</f>
        <v>431225760</v>
      </c>
      <c r="J48" s="66" t="s">
        <v>1682</v>
      </c>
      <c r="K48" s="497" t="s">
        <v>2988</v>
      </c>
      <c r="L48" s="497">
        <v>35939530</v>
      </c>
      <c r="M48" s="497">
        <v>35939530</v>
      </c>
      <c r="N48" s="497">
        <v>35939530</v>
      </c>
      <c r="O48" s="497">
        <v>35939530</v>
      </c>
      <c r="P48" s="497">
        <v>35939530</v>
      </c>
      <c r="Q48" s="497">
        <v>35939530</v>
      </c>
      <c r="R48" s="497">
        <v>35939530</v>
      </c>
      <c r="S48" s="497">
        <v>35939530</v>
      </c>
      <c r="T48" s="497">
        <v>35939530</v>
      </c>
      <c r="U48" s="497">
        <v>35939530</v>
      </c>
      <c r="V48" s="497">
        <v>35939530</v>
      </c>
      <c r="W48" s="497">
        <v>35890930</v>
      </c>
      <c r="X48" s="1750">
        <f t="shared" si="1"/>
        <v>431225760</v>
      </c>
      <c r="Y48" s="175">
        <f t="shared" si="2"/>
        <v>0</v>
      </c>
    </row>
    <row r="49" spans="1:25" ht="30" x14ac:dyDescent="0.25">
      <c r="A49" s="32"/>
      <c r="B49" s="32"/>
      <c r="C49" s="32"/>
      <c r="D49" s="32"/>
      <c r="E49" s="32"/>
      <c r="F49" s="32"/>
      <c r="G49" s="1340" t="s">
        <v>2702</v>
      </c>
      <c r="H49" s="66" t="str">
        <f>'BID I'!B47</f>
        <v>Tunjangan Perangkat Desa</v>
      </c>
      <c r="I49" s="513">
        <f>'BID I'!F48+'BID I'!F49+'BID I'!F50+'BID I'!F52+'BID I'!F53+'BID I'!F54+'BID I'!F56+'BID I'!F57+'BID I'!F58</f>
        <v>508400000</v>
      </c>
      <c r="J49" s="66" t="s">
        <v>2620</v>
      </c>
      <c r="K49" s="497" t="s">
        <v>2988</v>
      </c>
      <c r="L49" s="497">
        <v>36300000</v>
      </c>
      <c r="M49" s="497">
        <v>36300000</v>
      </c>
      <c r="N49" s="497">
        <v>72700000</v>
      </c>
      <c r="O49" s="497">
        <v>36300000</v>
      </c>
      <c r="P49" s="497">
        <v>36300000</v>
      </c>
      <c r="Q49" s="497">
        <v>72700000</v>
      </c>
      <c r="R49" s="497">
        <v>36300000</v>
      </c>
      <c r="S49" s="497">
        <v>36300000</v>
      </c>
      <c r="T49" s="497">
        <v>36300000</v>
      </c>
      <c r="U49" s="497">
        <v>36300000</v>
      </c>
      <c r="V49" s="497">
        <v>36300000</v>
      </c>
      <c r="W49" s="497">
        <v>36300000</v>
      </c>
      <c r="X49" s="1750">
        <f t="shared" si="1"/>
        <v>508400000</v>
      </c>
      <c r="Y49" s="175">
        <f t="shared" si="2"/>
        <v>0</v>
      </c>
    </row>
    <row r="50" spans="1:25" ht="60" x14ac:dyDescent="0.25">
      <c r="A50" s="1344">
        <v>1</v>
      </c>
      <c r="B50" s="1344">
        <v>1</v>
      </c>
      <c r="C50" s="1346" t="s">
        <v>2703</v>
      </c>
      <c r="D50" s="1344"/>
      <c r="E50" s="1344"/>
      <c r="F50" s="1344"/>
      <c r="G50" s="1344"/>
      <c r="H50" s="1345" t="str">
        <f>'BID I'!B76</f>
        <v>Penyediaan Jaminan Kesehatan dan Ketenaga Kerjaan Bagi Perbekel dan Perangkat Desa</v>
      </c>
      <c r="I50" s="1347">
        <f>SUM(I51:I56)</f>
        <v>70001760</v>
      </c>
      <c r="J50" s="1345" t="s">
        <v>2620</v>
      </c>
      <c r="K50" s="1347" t="s">
        <v>2988</v>
      </c>
      <c r="L50" s="1344"/>
      <c r="M50" s="1344"/>
      <c r="N50" s="1344"/>
      <c r="O50" s="1344"/>
      <c r="P50" s="1344"/>
      <c r="Q50" s="1349"/>
      <c r="R50" s="1344"/>
      <c r="S50" s="1344"/>
      <c r="T50" s="1344"/>
      <c r="U50" s="1344"/>
      <c r="V50" s="1344"/>
      <c r="W50" s="1344"/>
      <c r="X50" s="1353">
        <f t="shared" si="1"/>
        <v>0</v>
      </c>
      <c r="Y50" s="175">
        <f t="shared" si="2"/>
        <v>-70001760</v>
      </c>
    </row>
    <row r="51" spans="1:25" x14ac:dyDescent="0.25">
      <c r="A51" s="32"/>
      <c r="B51" s="32"/>
      <c r="C51" s="32"/>
      <c r="D51" s="32">
        <v>5</v>
      </c>
      <c r="E51" s="32">
        <v>1</v>
      </c>
      <c r="F51" s="32"/>
      <c r="G51" s="32"/>
      <c r="H51" s="66" t="str">
        <f>'BID I'!B81</f>
        <v>Belanja Pegawai :</v>
      </c>
      <c r="I51" s="32"/>
      <c r="J51" s="66"/>
      <c r="K51" s="497" t="s">
        <v>2988</v>
      </c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1750">
        <f t="shared" si="1"/>
        <v>0</v>
      </c>
      <c r="Y51" s="175">
        <f t="shared" si="2"/>
        <v>0</v>
      </c>
    </row>
    <row r="52" spans="1:25" ht="30" x14ac:dyDescent="0.25">
      <c r="A52" s="32"/>
      <c r="B52" s="32"/>
      <c r="C52" s="32"/>
      <c r="D52" s="32"/>
      <c r="E52" s="32"/>
      <c r="F52" s="32">
        <v>3</v>
      </c>
      <c r="G52" s="32"/>
      <c r="H52" s="66" t="str">
        <f>'BID I'!B82</f>
        <v>Jaminan sosial Perbekel dan Perangkat Desa</v>
      </c>
      <c r="I52" s="32"/>
      <c r="J52" s="66"/>
      <c r="K52" s="497" t="s">
        <v>2988</v>
      </c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1750">
        <f t="shared" si="1"/>
        <v>0</v>
      </c>
      <c r="Y52" s="175">
        <f t="shared" si="2"/>
        <v>0</v>
      </c>
    </row>
    <row r="53" spans="1:25" ht="30" x14ac:dyDescent="0.25">
      <c r="A53" s="32"/>
      <c r="B53" s="32"/>
      <c r="C53" s="32"/>
      <c r="D53" s="32"/>
      <c r="E53" s="32"/>
      <c r="F53" s="32"/>
      <c r="G53" s="1340" t="s">
        <v>2688</v>
      </c>
      <c r="H53" s="66" t="str">
        <f>'BID I'!B83</f>
        <v xml:space="preserve">Jaminan Kesehatan perbekel </v>
      </c>
      <c r="I53" s="513">
        <f>'BID I'!F83</f>
        <v>480000</v>
      </c>
      <c r="J53" s="66" t="s">
        <v>2620</v>
      </c>
      <c r="K53" s="497" t="s">
        <v>2988</v>
      </c>
      <c r="L53" s="497">
        <v>40000</v>
      </c>
      <c r="M53" s="497">
        <v>40000</v>
      </c>
      <c r="N53" s="497">
        <v>40000</v>
      </c>
      <c r="O53" s="497">
        <v>40000</v>
      </c>
      <c r="P53" s="497">
        <v>40000</v>
      </c>
      <c r="Q53" s="497">
        <v>40000</v>
      </c>
      <c r="R53" s="497">
        <v>40000</v>
      </c>
      <c r="S53" s="497">
        <v>40000</v>
      </c>
      <c r="T53" s="497">
        <v>40000</v>
      </c>
      <c r="U53" s="497">
        <v>40000</v>
      </c>
      <c r="V53" s="497">
        <v>40000</v>
      </c>
      <c r="W53" s="497">
        <v>40000</v>
      </c>
      <c r="X53" s="1750">
        <f t="shared" si="1"/>
        <v>480000</v>
      </c>
      <c r="Y53" s="175">
        <f t="shared" si="2"/>
        <v>0</v>
      </c>
    </row>
    <row r="54" spans="1:25" ht="30" x14ac:dyDescent="0.25">
      <c r="A54" s="32"/>
      <c r="B54" s="32"/>
      <c r="C54" s="32"/>
      <c r="D54" s="32"/>
      <c r="E54" s="32"/>
      <c r="F54" s="32"/>
      <c r="G54" s="1340" t="s">
        <v>2702</v>
      </c>
      <c r="H54" s="66" t="str">
        <f>'BID I'!B84</f>
        <v>Jaminan Kesehatan Perangkat Desa</v>
      </c>
      <c r="I54" s="513">
        <f>'BID I'!F85+'BID I'!F86+'BID I'!F87</f>
        <v>5574240</v>
      </c>
      <c r="J54" s="66" t="s">
        <v>2620</v>
      </c>
      <c r="K54" s="497" t="s">
        <v>2988</v>
      </c>
      <c r="L54" s="497">
        <v>464520</v>
      </c>
      <c r="M54" s="497">
        <v>464520</v>
      </c>
      <c r="N54" s="497">
        <v>464520</v>
      </c>
      <c r="O54" s="497">
        <v>464520</v>
      </c>
      <c r="P54" s="497">
        <v>464520</v>
      </c>
      <c r="Q54" s="497">
        <v>464520</v>
      </c>
      <c r="R54" s="497">
        <v>464520</v>
      </c>
      <c r="S54" s="497">
        <v>464520</v>
      </c>
      <c r="T54" s="497">
        <v>464520</v>
      </c>
      <c r="U54" s="497">
        <v>464520</v>
      </c>
      <c r="V54" s="497">
        <v>464520</v>
      </c>
      <c r="W54" s="497">
        <v>464520</v>
      </c>
      <c r="X54" s="1750">
        <f t="shared" si="1"/>
        <v>5574240</v>
      </c>
      <c r="Y54" s="175">
        <f t="shared" si="2"/>
        <v>0</v>
      </c>
    </row>
    <row r="55" spans="1:25" ht="30" x14ac:dyDescent="0.25">
      <c r="A55" s="32"/>
      <c r="B55" s="32"/>
      <c r="C55" s="32"/>
      <c r="D55" s="32"/>
      <c r="E55" s="32"/>
      <c r="F55" s="32"/>
      <c r="G55" s="1340" t="s">
        <v>2703</v>
      </c>
      <c r="H55" s="66" t="str">
        <f>'BID I'!B88</f>
        <v>Jaminan Ketenagakerjaan Perbekel</v>
      </c>
      <c r="I55" s="513">
        <f>'BID I'!F88</f>
        <v>9509760</v>
      </c>
      <c r="J55" s="66" t="s">
        <v>2620</v>
      </c>
      <c r="K55" s="497" t="s">
        <v>2988</v>
      </c>
      <c r="L55" s="497">
        <v>792480</v>
      </c>
      <c r="M55" s="497">
        <v>792480</v>
      </c>
      <c r="N55" s="497">
        <v>792480</v>
      </c>
      <c r="O55" s="497">
        <v>792480</v>
      </c>
      <c r="P55" s="497">
        <v>792480</v>
      </c>
      <c r="Q55" s="497">
        <v>792480</v>
      </c>
      <c r="R55" s="497">
        <v>792480</v>
      </c>
      <c r="S55" s="497">
        <v>792480</v>
      </c>
      <c r="T55" s="497">
        <v>792480</v>
      </c>
      <c r="U55" s="497">
        <v>792480</v>
      </c>
      <c r="V55" s="497">
        <v>792480</v>
      </c>
      <c r="W55" s="497">
        <v>792480</v>
      </c>
      <c r="X55" s="1750">
        <f t="shared" si="1"/>
        <v>9509760</v>
      </c>
      <c r="Y55" s="175">
        <f t="shared" si="2"/>
        <v>0</v>
      </c>
    </row>
    <row r="56" spans="1:25" ht="45" x14ac:dyDescent="0.25">
      <c r="A56" s="32"/>
      <c r="B56" s="32"/>
      <c r="C56" s="32"/>
      <c r="D56" s="32"/>
      <c r="E56" s="32"/>
      <c r="F56" s="32"/>
      <c r="G56" s="1340" t="s">
        <v>2704</v>
      </c>
      <c r="H56" s="66" t="str">
        <f>'BID I'!B89</f>
        <v>Jaminan Ketenagakerajaan Perangkat Desa</v>
      </c>
      <c r="I56" s="513">
        <f>SUM('BID I'!F90:F92)</f>
        <v>54437760</v>
      </c>
      <c r="J56" s="66" t="s">
        <v>2620</v>
      </c>
      <c r="K56" s="497" t="s">
        <v>2988</v>
      </c>
      <c r="L56" s="497">
        <v>4536480</v>
      </c>
      <c r="M56" s="497">
        <v>4536480</v>
      </c>
      <c r="N56" s="497">
        <v>4536480</v>
      </c>
      <c r="O56" s="497">
        <v>4536480</v>
      </c>
      <c r="P56" s="497">
        <v>4536480</v>
      </c>
      <c r="Q56" s="497">
        <v>4536480</v>
      </c>
      <c r="R56" s="497">
        <v>4536480</v>
      </c>
      <c r="S56" s="497">
        <v>4536480</v>
      </c>
      <c r="T56" s="497">
        <v>4536480</v>
      </c>
      <c r="U56" s="497">
        <v>4536480</v>
      </c>
      <c r="V56" s="497">
        <v>4536480</v>
      </c>
      <c r="W56" s="497">
        <v>4536480</v>
      </c>
      <c r="X56" s="1750">
        <f t="shared" si="1"/>
        <v>54437760</v>
      </c>
      <c r="Y56" s="175">
        <f t="shared" si="2"/>
        <v>0</v>
      </c>
    </row>
    <row r="57" spans="1:25" ht="45" x14ac:dyDescent="0.25">
      <c r="A57" s="1344">
        <v>1</v>
      </c>
      <c r="B57" s="1344">
        <v>1</v>
      </c>
      <c r="C57" s="1346" t="s">
        <v>2704</v>
      </c>
      <c r="D57" s="1344"/>
      <c r="E57" s="1344"/>
      <c r="F57" s="1344"/>
      <c r="G57" s="1344"/>
      <c r="H57" s="1345" t="str">
        <f>'BID I'!B110</f>
        <v>: Penyediaan Operasional Pemerintah Desa</v>
      </c>
      <c r="I57" s="1347">
        <f>SUM(I58:I87)</f>
        <v>486652349</v>
      </c>
      <c r="J57" s="1345" t="s">
        <v>2922</v>
      </c>
      <c r="K57" s="1347" t="s">
        <v>2988</v>
      </c>
      <c r="L57" s="1349"/>
      <c r="M57" s="1353"/>
      <c r="N57" s="1349"/>
      <c r="O57" s="1344"/>
      <c r="P57" s="1347"/>
      <c r="Q57" s="1353"/>
      <c r="R57" s="1349"/>
      <c r="S57" s="1344"/>
      <c r="T57" s="1347"/>
      <c r="U57" s="1353"/>
      <c r="V57" s="1349"/>
      <c r="W57" s="1344"/>
      <c r="X57" s="1353">
        <f t="shared" si="1"/>
        <v>0</v>
      </c>
      <c r="Y57" s="175">
        <f t="shared" si="2"/>
        <v>-486652349</v>
      </c>
    </row>
    <row r="58" spans="1:25" x14ac:dyDescent="0.25">
      <c r="A58" s="32"/>
      <c r="B58" s="32"/>
      <c r="C58" s="32"/>
      <c r="D58" s="32">
        <v>5</v>
      </c>
      <c r="E58" s="32">
        <v>2</v>
      </c>
      <c r="F58" s="32"/>
      <c r="G58" s="32"/>
      <c r="H58" s="32" t="str">
        <f>'BID I'!B115</f>
        <v>Belanja Barang Jasa :</v>
      </c>
      <c r="I58" s="32"/>
      <c r="J58" s="66"/>
      <c r="K58" s="497" t="s">
        <v>2988</v>
      </c>
      <c r="L58" s="497"/>
      <c r="M58" s="497"/>
      <c r="N58" s="497"/>
      <c r="O58" s="497"/>
      <c r="P58" s="497"/>
      <c r="Q58" s="497"/>
      <c r="R58" s="497"/>
      <c r="S58" s="497"/>
      <c r="T58" s="497"/>
      <c r="U58" s="497"/>
      <c r="V58" s="497"/>
      <c r="W58" s="497"/>
      <c r="X58" s="1750">
        <f t="shared" si="1"/>
        <v>0</v>
      </c>
      <c r="Y58" s="175">
        <f t="shared" si="2"/>
        <v>0</v>
      </c>
    </row>
    <row r="59" spans="1:25" ht="30" x14ac:dyDescent="0.25">
      <c r="A59" s="32"/>
      <c r="B59" s="32"/>
      <c r="C59" s="32"/>
      <c r="D59" s="32"/>
      <c r="E59" s="32"/>
      <c r="F59" s="32">
        <v>1</v>
      </c>
      <c r="G59" s="32"/>
      <c r="H59" s="66" t="str">
        <f>'BID I'!B116</f>
        <v>Belanja Barang Perlengkapan</v>
      </c>
      <c r="I59" s="32"/>
      <c r="J59" s="66"/>
      <c r="K59" s="497" t="s">
        <v>2988</v>
      </c>
      <c r="L59" s="32"/>
      <c r="M59" s="32"/>
      <c r="N59" s="497"/>
      <c r="O59" s="32"/>
      <c r="P59" s="32"/>
      <c r="Q59" s="32"/>
      <c r="R59" s="497"/>
      <c r="S59" s="32"/>
      <c r="T59" s="32"/>
      <c r="U59" s="32"/>
      <c r="V59" s="32"/>
      <c r="W59" s="32"/>
      <c r="X59" s="1750">
        <f t="shared" si="1"/>
        <v>0</v>
      </c>
      <c r="Y59" s="175">
        <f t="shared" si="2"/>
        <v>0</v>
      </c>
    </row>
    <row r="60" spans="1:25" ht="45" x14ac:dyDescent="0.25">
      <c r="A60" s="32"/>
      <c r="B60" s="32"/>
      <c r="C60" s="32"/>
      <c r="D60" s="32"/>
      <c r="E60" s="32"/>
      <c r="F60" s="32"/>
      <c r="G60" s="1340" t="s">
        <v>2688</v>
      </c>
      <c r="H60" s="66" t="str">
        <f>'BID I'!B117</f>
        <v>Belanja perlengkapan alat tulis kantor dan Benda Pos</v>
      </c>
      <c r="I60" s="513">
        <f>SUM('BID I'!F118:F145)</f>
        <v>69390000</v>
      </c>
      <c r="J60" s="66" t="s">
        <v>1682</v>
      </c>
      <c r="K60" s="497" t="s">
        <v>2988</v>
      </c>
      <c r="L60" s="32"/>
      <c r="M60" s="32"/>
      <c r="N60" s="497">
        <v>69390000</v>
      </c>
      <c r="O60" s="32"/>
      <c r="P60" s="32"/>
      <c r="Q60" s="32"/>
      <c r="R60" s="32"/>
      <c r="S60" s="32"/>
      <c r="T60" s="32"/>
      <c r="U60" s="32"/>
      <c r="V60" s="32"/>
      <c r="W60" s="32"/>
      <c r="X60" s="1750">
        <f t="shared" si="1"/>
        <v>69390000</v>
      </c>
      <c r="Y60" s="175">
        <f t="shared" si="2"/>
        <v>0</v>
      </c>
    </row>
    <row r="61" spans="1:25" ht="30" x14ac:dyDescent="0.25">
      <c r="A61" s="32"/>
      <c r="B61" s="32"/>
      <c r="C61" s="32"/>
      <c r="D61" s="32"/>
      <c r="E61" s="32"/>
      <c r="F61" s="32"/>
      <c r="G61" s="1340" t="s">
        <v>2702</v>
      </c>
      <c r="H61" s="66" t="str">
        <f>'BID I'!B147</f>
        <v>Belanja Perlengkapan alat alat listrik</v>
      </c>
      <c r="I61" s="513">
        <f>'BID I'!F148</f>
        <v>1600000</v>
      </c>
      <c r="J61" s="66" t="s">
        <v>1682</v>
      </c>
      <c r="K61" s="497" t="s">
        <v>2988</v>
      </c>
      <c r="L61" s="32"/>
      <c r="M61" s="32"/>
      <c r="N61" s="32"/>
      <c r="O61" s="32"/>
      <c r="P61" s="32"/>
      <c r="Q61" s="32"/>
      <c r="R61" s="497">
        <v>1600000</v>
      </c>
      <c r="S61" s="32"/>
      <c r="T61" s="32"/>
      <c r="U61" s="32"/>
      <c r="V61" s="32"/>
      <c r="W61" s="32"/>
      <c r="X61" s="1750">
        <f t="shared" si="1"/>
        <v>1600000</v>
      </c>
      <c r="Y61" s="175">
        <f t="shared" si="2"/>
        <v>0</v>
      </c>
    </row>
    <row r="62" spans="1:25" ht="60" x14ac:dyDescent="0.25">
      <c r="A62" s="32"/>
      <c r="B62" s="32"/>
      <c r="C62" s="32"/>
      <c r="D62" s="32"/>
      <c r="E62" s="32"/>
      <c r="F62" s="32"/>
      <c r="G62" s="1340" t="s">
        <v>2703</v>
      </c>
      <c r="H62" s="66" t="str">
        <f>'BID I'!B150</f>
        <v xml:space="preserve">Belanja perlengkapan alat alat rumah tangga/peralatan dan Bahan kebersihan </v>
      </c>
      <c r="I62" s="513">
        <f>SUM('BID I'!F151:F160)</f>
        <v>5728000</v>
      </c>
      <c r="J62" s="66" t="s">
        <v>1682</v>
      </c>
      <c r="K62" s="497" t="s">
        <v>2988</v>
      </c>
      <c r="L62" s="32"/>
      <c r="M62" s="32"/>
      <c r="N62" s="497"/>
      <c r="O62" s="32"/>
      <c r="P62" s="32"/>
      <c r="Q62" s="32"/>
      <c r="R62" s="497">
        <v>5728000</v>
      </c>
      <c r="S62" s="32"/>
      <c r="T62" s="32"/>
      <c r="U62" s="32"/>
      <c r="V62" s="32"/>
      <c r="W62" s="32"/>
      <c r="X62" s="1750">
        <f t="shared" si="1"/>
        <v>5728000</v>
      </c>
      <c r="Y62" s="175">
        <f t="shared" si="2"/>
        <v>0</v>
      </c>
    </row>
    <row r="63" spans="1:25" ht="60" x14ac:dyDescent="0.25">
      <c r="A63" s="32"/>
      <c r="B63" s="32"/>
      <c r="C63" s="32"/>
      <c r="D63" s="32"/>
      <c r="E63" s="32"/>
      <c r="F63" s="32"/>
      <c r="G63" s="1340" t="s">
        <v>2704</v>
      </c>
      <c r="H63" s="66" t="str">
        <f>'BID I'!B161</f>
        <v>Belanja bahan bakar minyak/ gas/ isi ulang tabung pemadam kebakaran</v>
      </c>
      <c r="I63" s="513">
        <f>SUM('BID I'!F162:F164)</f>
        <v>18312000</v>
      </c>
      <c r="J63" s="66" t="s">
        <v>1682</v>
      </c>
      <c r="K63" s="497" t="s">
        <v>2988</v>
      </c>
      <c r="L63" s="32"/>
      <c r="M63" s="32"/>
      <c r="N63" s="497">
        <v>18312000</v>
      </c>
      <c r="O63" s="32"/>
      <c r="P63" s="32"/>
      <c r="Q63" s="32"/>
      <c r="R63" s="32"/>
      <c r="S63" s="32"/>
      <c r="T63" s="32"/>
      <c r="U63" s="32"/>
      <c r="V63" s="32"/>
      <c r="W63" s="32"/>
      <c r="X63" s="1750">
        <f t="shared" si="1"/>
        <v>18312000</v>
      </c>
      <c r="Y63" s="175">
        <f t="shared" si="2"/>
        <v>0</v>
      </c>
    </row>
    <row r="64" spans="1:25" ht="60" x14ac:dyDescent="0.25">
      <c r="A64" s="32"/>
      <c r="B64" s="32"/>
      <c r="C64" s="32"/>
      <c r="D64" s="32"/>
      <c r="E64" s="32"/>
      <c r="F64" s="32"/>
      <c r="G64" s="1340" t="s">
        <v>2706</v>
      </c>
      <c r="H64" s="66" t="str">
        <f>'BID I'!B166</f>
        <v xml:space="preserve">Belanja Perlengkapan Cetak/ pengadaan - Belanja barang cetak dan pengadaan </v>
      </c>
      <c r="I64" s="513">
        <f>SUM('BID I'!F167:F180)</f>
        <v>12288600</v>
      </c>
      <c r="J64" s="66" t="s">
        <v>1682</v>
      </c>
      <c r="K64" s="497" t="s">
        <v>2988</v>
      </c>
      <c r="L64" s="32"/>
      <c r="M64" s="32"/>
      <c r="N64" s="497">
        <v>12288600</v>
      </c>
      <c r="O64" s="32"/>
      <c r="P64" s="32"/>
      <c r="Q64" s="32"/>
      <c r="R64" s="32"/>
      <c r="S64" s="32"/>
      <c r="T64" s="32"/>
      <c r="U64" s="32"/>
      <c r="V64" s="32"/>
      <c r="W64" s="32"/>
      <c r="X64" s="1750">
        <f t="shared" si="1"/>
        <v>12288600</v>
      </c>
      <c r="Y64" s="175">
        <f t="shared" si="2"/>
        <v>0</v>
      </c>
    </row>
    <row r="65" spans="1:25" ht="60" x14ac:dyDescent="0.25">
      <c r="A65" s="32"/>
      <c r="B65" s="32"/>
      <c r="C65" s="32"/>
      <c r="D65" s="32"/>
      <c r="E65" s="32"/>
      <c r="F65" s="32"/>
      <c r="G65" s="1340" t="s">
        <v>2705</v>
      </c>
      <c r="H65" s="66" t="str">
        <f>'BID I'!B182</f>
        <v>Belanja perlengkapan barang konsumsi (makan/ minum) Belanja Barang konsumsi</v>
      </c>
      <c r="I65" s="513">
        <f>SUM('BID I'!F183:F188)</f>
        <v>10025000</v>
      </c>
      <c r="J65" s="66" t="s">
        <v>1682</v>
      </c>
      <c r="K65" s="497" t="s">
        <v>2988</v>
      </c>
      <c r="L65" s="32"/>
      <c r="M65" s="32"/>
      <c r="N65" s="497">
        <v>2396236</v>
      </c>
      <c r="O65" s="32"/>
      <c r="P65" s="32"/>
      <c r="Q65" s="32"/>
      <c r="R65" s="497">
        <v>3000000</v>
      </c>
      <c r="S65" s="32"/>
      <c r="T65" s="32"/>
      <c r="U65" s="497">
        <v>4628764</v>
      </c>
      <c r="V65" s="32"/>
      <c r="W65" s="32"/>
      <c r="X65" s="1750">
        <f t="shared" si="1"/>
        <v>10025000</v>
      </c>
      <c r="Y65" s="175">
        <f t="shared" si="2"/>
        <v>0</v>
      </c>
    </row>
    <row r="66" spans="1:25" x14ac:dyDescent="0.25">
      <c r="A66" s="32"/>
      <c r="B66" s="32"/>
      <c r="C66" s="32"/>
      <c r="D66" s="32"/>
      <c r="E66" s="32"/>
      <c r="F66" s="32"/>
      <c r="G66" s="1340" t="s">
        <v>2708</v>
      </c>
      <c r="H66" s="32" t="str">
        <f>'BID I'!B190</f>
        <v xml:space="preserve">Belanja bahan/ material </v>
      </c>
      <c r="I66" s="513">
        <f>SUM('BID I'!F191:F192)</f>
        <v>6420000</v>
      </c>
      <c r="J66" s="66" t="s">
        <v>1682</v>
      </c>
      <c r="K66" s="497" t="s">
        <v>2988</v>
      </c>
      <c r="L66" s="497">
        <v>535000</v>
      </c>
      <c r="M66" s="497">
        <v>535000</v>
      </c>
      <c r="N66" s="497">
        <v>535000</v>
      </c>
      <c r="O66" s="497">
        <v>535000</v>
      </c>
      <c r="P66" s="497">
        <v>535000</v>
      </c>
      <c r="Q66" s="497">
        <v>535000</v>
      </c>
      <c r="R66" s="497">
        <v>535000</v>
      </c>
      <c r="S66" s="497">
        <v>535000</v>
      </c>
      <c r="T66" s="497">
        <v>535000</v>
      </c>
      <c r="U66" s="497">
        <v>535000</v>
      </c>
      <c r="V66" s="497">
        <v>535000</v>
      </c>
      <c r="W66" s="497">
        <v>535000</v>
      </c>
      <c r="X66" s="1750">
        <f t="shared" si="1"/>
        <v>6420000</v>
      </c>
      <c r="Y66" s="175">
        <f t="shared" si="2"/>
        <v>0</v>
      </c>
    </row>
    <row r="67" spans="1:25" ht="30" x14ac:dyDescent="0.25">
      <c r="A67" s="32"/>
      <c r="B67" s="32"/>
      <c r="C67" s="32"/>
      <c r="D67" s="32"/>
      <c r="E67" s="32"/>
      <c r="F67" s="32"/>
      <c r="G67" s="1340" t="s">
        <v>2707</v>
      </c>
      <c r="H67" s="66" t="str">
        <f>'BID I'!B194</f>
        <v>Belanja bendera/ umbul umbul/ spanduk</v>
      </c>
      <c r="I67" s="513">
        <f>SUM('BID I'!F195:F200)</f>
        <v>7900000</v>
      </c>
      <c r="J67" s="66" t="s">
        <v>1682</v>
      </c>
      <c r="K67" s="497" t="s">
        <v>2988</v>
      </c>
      <c r="L67" s="32"/>
      <c r="M67" s="32"/>
      <c r="N67" s="32"/>
      <c r="O67" s="32"/>
      <c r="P67" s="32"/>
      <c r="Q67" s="32"/>
      <c r="R67" s="497">
        <v>5000000</v>
      </c>
      <c r="S67" s="32"/>
      <c r="T67" s="32"/>
      <c r="U67" s="497">
        <v>2900000</v>
      </c>
      <c r="V67" s="32"/>
      <c r="W67" s="32"/>
      <c r="X67" s="1750">
        <f t="shared" si="1"/>
        <v>7900000</v>
      </c>
      <c r="Y67" s="175">
        <f t="shared" si="2"/>
        <v>0</v>
      </c>
    </row>
    <row r="68" spans="1:25" ht="30" x14ac:dyDescent="0.25">
      <c r="A68" s="32"/>
      <c r="B68" s="32"/>
      <c r="C68" s="32"/>
      <c r="D68" s="32"/>
      <c r="E68" s="32"/>
      <c r="F68" s="32"/>
      <c r="G68" s="1340" t="s">
        <v>2709</v>
      </c>
      <c r="H68" s="66" t="str">
        <f>'BID I'!B202</f>
        <v>Belanja Pakaian Dinas/ seragam/ atribut</v>
      </c>
      <c r="I68" s="513">
        <f>SUM('BID I'!F203)</f>
        <v>21460000</v>
      </c>
      <c r="J68" s="66" t="s">
        <v>1682</v>
      </c>
      <c r="K68" s="497" t="s">
        <v>2988</v>
      </c>
      <c r="L68" s="32"/>
      <c r="M68" s="32"/>
      <c r="N68" s="32"/>
      <c r="O68" s="32"/>
      <c r="P68" s="32"/>
      <c r="Q68" s="32"/>
      <c r="R68" s="497">
        <v>21460000</v>
      </c>
      <c r="S68" s="32"/>
      <c r="T68" s="32"/>
      <c r="U68" s="32"/>
      <c r="V68" s="32"/>
      <c r="W68" s="32"/>
      <c r="X68" s="1750">
        <f t="shared" si="1"/>
        <v>21460000</v>
      </c>
      <c r="Y68" s="175">
        <f t="shared" si="2"/>
        <v>0</v>
      </c>
    </row>
    <row r="69" spans="1:25" x14ac:dyDescent="0.25">
      <c r="A69" s="32"/>
      <c r="B69" s="32"/>
      <c r="C69" s="32"/>
      <c r="D69" s="32"/>
      <c r="E69" s="32"/>
      <c r="F69" s="32"/>
      <c r="G69" s="32">
        <v>10</v>
      </c>
      <c r="H69" s="32" t="str">
        <f>'BID I'!B205</f>
        <v>Belanja obat obatan</v>
      </c>
      <c r="I69" s="513">
        <f>SUM('BID I'!F206)</f>
        <v>500000</v>
      </c>
      <c r="J69" s="66" t="s">
        <v>1682</v>
      </c>
      <c r="K69" s="497" t="s">
        <v>2988</v>
      </c>
      <c r="L69" s="32"/>
      <c r="M69" s="32"/>
      <c r="N69" s="32"/>
      <c r="O69" s="32"/>
      <c r="P69" s="32"/>
      <c r="Q69" s="32"/>
      <c r="R69" s="497">
        <v>500000</v>
      </c>
      <c r="S69" s="32"/>
      <c r="T69" s="32"/>
      <c r="U69" s="32"/>
      <c r="V69" s="32"/>
      <c r="W69" s="32"/>
      <c r="X69" s="1750">
        <f t="shared" si="1"/>
        <v>500000</v>
      </c>
      <c r="Y69" s="175">
        <f t="shared" si="2"/>
        <v>0</v>
      </c>
    </row>
    <row r="70" spans="1:25" x14ac:dyDescent="0.25">
      <c r="A70" s="32"/>
      <c r="B70" s="32"/>
      <c r="C70" s="32"/>
      <c r="D70" s="32">
        <v>5</v>
      </c>
      <c r="E70" s="32">
        <v>2</v>
      </c>
      <c r="F70" s="32">
        <v>2</v>
      </c>
      <c r="G70" s="32"/>
      <c r="H70" s="32" t="str">
        <f>'BID I'!B208</f>
        <v>Belanja jasa honorarium</v>
      </c>
      <c r="I70" s="32"/>
      <c r="J70" s="66"/>
      <c r="K70" s="497" t="s">
        <v>2988</v>
      </c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174"/>
      <c r="X70" s="1750">
        <f t="shared" si="1"/>
        <v>0</v>
      </c>
      <c r="Y70" s="175">
        <f t="shared" si="2"/>
        <v>0</v>
      </c>
    </row>
    <row r="71" spans="1:25" ht="45" x14ac:dyDescent="0.25">
      <c r="A71" s="32"/>
      <c r="B71" s="32"/>
      <c r="C71" s="32"/>
      <c r="D71" s="32"/>
      <c r="E71" s="32"/>
      <c r="F71" s="32"/>
      <c r="G71" s="1340" t="s">
        <v>2688</v>
      </c>
      <c r="H71" s="66" t="str">
        <f>'BID I'!B209</f>
        <v>Belanja jasa honorarium Tim yang melaksanakan kegiatan</v>
      </c>
      <c r="I71" s="513">
        <f>SUM('BID I'!F210:F216)</f>
        <v>65950000</v>
      </c>
      <c r="J71" s="66" t="s">
        <v>1682</v>
      </c>
      <c r="K71" s="497" t="s">
        <v>2988</v>
      </c>
      <c r="L71" s="497">
        <v>5400000</v>
      </c>
      <c r="M71" s="497">
        <v>5400000</v>
      </c>
      <c r="N71" s="497">
        <v>5400000</v>
      </c>
      <c r="O71" s="497">
        <v>5400000</v>
      </c>
      <c r="P71" s="497">
        <v>5400000</v>
      </c>
      <c r="Q71" s="497">
        <v>5400000</v>
      </c>
      <c r="R71" s="497">
        <v>5400000</v>
      </c>
      <c r="S71" s="497">
        <v>5400000</v>
      </c>
      <c r="T71" s="497">
        <v>5400000</v>
      </c>
      <c r="U71" s="497">
        <v>5400000</v>
      </c>
      <c r="V71" s="497">
        <v>5400000</v>
      </c>
      <c r="W71" s="497">
        <v>6550000</v>
      </c>
      <c r="X71" s="1750">
        <f t="shared" si="1"/>
        <v>65950000</v>
      </c>
      <c r="Y71" s="175">
        <f t="shared" si="2"/>
        <v>0</v>
      </c>
    </row>
    <row r="72" spans="1:25" x14ac:dyDescent="0.25">
      <c r="A72" s="32"/>
      <c r="B72" s="32"/>
      <c r="C72" s="32"/>
      <c r="D72" s="32">
        <v>5</v>
      </c>
      <c r="E72" s="32">
        <v>2</v>
      </c>
      <c r="F72" s="32">
        <v>3</v>
      </c>
      <c r="G72" s="1340"/>
      <c r="H72" s="66" t="str">
        <f>'BID I'!B218</f>
        <v>Belanja Perjalanan Dinas</v>
      </c>
      <c r="I72" s="513"/>
      <c r="J72" s="66"/>
      <c r="K72" s="497" t="s">
        <v>2988</v>
      </c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1750">
        <f t="shared" si="1"/>
        <v>0</v>
      </c>
      <c r="Y72" s="175">
        <f t="shared" si="2"/>
        <v>0</v>
      </c>
    </row>
    <row r="73" spans="1:25" ht="30" x14ac:dyDescent="0.25">
      <c r="A73" s="32"/>
      <c r="B73" s="32"/>
      <c r="C73" s="32"/>
      <c r="D73" s="32"/>
      <c r="E73" s="32"/>
      <c r="F73" s="32"/>
      <c r="G73" s="1340" t="s">
        <v>2702</v>
      </c>
      <c r="H73" s="66" t="str">
        <f>'BID I'!B219</f>
        <v>Perjalanan Dinas Luar Kabupaten/ Kota</v>
      </c>
      <c r="I73" s="513">
        <f>'BID I'!F219</f>
        <v>50000000</v>
      </c>
      <c r="J73" s="66" t="s">
        <v>1682</v>
      </c>
      <c r="K73" s="497" t="s">
        <v>2988</v>
      </c>
      <c r="L73" s="32"/>
      <c r="M73" s="32"/>
      <c r="N73" s="32"/>
      <c r="O73" s="32"/>
      <c r="P73" s="497">
        <v>25000000</v>
      </c>
      <c r="Q73" s="32"/>
      <c r="R73" s="32"/>
      <c r="S73" s="32"/>
      <c r="T73" s="32"/>
      <c r="U73" s="497">
        <v>25000000</v>
      </c>
      <c r="V73" s="32"/>
      <c r="W73" s="32"/>
      <c r="X73" s="1750">
        <f t="shared" si="1"/>
        <v>50000000</v>
      </c>
      <c r="Y73" s="175">
        <f t="shared" si="2"/>
        <v>0</v>
      </c>
    </row>
    <row r="74" spans="1:25" ht="30" x14ac:dyDescent="0.25">
      <c r="A74" s="32"/>
      <c r="B74" s="32"/>
      <c r="C74" s="32"/>
      <c r="D74" s="32">
        <v>5</v>
      </c>
      <c r="E74" s="32">
        <v>2</v>
      </c>
      <c r="F74" s="32">
        <v>5</v>
      </c>
      <c r="G74" s="32"/>
      <c r="H74" s="66" t="str">
        <f>'BID I'!B221</f>
        <v>Belanja Operasional Perkantoran</v>
      </c>
      <c r="I74" s="32"/>
      <c r="J74" s="66"/>
      <c r="K74" s="497" t="s">
        <v>2988</v>
      </c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1750">
        <f t="shared" si="1"/>
        <v>0</v>
      </c>
      <c r="Y74" s="175">
        <f t="shared" si="2"/>
        <v>0</v>
      </c>
    </row>
    <row r="75" spans="1:25" ht="30" x14ac:dyDescent="0.25">
      <c r="A75" s="32"/>
      <c r="B75" s="32"/>
      <c r="C75" s="32"/>
      <c r="D75" s="32"/>
      <c r="E75" s="32"/>
      <c r="F75" s="32"/>
      <c r="G75" s="1340" t="s">
        <v>2688</v>
      </c>
      <c r="H75" s="66" t="str">
        <f>'BID I'!B222</f>
        <v>Belanja jasa layanan listrik</v>
      </c>
      <c r="I75" s="513">
        <f>SUM('BID I'!F222:F223)</f>
        <v>42140000</v>
      </c>
      <c r="J75" s="66" t="s">
        <v>1682</v>
      </c>
      <c r="K75" s="497" t="s">
        <v>2988</v>
      </c>
      <c r="L75" s="497">
        <v>3511666</v>
      </c>
      <c r="M75" s="497">
        <v>3511666</v>
      </c>
      <c r="N75" s="497">
        <v>3511666</v>
      </c>
      <c r="O75" s="497">
        <v>3511666</v>
      </c>
      <c r="P75" s="497">
        <v>3511666</v>
      </c>
      <c r="Q75" s="497">
        <v>3511666</v>
      </c>
      <c r="R75" s="497">
        <v>3511666</v>
      </c>
      <c r="S75" s="497">
        <v>3511666</v>
      </c>
      <c r="T75" s="497">
        <v>3511666</v>
      </c>
      <c r="U75" s="497">
        <v>3511666</v>
      </c>
      <c r="V75" s="497">
        <v>3511674</v>
      </c>
      <c r="W75" s="497">
        <v>3511666</v>
      </c>
      <c r="X75" s="1750">
        <f t="shared" si="1"/>
        <v>42140000</v>
      </c>
      <c r="Y75" s="175">
        <f t="shared" si="2"/>
        <v>0</v>
      </c>
    </row>
    <row r="76" spans="1:25" ht="30" x14ac:dyDescent="0.25">
      <c r="A76" s="32"/>
      <c r="B76" s="32"/>
      <c r="C76" s="32"/>
      <c r="D76" s="32"/>
      <c r="E76" s="32"/>
      <c r="F76" s="32"/>
      <c r="G76" s="1340" t="s">
        <v>2703</v>
      </c>
      <c r="H76" s="66" t="str">
        <f>'BID I'!B224</f>
        <v>Belanja jasa langganan majalah/ surat kabar</v>
      </c>
      <c r="I76" s="513">
        <f>'BID I'!F224</f>
        <v>1440000</v>
      </c>
      <c r="J76" s="66" t="s">
        <v>1682</v>
      </c>
      <c r="K76" s="497" t="s">
        <v>2988</v>
      </c>
      <c r="L76" s="497">
        <v>120000</v>
      </c>
      <c r="M76" s="497">
        <v>120000</v>
      </c>
      <c r="N76" s="497">
        <v>120000</v>
      </c>
      <c r="O76" s="497">
        <v>120000</v>
      </c>
      <c r="P76" s="497">
        <v>120000</v>
      </c>
      <c r="Q76" s="497">
        <v>120000</v>
      </c>
      <c r="R76" s="497">
        <v>120000</v>
      </c>
      <c r="S76" s="497">
        <v>120000</v>
      </c>
      <c r="T76" s="497">
        <v>120000</v>
      </c>
      <c r="U76" s="497">
        <v>120000</v>
      </c>
      <c r="V76" s="497">
        <v>120000</v>
      </c>
      <c r="W76" s="497">
        <v>120000</v>
      </c>
      <c r="X76" s="1750">
        <f t="shared" si="1"/>
        <v>1440000</v>
      </c>
      <c r="Y76" s="175">
        <f t="shared" si="2"/>
        <v>0</v>
      </c>
    </row>
    <row r="77" spans="1:25" ht="30" x14ac:dyDescent="0.25">
      <c r="A77" s="32"/>
      <c r="B77" s="32"/>
      <c r="C77" s="32"/>
      <c r="D77" s="32"/>
      <c r="E77" s="32"/>
      <c r="F77" s="32"/>
      <c r="G77" s="1340" t="s">
        <v>2704</v>
      </c>
      <c r="H77" s="66" t="str">
        <f>'BID I'!B225</f>
        <v>Belanja jasa langganan telepon</v>
      </c>
      <c r="I77" s="513">
        <f>'BID I'!F225</f>
        <v>4800000</v>
      </c>
      <c r="J77" s="66" t="s">
        <v>1682</v>
      </c>
      <c r="K77" s="497" t="s">
        <v>2988</v>
      </c>
      <c r="L77" s="497">
        <v>400000</v>
      </c>
      <c r="M77" s="497">
        <v>400000</v>
      </c>
      <c r="N77" s="497">
        <v>400000</v>
      </c>
      <c r="O77" s="497">
        <v>400000</v>
      </c>
      <c r="P77" s="497">
        <v>400000</v>
      </c>
      <c r="Q77" s="497">
        <v>400000</v>
      </c>
      <c r="R77" s="497">
        <v>400000</v>
      </c>
      <c r="S77" s="497">
        <v>400000</v>
      </c>
      <c r="T77" s="497">
        <v>400000</v>
      </c>
      <c r="U77" s="497">
        <v>400000</v>
      </c>
      <c r="V77" s="497">
        <v>400000</v>
      </c>
      <c r="W77" s="497">
        <v>400000</v>
      </c>
      <c r="X77" s="1750">
        <f t="shared" si="1"/>
        <v>4800000</v>
      </c>
      <c r="Y77" s="175">
        <f t="shared" si="2"/>
        <v>0</v>
      </c>
    </row>
    <row r="78" spans="1:25" ht="30" x14ac:dyDescent="0.25">
      <c r="A78" s="32"/>
      <c r="B78" s="32"/>
      <c r="C78" s="32"/>
      <c r="D78" s="32"/>
      <c r="E78" s="32"/>
      <c r="F78" s="32"/>
      <c r="G78" s="1340" t="s">
        <v>2706</v>
      </c>
      <c r="H78" s="66" t="str">
        <f>'BID I'!B226</f>
        <v>Belanja jasa langganan internet</v>
      </c>
      <c r="I78" s="513">
        <f>'BID I'!F226</f>
        <v>15600000</v>
      </c>
      <c r="J78" s="66" t="s">
        <v>1682</v>
      </c>
      <c r="K78" s="497" t="s">
        <v>2988</v>
      </c>
      <c r="L78" s="497">
        <v>1300000</v>
      </c>
      <c r="M78" s="497">
        <v>1300000</v>
      </c>
      <c r="N78" s="497">
        <v>1300000</v>
      </c>
      <c r="O78" s="497">
        <v>1300000</v>
      </c>
      <c r="P78" s="497">
        <v>1300000</v>
      </c>
      <c r="Q78" s="497">
        <v>1300000</v>
      </c>
      <c r="R78" s="497">
        <v>1300000</v>
      </c>
      <c r="S78" s="497">
        <v>1300000</v>
      </c>
      <c r="T78" s="497">
        <v>1300000</v>
      </c>
      <c r="U78" s="497">
        <v>1300000</v>
      </c>
      <c r="V78" s="497">
        <v>1300000</v>
      </c>
      <c r="W78" s="497">
        <v>1300000</v>
      </c>
      <c r="X78" s="1750">
        <f t="shared" si="1"/>
        <v>15600000</v>
      </c>
      <c r="Y78" s="175">
        <f t="shared" si="2"/>
        <v>0</v>
      </c>
    </row>
    <row r="79" spans="1:25" ht="30" x14ac:dyDescent="0.25">
      <c r="A79" s="32"/>
      <c r="B79" s="32"/>
      <c r="C79" s="32"/>
      <c r="D79" s="32"/>
      <c r="E79" s="32"/>
      <c r="F79" s="32"/>
      <c r="G79" s="1340" t="s">
        <v>2708</v>
      </c>
      <c r="H79" s="66" t="str">
        <f>'BID I'!B227</f>
        <v>Belanja Jasa Perpanjangan ijin/ pajak</v>
      </c>
      <c r="I79" s="513">
        <f>'BID I'!F228+'BID I'!F229+'BID I'!F230+'BID I'!F231+'BID I'!F232+'BID I'!F233+'BID I'!F235</f>
        <v>57450000</v>
      </c>
      <c r="J79" s="66" t="s">
        <v>1682</v>
      </c>
      <c r="K79" s="497" t="s">
        <v>2988</v>
      </c>
      <c r="L79" s="32"/>
      <c r="M79" s="32"/>
      <c r="N79" s="32"/>
      <c r="O79" s="32"/>
      <c r="P79" s="497">
        <v>57450000</v>
      </c>
      <c r="Q79" s="32"/>
      <c r="R79" s="32"/>
      <c r="S79" s="32"/>
      <c r="T79" s="32"/>
      <c r="U79" s="32"/>
      <c r="V79" s="32"/>
      <c r="W79" s="32"/>
      <c r="X79" s="1750">
        <f t="shared" si="1"/>
        <v>57450000</v>
      </c>
      <c r="Y79" s="175">
        <f t="shared" si="2"/>
        <v>0</v>
      </c>
    </row>
    <row r="80" spans="1:25" ht="30" x14ac:dyDescent="0.25">
      <c r="A80" s="32"/>
      <c r="B80" s="32"/>
      <c r="C80" s="32"/>
      <c r="D80" s="32"/>
      <c r="E80" s="32"/>
      <c r="F80" s="32"/>
      <c r="G80" s="1340" t="s">
        <v>2708</v>
      </c>
      <c r="H80" s="66" t="str">
        <f>'BID I'!B227</f>
        <v>Belanja Jasa Perpanjangan ijin/ pajak</v>
      </c>
      <c r="I80" s="513">
        <f>'BID I'!F234</f>
        <v>300000</v>
      </c>
      <c r="J80" s="66" t="s">
        <v>2914</v>
      </c>
      <c r="K80" s="497" t="s">
        <v>2988</v>
      </c>
      <c r="L80" s="32"/>
      <c r="M80" s="32"/>
      <c r="N80" s="32"/>
      <c r="O80" s="497">
        <v>300000</v>
      </c>
      <c r="P80" s="32"/>
      <c r="Q80" s="32"/>
      <c r="R80" s="32"/>
      <c r="S80" s="32"/>
      <c r="T80" s="32"/>
      <c r="U80" s="32"/>
      <c r="V80" s="32"/>
      <c r="W80" s="32"/>
      <c r="X80" s="1750">
        <f t="shared" si="1"/>
        <v>300000</v>
      </c>
      <c r="Y80" s="175">
        <f t="shared" si="2"/>
        <v>0</v>
      </c>
    </row>
    <row r="81" spans="1:25" ht="30" x14ac:dyDescent="0.25">
      <c r="A81" s="32"/>
      <c r="B81" s="32"/>
      <c r="C81" s="32"/>
      <c r="D81" s="32"/>
      <c r="E81" s="32"/>
      <c r="F81" s="32"/>
      <c r="G81" s="1340" t="s">
        <v>2708</v>
      </c>
      <c r="H81" s="66" t="str">
        <f>'BID I'!B227</f>
        <v>Belanja Jasa Perpanjangan ijin/ pajak</v>
      </c>
      <c r="I81" s="513">
        <f>'BID I'!F236</f>
        <v>0</v>
      </c>
      <c r="J81" s="66" t="s">
        <v>2623</v>
      </c>
      <c r="K81" s="497" t="s">
        <v>2988</v>
      </c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1750">
        <f t="shared" si="1"/>
        <v>0</v>
      </c>
      <c r="Y81" s="175">
        <f t="shared" si="2"/>
        <v>0</v>
      </c>
    </row>
    <row r="82" spans="1:25" ht="30" x14ac:dyDescent="0.25">
      <c r="A82" s="32"/>
      <c r="B82" s="32"/>
      <c r="C82" s="32"/>
      <c r="D82" s="32">
        <v>5</v>
      </c>
      <c r="E82" s="32">
        <v>2</v>
      </c>
      <c r="F82" s="32">
        <v>5</v>
      </c>
      <c r="G82" s="1340">
        <v>99</v>
      </c>
      <c r="H82" s="66" t="str">
        <f>'BID I'!B237</f>
        <v>Belanja Operasional Perkantoran lainnya</v>
      </c>
      <c r="I82" s="513">
        <f>'BID I'!F238</f>
        <v>108000</v>
      </c>
      <c r="J82" s="66" t="s">
        <v>2623</v>
      </c>
      <c r="K82" s="497" t="s">
        <v>2988</v>
      </c>
      <c r="L82" s="32">
        <v>9000</v>
      </c>
      <c r="M82" s="32">
        <v>9000</v>
      </c>
      <c r="N82" s="32">
        <v>9000</v>
      </c>
      <c r="O82" s="32">
        <v>9000</v>
      </c>
      <c r="P82" s="32">
        <v>9000</v>
      </c>
      <c r="Q82" s="32">
        <v>9000</v>
      </c>
      <c r="R82" s="32">
        <v>9000</v>
      </c>
      <c r="S82" s="32">
        <v>9000</v>
      </c>
      <c r="T82" s="32">
        <v>9000</v>
      </c>
      <c r="U82" s="32">
        <v>9000</v>
      </c>
      <c r="V82" s="32">
        <v>9000</v>
      </c>
      <c r="W82" s="32">
        <v>9000</v>
      </c>
      <c r="X82" s="1750">
        <f t="shared" si="1"/>
        <v>108000</v>
      </c>
      <c r="Y82" s="175">
        <f t="shared" si="2"/>
        <v>0</v>
      </c>
    </row>
    <row r="83" spans="1:25" x14ac:dyDescent="0.25">
      <c r="A83" s="32"/>
      <c r="B83" s="32"/>
      <c r="C83" s="32"/>
      <c r="D83" s="32">
        <v>5</v>
      </c>
      <c r="E83" s="32">
        <v>2</v>
      </c>
      <c r="F83" s="32">
        <v>6</v>
      </c>
      <c r="G83" s="32"/>
      <c r="H83" s="32" t="str">
        <f>'BID I'!B239</f>
        <v>Belanja Pemeliharaan</v>
      </c>
      <c r="I83" s="32"/>
      <c r="J83" s="66"/>
      <c r="K83" s="497" t="s">
        <v>2988</v>
      </c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1750">
        <f t="shared" si="1"/>
        <v>0</v>
      </c>
      <c r="Y83" s="175">
        <f t="shared" si="2"/>
        <v>0</v>
      </c>
    </row>
    <row r="84" spans="1:25" ht="30" x14ac:dyDescent="0.25">
      <c r="A84" s="32"/>
      <c r="B84" s="32"/>
      <c r="C84" s="32"/>
      <c r="D84" s="32"/>
      <c r="E84" s="32"/>
      <c r="F84" s="32"/>
      <c r="G84" s="1340" t="s">
        <v>2702</v>
      </c>
      <c r="H84" s="66" t="str">
        <f>'BID I'!B240</f>
        <v>Belanja Pemeliharaan Kendaraan Bermotor</v>
      </c>
      <c r="I84" s="513">
        <f>SUM('BID I'!F242:F247)</f>
        <v>22050000</v>
      </c>
      <c r="J84" s="66" t="s">
        <v>1682</v>
      </c>
      <c r="K84" s="497" t="s">
        <v>2988</v>
      </c>
      <c r="L84" s="32"/>
      <c r="M84" s="32"/>
      <c r="N84" s="497"/>
      <c r="O84" s="32"/>
      <c r="P84" s="497">
        <v>22050000</v>
      </c>
      <c r="Q84" s="32"/>
      <c r="R84" s="32"/>
      <c r="S84" s="32"/>
      <c r="T84" s="32"/>
      <c r="U84" s="32"/>
      <c r="V84" s="32"/>
      <c r="W84" s="32"/>
      <c r="X84" s="1750">
        <f t="shared" si="1"/>
        <v>22050000</v>
      </c>
      <c r="Y84" s="175">
        <f t="shared" si="2"/>
        <v>0</v>
      </c>
    </row>
    <row r="85" spans="1:25" ht="30" x14ac:dyDescent="0.25">
      <c r="A85" s="32"/>
      <c r="B85" s="32"/>
      <c r="C85" s="32"/>
      <c r="D85" s="32"/>
      <c r="E85" s="32"/>
      <c r="F85" s="32"/>
      <c r="G85" s="1340" t="s">
        <v>2703</v>
      </c>
      <c r="H85" s="66" t="str">
        <f>'BID I'!B249</f>
        <v xml:space="preserve">Belanja pemeliharaan peralatan </v>
      </c>
      <c r="I85" s="513">
        <f>'BID I'!F250+'BID I'!F251+'BID I'!F252+'BID I'!F253+'BID I'!F254+'BID I'!F255+'BID I'!F256+'BID I'!F257+'BID I'!F258+'BID I'!F259+'BID I'!F260+'BID I'!F261+'BID I'!F262+'BID I'!F263+'BID I'!F264+'BID I'!F266</f>
        <v>47182931</v>
      </c>
      <c r="J85" s="66" t="s">
        <v>1682</v>
      </c>
      <c r="K85" s="497" t="s">
        <v>2988</v>
      </c>
      <c r="L85" s="32"/>
      <c r="M85" s="32"/>
      <c r="N85" s="32"/>
      <c r="O85" s="32"/>
      <c r="P85" s="497">
        <v>7119501</v>
      </c>
      <c r="Q85" s="32"/>
      <c r="R85" s="32"/>
      <c r="S85" s="32"/>
      <c r="T85" s="32"/>
      <c r="U85" s="497">
        <v>40063430</v>
      </c>
      <c r="V85" s="32"/>
      <c r="W85" s="32"/>
      <c r="X85" s="1750">
        <f t="shared" si="1"/>
        <v>47182931</v>
      </c>
      <c r="Y85" s="175">
        <f t="shared" si="2"/>
        <v>0</v>
      </c>
    </row>
    <row r="86" spans="1:25" ht="30" x14ac:dyDescent="0.25">
      <c r="A86" s="32"/>
      <c r="B86" s="32"/>
      <c r="C86" s="32"/>
      <c r="D86" s="32"/>
      <c r="E86" s="32"/>
      <c r="F86" s="32"/>
      <c r="G86" s="1340" t="s">
        <v>2703</v>
      </c>
      <c r="H86" s="66" t="str">
        <f>'BID I'!B249</f>
        <v xml:space="preserve">Belanja pemeliharaan peralatan </v>
      </c>
      <c r="I86" s="513">
        <f>'BID I'!F265</f>
        <v>14976369</v>
      </c>
      <c r="J86" s="66" t="s">
        <v>2639</v>
      </c>
      <c r="K86" s="497" t="s">
        <v>2988</v>
      </c>
      <c r="L86" s="32"/>
      <c r="M86" s="32"/>
      <c r="N86" s="32"/>
      <c r="O86" s="497">
        <v>14976369</v>
      </c>
      <c r="P86" s="32"/>
      <c r="Q86" s="32"/>
      <c r="R86" s="32"/>
      <c r="S86" s="32"/>
      <c r="T86" s="32"/>
      <c r="U86" s="32"/>
      <c r="V86" s="32"/>
      <c r="W86" s="32"/>
      <c r="X86" s="1750">
        <f t="shared" si="1"/>
        <v>14976369</v>
      </c>
      <c r="Y86" s="175">
        <f t="shared" si="2"/>
        <v>0</v>
      </c>
    </row>
    <row r="87" spans="1:25" ht="60" x14ac:dyDescent="0.25">
      <c r="A87" s="32"/>
      <c r="B87" s="32"/>
      <c r="C87" s="32"/>
      <c r="D87" s="32"/>
      <c r="E87" s="32"/>
      <c r="F87" s="32"/>
      <c r="G87" s="1340" t="s">
        <v>2707</v>
      </c>
      <c r="H87" s="66" t="str">
        <f>'BID I'!B268</f>
        <v>Belanja pemeliharaan jaringan dan instalasi ( Lisrik, Telepon, Internet, Kominikasi, Dll)</v>
      </c>
      <c r="I87" s="513">
        <f>SUM('BID I'!F269:F274)</f>
        <v>11031449</v>
      </c>
      <c r="J87" s="66" t="s">
        <v>1682</v>
      </c>
      <c r="K87" s="497" t="s">
        <v>2988</v>
      </c>
      <c r="L87" s="497">
        <v>919287</v>
      </c>
      <c r="M87" s="497">
        <v>919287</v>
      </c>
      <c r="N87" s="497">
        <v>919287</v>
      </c>
      <c r="O87" s="497">
        <v>919287</v>
      </c>
      <c r="P87" s="497">
        <v>919287</v>
      </c>
      <c r="Q87" s="497">
        <v>919287</v>
      </c>
      <c r="R87" s="497">
        <v>919287</v>
      </c>
      <c r="S87" s="497">
        <v>919287</v>
      </c>
      <c r="T87" s="497">
        <v>919287</v>
      </c>
      <c r="U87" s="497">
        <v>919287</v>
      </c>
      <c r="V87" s="497">
        <v>919287</v>
      </c>
      <c r="W87" s="497">
        <v>919292</v>
      </c>
      <c r="X87" s="1750">
        <f t="shared" si="1"/>
        <v>11031449</v>
      </c>
      <c r="Y87" s="175">
        <f t="shared" si="2"/>
        <v>0</v>
      </c>
    </row>
    <row r="88" spans="1:25" ht="45" x14ac:dyDescent="0.25">
      <c r="A88" s="1344">
        <v>1</v>
      </c>
      <c r="B88" s="1344">
        <v>1</v>
      </c>
      <c r="C88" s="1346" t="s">
        <v>2704</v>
      </c>
      <c r="D88" s="1344"/>
      <c r="E88" s="1344"/>
      <c r="F88" s="1344"/>
      <c r="G88" s="1344"/>
      <c r="H88" s="1345" t="str">
        <f>'BID I'!B293</f>
        <v>: Penyediaan Oprasional Pemerinthanan Desa ( Kegiatan Rapat - Rapat)</v>
      </c>
      <c r="I88" s="1347">
        <f>SUM(I89:I92)</f>
        <v>25560000</v>
      </c>
      <c r="J88" s="1345" t="s">
        <v>2620</v>
      </c>
      <c r="K88" s="1347" t="s">
        <v>2988</v>
      </c>
      <c r="L88" s="1344"/>
      <c r="M88" s="1344"/>
      <c r="N88" s="1344"/>
      <c r="O88" s="1344"/>
      <c r="P88" s="1344"/>
      <c r="Q88" s="1344"/>
      <c r="R88" s="1344"/>
      <c r="S88" s="1344"/>
      <c r="T88" s="1344"/>
      <c r="U88" s="1344"/>
      <c r="V88" s="1344"/>
      <c r="W88" s="1344"/>
      <c r="X88" s="1353">
        <f t="shared" si="1"/>
        <v>0</v>
      </c>
      <c r="Y88" s="175">
        <f t="shared" si="2"/>
        <v>-25560000</v>
      </c>
    </row>
    <row r="89" spans="1:25" x14ac:dyDescent="0.25">
      <c r="A89" s="32"/>
      <c r="B89" s="32"/>
      <c r="C89" s="32"/>
      <c r="D89" s="32">
        <v>5</v>
      </c>
      <c r="E89" s="32">
        <v>2</v>
      </c>
      <c r="F89" s="32"/>
      <c r="G89" s="32"/>
      <c r="H89" s="66" t="str">
        <f>'BID I'!B298</f>
        <v>Belanja Barang Jasa :</v>
      </c>
      <c r="I89" s="32"/>
      <c r="J89" s="66"/>
      <c r="K89" s="497" t="s">
        <v>2988</v>
      </c>
      <c r="L89" s="32"/>
      <c r="M89" s="32"/>
      <c r="N89" s="32"/>
      <c r="O89" s="32"/>
      <c r="P89" s="32"/>
      <c r="Q89" s="32"/>
      <c r="R89" s="32"/>
      <c r="S89" s="32"/>
      <c r="T89" s="32"/>
      <c r="U89" s="32"/>
      <c r="V89" s="32"/>
      <c r="W89" s="32"/>
      <c r="X89" s="1750">
        <f t="shared" si="1"/>
        <v>0</v>
      </c>
      <c r="Y89" s="175">
        <f t="shared" si="2"/>
        <v>0</v>
      </c>
    </row>
    <row r="90" spans="1:25" ht="30" x14ac:dyDescent="0.25">
      <c r="A90" s="32"/>
      <c r="B90" s="32"/>
      <c r="C90" s="32"/>
      <c r="D90" s="32"/>
      <c r="E90" s="32"/>
      <c r="F90" s="32">
        <v>1</v>
      </c>
      <c r="G90" s="32"/>
      <c r="H90" s="66" t="str">
        <f>'BID I'!B299</f>
        <v>Belanja Barang Perlengkapan</v>
      </c>
      <c r="I90" s="32"/>
      <c r="J90" s="66"/>
      <c r="K90" s="497" t="s">
        <v>2988</v>
      </c>
      <c r="L90" s="32"/>
      <c r="M90" s="32"/>
      <c r="N90" s="32"/>
      <c r="O90" s="32"/>
      <c r="P90" s="32"/>
      <c r="Q90" s="32"/>
      <c r="R90" s="32"/>
      <c r="S90" s="32"/>
      <c r="T90" s="32"/>
      <c r="U90" s="32"/>
      <c r="V90" s="32"/>
      <c r="W90" s="32"/>
      <c r="X90" s="1750">
        <f t="shared" si="1"/>
        <v>0</v>
      </c>
      <c r="Y90" s="175">
        <f t="shared" si="2"/>
        <v>0</v>
      </c>
    </row>
    <row r="91" spans="1:25" ht="60" x14ac:dyDescent="0.25">
      <c r="A91" s="32"/>
      <c r="B91" s="32"/>
      <c r="C91" s="32"/>
      <c r="D91" s="32"/>
      <c r="E91" s="32"/>
      <c r="F91" s="32"/>
      <c r="G91" s="1340" t="s">
        <v>2705</v>
      </c>
      <c r="H91" s="66" t="str">
        <f>'BID I'!B300</f>
        <v>Belanja Perlengkapan barang konsumsi (makan/minum) - Belanja barang konsumsi</v>
      </c>
      <c r="I91" s="513">
        <f>SUM('BID I'!F301)</f>
        <v>23220000</v>
      </c>
      <c r="J91" s="66" t="s">
        <v>2620</v>
      </c>
      <c r="K91" s="497" t="s">
        <v>2988</v>
      </c>
      <c r="L91" s="32"/>
      <c r="M91" s="470">
        <f>I91/2</f>
        <v>11610000</v>
      </c>
      <c r="N91" s="32"/>
      <c r="O91" s="32"/>
      <c r="P91" s="470">
        <v>11610000</v>
      </c>
      <c r="Q91" s="32"/>
      <c r="R91" s="32"/>
      <c r="S91" s="32"/>
      <c r="T91" s="32"/>
      <c r="U91" s="32"/>
      <c r="V91" s="32"/>
      <c r="W91" s="32"/>
      <c r="X91" s="1750">
        <f t="shared" si="1"/>
        <v>23220000</v>
      </c>
      <c r="Y91" s="175">
        <f t="shared" si="2"/>
        <v>0</v>
      </c>
    </row>
    <row r="92" spans="1:25" ht="30" x14ac:dyDescent="0.25">
      <c r="A92" s="32"/>
      <c r="B92" s="32"/>
      <c r="C92" s="32"/>
      <c r="D92" s="32"/>
      <c r="E92" s="32"/>
      <c r="F92" s="32"/>
      <c r="G92" s="32">
        <v>90</v>
      </c>
      <c r="H92" s="66" t="str">
        <f>'BID I'!B303</f>
        <v>Belanja Upakara, Upacara Dan Aci-aci</v>
      </c>
      <c r="I92" s="174">
        <f>SUM('BID I'!F304:F306)</f>
        <v>2340000</v>
      </c>
      <c r="J92" s="66" t="s">
        <v>2620</v>
      </c>
      <c r="K92" s="497" t="s">
        <v>2988</v>
      </c>
      <c r="L92" s="32"/>
      <c r="M92" s="174">
        <f>I92/2</f>
        <v>1170000</v>
      </c>
      <c r="N92" s="32"/>
      <c r="O92" s="32"/>
      <c r="P92" s="470">
        <v>1170000</v>
      </c>
      <c r="Q92" s="32"/>
      <c r="R92" s="32"/>
      <c r="S92" s="32"/>
      <c r="T92" s="32"/>
      <c r="U92" s="32"/>
      <c r="V92" s="32"/>
      <c r="W92" s="32"/>
      <c r="X92" s="1750">
        <f t="shared" si="1"/>
        <v>2340000</v>
      </c>
      <c r="Y92" s="175">
        <f t="shared" si="2"/>
        <v>0</v>
      </c>
    </row>
    <row r="93" spans="1:25" ht="30" x14ac:dyDescent="0.25">
      <c r="A93" s="1344">
        <v>1</v>
      </c>
      <c r="B93" s="1344">
        <v>1</v>
      </c>
      <c r="C93" s="1346" t="s">
        <v>2706</v>
      </c>
      <c r="D93" s="1344"/>
      <c r="E93" s="1344"/>
      <c r="F93" s="1344"/>
      <c r="G93" s="1344"/>
      <c r="H93" s="1345" t="str">
        <f>'BID I'!B323</f>
        <v>: Penyediaan tunjangan BPD</v>
      </c>
      <c r="I93" s="1347">
        <f>SUM(I94:I96)</f>
        <v>410200000</v>
      </c>
      <c r="J93" s="1345" t="s">
        <v>2620</v>
      </c>
      <c r="K93" s="1347" t="s">
        <v>2988</v>
      </c>
      <c r="L93" s="1344"/>
      <c r="M93" s="1344"/>
      <c r="N93" s="1344"/>
      <c r="O93" s="1344"/>
      <c r="P93" s="1344"/>
      <c r="Q93" s="1344"/>
      <c r="R93" s="1344"/>
      <c r="S93" s="1344"/>
      <c r="T93" s="1344"/>
      <c r="U93" s="1344"/>
      <c r="V93" s="1344"/>
      <c r="W93" s="1344"/>
      <c r="X93" s="1353">
        <f t="shared" si="1"/>
        <v>0</v>
      </c>
      <c r="Y93" s="175">
        <f t="shared" si="2"/>
        <v>-410200000</v>
      </c>
    </row>
    <row r="94" spans="1:25" x14ac:dyDescent="0.25">
      <c r="A94" s="32"/>
      <c r="B94" s="32"/>
      <c r="C94" s="32"/>
      <c r="D94" s="32">
        <v>5</v>
      </c>
      <c r="E94" s="32">
        <v>1</v>
      </c>
      <c r="F94" s="32"/>
      <c r="G94" s="32"/>
      <c r="H94" s="32" t="str">
        <f>'BID I'!B329</f>
        <v>Belanja Pegawai</v>
      </c>
      <c r="I94" s="32"/>
      <c r="J94" s="66"/>
      <c r="K94" s="497" t="s">
        <v>2988</v>
      </c>
      <c r="L94" s="32"/>
      <c r="M94" s="32"/>
      <c r="N94" s="32"/>
      <c r="O94" s="32"/>
      <c r="P94" s="32"/>
      <c r="Q94" s="32"/>
      <c r="R94" s="32"/>
      <c r="S94" s="32"/>
      <c r="T94" s="32"/>
      <c r="U94" s="32"/>
      <c r="V94" s="32"/>
      <c r="W94" s="32"/>
      <c r="X94" s="1750">
        <f t="shared" si="1"/>
        <v>0</v>
      </c>
      <c r="Y94" s="175">
        <f t="shared" si="2"/>
        <v>0</v>
      </c>
    </row>
    <row r="95" spans="1:25" x14ac:dyDescent="0.25">
      <c r="A95" s="32"/>
      <c r="B95" s="32"/>
      <c r="C95" s="32"/>
      <c r="D95" s="32"/>
      <c r="E95" s="32"/>
      <c r="F95" s="32">
        <v>4</v>
      </c>
      <c r="G95" s="32"/>
      <c r="H95" s="32" t="str">
        <f>'BID I'!B330</f>
        <v>Tunjangan BPD</v>
      </c>
      <c r="I95" s="32"/>
      <c r="J95" s="66"/>
      <c r="K95" s="497" t="s">
        <v>2988</v>
      </c>
      <c r="L95" s="32"/>
      <c r="M95" s="32"/>
      <c r="N95" s="32"/>
      <c r="O95" s="32"/>
      <c r="P95" s="32"/>
      <c r="Q95" s="32"/>
      <c r="R95" s="32"/>
      <c r="S95" s="32"/>
      <c r="T95" s="32"/>
      <c r="U95" s="32"/>
      <c r="V95" s="32"/>
      <c r="W95" s="32"/>
      <c r="X95" s="1750">
        <f t="shared" si="1"/>
        <v>0</v>
      </c>
      <c r="Y95" s="175">
        <f t="shared" si="2"/>
        <v>0</v>
      </c>
    </row>
    <row r="96" spans="1:25" x14ac:dyDescent="0.25">
      <c r="A96" s="32"/>
      <c r="B96" s="32"/>
      <c r="C96" s="32"/>
      <c r="D96" s="32"/>
      <c r="E96" s="32"/>
      <c r="F96" s="32"/>
      <c r="G96" s="1340" t="s">
        <v>2688</v>
      </c>
      <c r="H96" s="32" t="str">
        <f>'BID I'!B331</f>
        <v>Tunjangan Kedudukan BPD</v>
      </c>
      <c r="I96" s="513">
        <f>'BID I'!F332+'BID I'!F333+'BID I'!F334+'BID I'!F336+'BID I'!F337+'BID I'!F338+'BID I'!F340+'BID I'!F341+'BID I'!F342+'BID I'!F345+'BID I'!F346+'BID I'!F347</f>
        <v>410200000</v>
      </c>
      <c r="J96" s="66" t="s">
        <v>2620</v>
      </c>
      <c r="K96" s="497" t="s">
        <v>2988</v>
      </c>
      <c r="L96" s="470"/>
      <c r="M96" s="32"/>
      <c r="N96" s="470">
        <v>234400000</v>
      </c>
      <c r="O96" s="32"/>
      <c r="P96" s="32"/>
      <c r="Q96" s="32"/>
      <c r="R96" s="470">
        <v>117200000</v>
      </c>
      <c r="S96" s="32"/>
      <c r="T96" s="32"/>
      <c r="U96" s="470">
        <v>58600000</v>
      </c>
      <c r="V96" s="32"/>
      <c r="W96" s="32"/>
      <c r="X96" s="1750">
        <f t="shared" ref="X96:X159" si="3">SUM(L96:W96)</f>
        <v>410200000</v>
      </c>
      <c r="Y96" s="175">
        <f t="shared" si="2"/>
        <v>0</v>
      </c>
    </row>
    <row r="97" spans="1:25" ht="30" x14ac:dyDescent="0.25">
      <c r="A97" s="1344">
        <v>1</v>
      </c>
      <c r="B97" s="1344">
        <v>1</v>
      </c>
      <c r="C97" s="1346" t="s">
        <v>2705</v>
      </c>
      <c r="D97" s="1344"/>
      <c r="E97" s="1344"/>
      <c r="F97" s="1344"/>
      <c r="G97" s="1344"/>
      <c r="H97" s="1345" t="str">
        <f>'BID I'!B365</f>
        <v>: Penyediaan Operasional BPD</v>
      </c>
      <c r="I97" s="1347">
        <f>SUM(I98:I103)</f>
        <v>15999000</v>
      </c>
      <c r="J97" s="1345" t="s">
        <v>1682</v>
      </c>
      <c r="K97" s="1347" t="s">
        <v>2988</v>
      </c>
      <c r="L97" s="1347"/>
      <c r="M97" s="1347"/>
      <c r="N97" s="1344"/>
      <c r="O97" s="1344"/>
      <c r="P97" s="1347"/>
      <c r="Q97" s="1353"/>
      <c r="R97" s="1349">
        <f>P97-Q97</f>
        <v>0</v>
      </c>
      <c r="S97" s="1344"/>
      <c r="T97" s="1344"/>
      <c r="U97" s="1344"/>
      <c r="V97" s="1344"/>
      <c r="W97" s="1344"/>
      <c r="X97" s="1353">
        <f t="shared" si="3"/>
        <v>0</v>
      </c>
      <c r="Y97" s="175">
        <f t="shared" si="2"/>
        <v>-15999000</v>
      </c>
    </row>
    <row r="98" spans="1:25" x14ac:dyDescent="0.25">
      <c r="A98" s="32"/>
      <c r="B98" s="32"/>
      <c r="C98" s="32"/>
      <c r="D98" s="32">
        <v>5</v>
      </c>
      <c r="E98" s="32">
        <v>2</v>
      </c>
      <c r="F98" s="32"/>
      <c r="G98" s="32"/>
      <c r="H98" s="66" t="str">
        <f>'BID I'!B371</f>
        <v>Belanja Barang Jasa :</v>
      </c>
      <c r="I98" s="32"/>
      <c r="J98" s="66"/>
      <c r="K98" s="497" t="s">
        <v>2988</v>
      </c>
      <c r="L98" s="32"/>
      <c r="M98" s="32"/>
      <c r="N98" s="497"/>
      <c r="O98" s="32"/>
      <c r="P98" s="497"/>
      <c r="Q98" s="497"/>
      <c r="R98" s="497">
        <f t="shared" ref="R98:S98" si="4">SUM(R99:R103)</f>
        <v>0</v>
      </c>
      <c r="S98" s="497">
        <f t="shared" si="4"/>
        <v>0</v>
      </c>
      <c r="T98" s="32"/>
      <c r="U98" s="32"/>
      <c r="V98" s="32"/>
      <c r="W98" s="32"/>
      <c r="X98" s="1750">
        <f t="shared" si="3"/>
        <v>0</v>
      </c>
      <c r="Y98" s="175">
        <f t="shared" si="2"/>
        <v>0</v>
      </c>
    </row>
    <row r="99" spans="1:25" ht="30" x14ac:dyDescent="0.25">
      <c r="A99" s="32"/>
      <c r="B99" s="32"/>
      <c r="C99" s="32"/>
      <c r="D99" s="32"/>
      <c r="E99" s="32"/>
      <c r="F99" s="32">
        <v>1</v>
      </c>
      <c r="G99" s="32"/>
      <c r="H99" s="66" t="str">
        <f>'BID I'!B372</f>
        <v>Belanja Barang Perlengkapan</v>
      </c>
      <c r="I99" s="32"/>
      <c r="J99" s="66"/>
      <c r="K99" s="497" t="s">
        <v>2988</v>
      </c>
      <c r="L99" s="32"/>
      <c r="M99" s="32"/>
      <c r="N99" s="32"/>
      <c r="O99" s="32"/>
      <c r="P99" s="32"/>
      <c r="Q99" s="32"/>
      <c r="R99" s="32"/>
      <c r="S99" s="32"/>
      <c r="T99" s="32"/>
      <c r="U99" s="32"/>
      <c r="V99" s="32"/>
      <c r="W99" s="32"/>
      <c r="X99" s="1750">
        <f t="shared" si="3"/>
        <v>0</v>
      </c>
      <c r="Y99" s="175">
        <f t="shared" si="2"/>
        <v>0</v>
      </c>
    </row>
    <row r="100" spans="1:25" ht="30" x14ac:dyDescent="0.25">
      <c r="A100" s="32"/>
      <c r="B100" s="32"/>
      <c r="C100" s="32"/>
      <c r="D100" s="32"/>
      <c r="E100" s="32"/>
      <c r="F100" s="32"/>
      <c r="G100" s="1340" t="s">
        <v>2688</v>
      </c>
      <c r="H100" s="66" t="str">
        <f>'BID I'!B373</f>
        <v>Belanja alat tulis kantor dan benda pos</v>
      </c>
      <c r="I100" s="174">
        <f>SUM('BID I'!F374:F378)</f>
        <v>4329000</v>
      </c>
      <c r="J100" s="66" t="s">
        <v>1682</v>
      </c>
      <c r="K100" s="497" t="s">
        <v>2988</v>
      </c>
      <c r="L100" s="32"/>
      <c r="M100" s="32"/>
      <c r="N100" s="32"/>
      <c r="O100" s="32"/>
      <c r="P100" s="497"/>
      <c r="Q100" s="32"/>
      <c r="R100" s="32"/>
      <c r="S100" s="32"/>
      <c r="T100" s="32"/>
      <c r="U100" s="32"/>
      <c r="V100" s="497">
        <v>4329000</v>
      </c>
      <c r="W100" s="32"/>
      <c r="X100" s="1750">
        <f t="shared" si="3"/>
        <v>4329000</v>
      </c>
      <c r="Y100" s="175">
        <f t="shared" si="2"/>
        <v>0</v>
      </c>
    </row>
    <row r="101" spans="1:25" ht="60" x14ac:dyDescent="0.25">
      <c r="A101" s="32"/>
      <c r="B101" s="32"/>
      <c r="C101" s="32"/>
      <c r="D101" s="32"/>
      <c r="E101" s="32"/>
      <c r="F101" s="32"/>
      <c r="G101" s="1340" t="s">
        <v>2705</v>
      </c>
      <c r="H101" s="66" t="str">
        <f>'BID I'!B380</f>
        <v>Belanja perlengkapan barang konsumsi (makan/ minum) Belanja Barang konsumsi</v>
      </c>
      <c r="I101" s="174">
        <f>SUM('BID I'!F381:F382)</f>
        <v>4140000</v>
      </c>
      <c r="J101" s="66" t="s">
        <v>1682</v>
      </c>
      <c r="K101" s="497" t="s">
        <v>2988</v>
      </c>
      <c r="L101" s="32"/>
      <c r="M101" s="32"/>
      <c r="N101" s="497">
        <v>2000000</v>
      </c>
      <c r="O101" s="32"/>
      <c r="P101" s="497">
        <v>1550000</v>
      </c>
      <c r="Q101" s="32"/>
      <c r="R101" s="32"/>
      <c r="S101" s="32"/>
      <c r="T101" s="32"/>
      <c r="U101" s="32"/>
      <c r="V101" s="497">
        <v>590000</v>
      </c>
      <c r="W101" s="32"/>
      <c r="X101" s="1750">
        <f t="shared" si="3"/>
        <v>4140000</v>
      </c>
      <c r="Y101" s="175">
        <f t="shared" si="2"/>
        <v>0</v>
      </c>
    </row>
    <row r="102" spans="1:25" ht="30" x14ac:dyDescent="0.25">
      <c r="A102" s="32"/>
      <c r="B102" s="32"/>
      <c r="C102" s="32"/>
      <c r="D102" s="32"/>
      <c r="E102" s="32"/>
      <c r="F102" s="32"/>
      <c r="G102" s="1340" t="s">
        <v>2709</v>
      </c>
      <c r="H102" s="66" t="str">
        <f>'BID I'!B384</f>
        <v>Belanja Pakaian Dinas/ seragam/ atribut</v>
      </c>
      <c r="I102" s="174">
        <f>'BID I'!F385</f>
        <v>6750000</v>
      </c>
      <c r="J102" s="66" t="s">
        <v>1682</v>
      </c>
      <c r="K102" s="497" t="s">
        <v>2988</v>
      </c>
      <c r="L102" s="32"/>
      <c r="M102" s="32"/>
      <c r="N102" s="497">
        <v>3000000</v>
      </c>
      <c r="O102" s="32"/>
      <c r="P102" s="497">
        <v>3750000</v>
      </c>
      <c r="Q102" s="32"/>
      <c r="R102" s="32"/>
      <c r="S102" s="32"/>
      <c r="T102" s="32"/>
      <c r="U102" s="32"/>
      <c r="V102" s="32"/>
      <c r="W102" s="32"/>
      <c r="X102" s="1750">
        <f t="shared" si="3"/>
        <v>6750000</v>
      </c>
      <c r="Y102" s="175">
        <f t="shared" si="2"/>
        <v>0</v>
      </c>
    </row>
    <row r="103" spans="1:25" ht="30" x14ac:dyDescent="0.25">
      <c r="A103" s="32"/>
      <c r="B103" s="32"/>
      <c r="C103" s="32"/>
      <c r="D103" s="32"/>
      <c r="E103" s="32"/>
      <c r="F103" s="32"/>
      <c r="G103" s="32">
        <v>90</v>
      </c>
      <c r="H103" s="66" t="str">
        <f>'BID I'!B387</f>
        <v>Belanja Upakara, Upacara Dan Aci</v>
      </c>
      <c r="I103" s="174">
        <f>SUM('BID I'!F388:F389)</f>
        <v>780000</v>
      </c>
      <c r="J103" s="66" t="s">
        <v>1682</v>
      </c>
      <c r="K103" s="497" t="s">
        <v>2988</v>
      </c>
      <c r="L103" s="32"/>
      <c r="M103" s="32"/>
      <c r="N103" s="497">
        <v>300000</v>
      </c>
      <c r="O103" s="32"/>
      <c r="P103" s="32"/>
      <c r="Q103" s="32"/>
      <c r="R103" s="32"/>
      <c r="S103" s="32"/>
      <c r="T103" s="32"/>
      <c r="U103" s="32"/>
      <c r="V103" s="497">
        <v>480000</v>
      </c>
      <c r="W103" s="32"/>
      <c r="X103" s="1750">
        <f t="shared" si="3"/>
        <v>780000</v>
      </c>
      <c r="Y103" s="175">
        <f t="shared" si="2"/>
        <v>0</v>
      </c>
    </row>
    <row r="104" spans="1:25" ht="30" x14ac:dyDescent="0.25">
      <c r="A104" s="1344">
        <v>1</v>
      </c>
      <c r="B104" s="1344">
        <v>1</v>
      </c>
      <c r="C104" s="1346" t="s">
        <v>2705</v>
      </c>
      <c r="D104" s="1344"/>
      <c r="E104" s="1344"/>
      <c r="F104" s="1344"/>
      <c r="G104" s="1344"/>
      <c r="H104" s="1345" t="str">
        <f>'BID I'!B406</f>
        <v>: Penyediaan Operasional BPD (Musyawarah BPD)</v>
      </c>
      <c r="I104" s="1347">
        <f>SUM(I105:I109)</f>
        <v>12400000</v>
      </c>
      <c r="J104" s="1345" t="s">
        <v>2620</v>
      </c>
      <c r="K104" s="1347" t="s">
        <v>2988</v>
      </c>
      <c r="L104" s="1344"/>
      <c r="M104" s="1344"/>
      <c r="N104" s="1344"/>
      <c r="O104" s="1344"/>
      <c r="P104" s="1344"/>
      <c r="Q104" s="1344"/>
      <c r="R104" s="1344"/>
      <c r="S104" s="1344"/>
      <c r="T104" s="1344"/>
      <c r="U104" s="1344"/>
      <c r="V104" s="1344"/>
      <c r="W104" s="1344"/>
      <c r="X104" s="1353">
        <f t="shared" si="3"/>
        <v>0</v>
      </c>
      <c r="Y104" s="175">
        <f t="shared" si="2"/>
        <v>-12400000</v>
      </c>
    </row>
    <row r="105" spans="1:25" x14ac:dyDescent="0.25">
      <c r="A105" s="32"/>
      <c r="B105" s="32"/>
      <c r="C105" s="32"/>
      <c r="D105" s="32">
        <v>5</v>
      </c>
      <c r="E105" s="32">
        <v>2</v>
      </c>
      <c r="F105" s="32"/>
      <c r="G105" s="32"/>
      <c r="H105" s="66" t="str">
        <f>'BID I'!B412</f>
        <v>Belanja Barang Jasa</v>
      </c>
      <c r="I105" s="32"/>
      <c r="J105" s="66"/>
      <c r="K105" s="497" t="s">
        <v>2988</v>
      </c>
      <c r="L105" s="32"/>
      <c r="M105" s="32"/>
      <c r="N105" s="32"/>
      <c r="O105" s="32"/>
      <c r="P105" s="32"/>
      <c r="Q105" s="32"/>
      <c r="R105" s="32"/>
      <c r="S105" s="32"/>
      <c r="T105" s="32"/>
      <c r="U105" s="32"/>
      <c r="V105" s="32"/>
      <c r="W105" s="32"/>
      <c r="X105" s="1750">
        <f t="shared" si="3"/>
        <v>0</v>
      </c>
      <c r="Y105" s="175">
        <f t="shared" si="2"/>
        <v>0</v>
      </c>
    </row>
    <row r="106" spans="1:25" ht="30" x14ac:dyDescent="0.25">
      <c r="A106" s="32"/>
      <c r="B106" s="32"/>
      <c r="C106" s="32"/>
      <c r="D106" s="32"/>
      <c r="E106" s="32"/>
      <c r="F106" s="32">
        <v>1</v>
      </c>
      <c r="G106" s="32"/>
      <c r="H106" s="66" t="str">
        <f>'BID I'!B413</f>
        <v>Belanja Barang Perlengkapan</v>
      </c>
      <c r="I106" s="32"/>
      <c r="J106" s="66"/>
      <c r="K106" s="497" t="s">
        <v>2988</v>
      </c>
      <c r="L106" s="32"/>
      <c r="M106" s="32"/>
      <c r="N106" s="32"/>
      <c r="O106" s="32"/>
      <c r="P106" s="32"/>
      <c r="Q106" s="32"/>
      <c r="R106" s="32"/>
      <c r="S106" s="32"/>
      <c r="T106" s="32"/>
      <c r="U106" s="32"/>
      <c r="V106" s="32"/>
      <c r="W106" s="32"/>
      <c r="X106" s="1750">
        <f t="shared" si="3"/>
        <v>0</v>
      </c>
      <c r="Y106" s="175">
        <f t="shared" ref="Y106:Y169" si="5">X106-I106</f>
        <v>0</v>
      </c>
    </row>
    <row r="107" spans="1:25" ht="45" x14ac:dyDescent="0.25">
      <c r="A107" s="32"/>
      <c r="B107" s="32"/>
      <c r="C107" s="32"/>
      <c r="D107" s="32"/>
      <c r="E107" s="32"/>
      <c r="F107" s="32"/>
      <c r="G107" s="1340" t="s">
        <v>2688</v>
      </c>
      <c r="H107" s="66" t="str">
        <f>'BID I'!B414</f>
        <v>Belanja Perlengkapan Alat Tulis Kantor dan Benda Pos</v>
      </c>
      <c r="I107" s="174">
        <f>SUM('BID I'!F416:F417)</f>
        <v>5720000</v>
      </c>
      <c r="J107" s="66" t="s">
        <v>2620</v>
      </c>
      <c r="K107" s="497" t="s">
        <v>2988</v>
      </c>
      <c r="L107" s="174"/>
      <c r="M107" s="32"/>
      <c r="N107" s="32"/>
      <c r="O107" s="32"/>
      <c r="P107" s="470">
        <v>2860000</v>
      </c>
      <c r="Q107" s="32"/>
      <c r="R107" s="32"/>
      <c r="S107" s="32"/>
      <c r="T107" s="470">
        <v>2860000</v>
      </c>
      <c r="U107" s="32"/>
      <c r="V107" s="32"/>
      <c r="W107" s="32"/>
      <c r="X107" s="1750">
        <f t="shared" si="3"/>
        <v>5720000</v>
      </c>
      <c r="Y107" s="175">
        <f t="shared" si="5"/>
        <v>0</v>
      </c>
    </row>
    <row r="108" spans="1:25" ht="60" x14ac:dyDescent="0.25">
      <c r="A108" s="32"/>
      <c r="B108" s="32"/>
      <c r="C108" s="32"/>
      <c r="D108" s="32"/>
      <c r="E108" s="32"/>
      <c r="F108" s="32"/>
      <c r="G108" s="1340" t="s">
        <v>2705</v>
      </c>
      <c r="H108" s="66" t="str">
        <f>'BID I'!B419</f>
        <v>Belanja perlengkapan barang konsumsi (makan/minum)- Belanja Barang Konsumsi</v>
      </c>
      <c r="I108" s="174">
        <f>'BID I'!F420</f>
        <v>6000000</v>
      </c>
      <c r="J108" s="66" t="s">
        <v>2620</v>
      </c>
      <c r="K108" s="497" t="s">
        <v>2988</v>
      </c>
      <c r="L108" s="174"/>
      <c r="M108" s="32"/>
      <c r="N108" s="32"/>
      <c r="O108" s="32"/>
      <c r="P108" s="470">
        <v>3000000</v>
      </c>
      <c r="Q108" s="32"/>
      <c r="R108" s="32"/>
      <c r="S108" s="32"/>
      <c r="T108" s="470">
        <v>3000000</v>
      </c>
      <c r="U108" s="32"/>
      <c r="V108" s="32"/>
      <c r="W108" s="32"/>
      <c r="X108" s="1750">
        <f t="shared" si="3"/>
        <v>6000000</v>
      </c>
      <c r="Y108" s="175">
        <f t="shared" si="5"/>
        <v>0</v>
      </c>
    </row>
    <row r="109" spans="1:25" ht="30" x14ac:dyDescent="0.25">
      <c r="A109" s="32"/>
      <c r="B109" s="32"/>
      <c r="C109" s="32"/>
      <c r="D109" s="32"/>
      <c r="E109" s="32"/>
      <c r="F109" s="32"/>
      <c r="G109" s="32">
        <v>90</v>
      </c>
      <c r="H109" s="66" t="str">
        <f>'BID I'!B422</f>
        <v>Belanja Upakara, Upacara Dan Aci- Aci</v>
      </c>
      <c r="I109" s="174">
        <f>SUM('BID I'!F423:F426)</f>
        <v>680000</v>
      </c>
      <c r="J109" s="66" t="s">
        <v>2620</v>
      </c>
      <c r="K109" s="497" t="s">
        <v>2988</v>
      </c>
      <c r="L109" s="174"/>
      <c r="M109" s="32"/>
      <c r="N109" s="32"/>
      <c r="O109" s="32"/>
      <c r="P109" s="470">
        <v>340000</v>
      </c>
      <c r="Q109" s="32"/>
      <c r="R109" s="32"/>
      <c r="S109" s="32"/>
      <c r="T109" s="470">
        <v>340000</v>
      </c>
      <c r="U109" s="32"/>
      <c r="V109" s="32"/>
      <c r="W109" s="32"/>
      <c r="X109" s="1750">
        <f t="shared" si="3"/>
        <v>680000</v>
      </c>
      <c r="Y109" s="175">
        <f t="shared" si="5"/>
        <v>0</v>
      </c>
    </row>
    <row r="110" spans="1:25" ht="30" x14ac:dyDescent="0.25">
      <c r="A110" s="1344">
        <v>1</v>
      </c>
      <c r="B110" s="1344">
        <v>1</v>
      </c>
      <c r="C110" s="1346" t="s">
        <v>2705</v>
      </c>
      <c r="D110" s="1344"/>
      <c r="E110" s="1344"/>
      <c r="F110" s="1344"/>
      <c r="G110" s="1344"/>
      <c r="H110" s="1345" t="str">
        <f>'BID I'!B444</f>
        <v>: Penyediaan Operasional BPD (Rapat FKAKD)</v>
      </c>
      <c r="I110" s="1347">
        <f>SUM(I111:I115)</f>
        <v>6685000</v>
      </c>
      <c r="J110" s="1345" t="s">
        <v>1682</v>
      </c>
      <c r="K110" s="1347" t="s">
        <v>2988</v>
      </c>
      <c r="L110" s="1344"/>
      <c r="M110" s="1344"/>
      <c r="N110" s="1344"/>
      <c r="O110" s="1344"/>
      <c r="P110" s="1344"/>
      <c r="Q110" s="1344"/>
      <c r="R110" s="1344"/>
      <c r="S110" s="1344"/>
      <c r="T110" s="1344"/>
      <c r="U110" s="1344"/>
      <c r="V110" s="1344"/>
      <c r="W110" s="1344"/>
      <c r="X110" s="1353">
        <f t="shared" si="3"/>
        <v>0</v>
      </c>
      <c r="Y110" s="175">
        <f t="shared" si="5"/>
        <v>-6685000</v>
      </c>
    </row>
    <row r="111" spans="1:25" x14ac:dyDescent="0.25">
      <c r="A111" s="32"/>
      <c r="B111" s="32"/>
      <c r="C111" s="32"/>
      <c r="D111" s="32">
        <v>5</v>
      </c>
      <c r="E111" s="32">
        <v>2</v>
      </c>
      <c r="F111" s="32"/>
      <c r="G111" s="32"/>
      <c r="H111" s="66" t="str">
        <f>'BID I'!B450</f>
        <v>Belanja Barang Jasa</v>
      </c>
      <c r="I111" s="32"/>
      <c r="J111" s="66"/>
      <c r="K111" s="497" t="s">
        <v>2988</v>
      </c>
      <c r="L111" s="32"/>
      <c r="M111" s="32"/>
      <c r="N111" s="32"/>
      <c r="O111" s="32"/>
      <c r="P111" s="32"/>
      <c r="Q111" s="32"/>
      <c r="R111" s="32"/>
      <c r="S111" s="32"/>
      <c r="T111" s="32"/>
      <c r="U111" s="32"/>
      <c r="V111" s="32"/>
      <c r="W111" s="32"/>
      <c r="X111" s="1750">
        <f t="shared" si="3"/>
        <v>0</v>
      </c>
      <c r="Y111" s="175">
        <f t="shared" si="5"/>
        <v>0</v>
      </c>
    </row>
    <row r="112" spans="1:25" ht="30" x14ac:dyDescent="0.25">
      <c r="A112" s="32"/>
      <c r="B112" s="32"/>
      <c r="C112" s="32"/>
      <c r="D112" s="32"/>
      <c r="E112" s="32"/>
      <c r="F112" s="32">
        <v>1</v>
      </c>
      <c r="G112" s="32"/>
      <c r="H112" s="66" t="str">
        <f>'BID I'!B451</f>
        <v>Belanja Barang Perlengkapan</v>
      </c>
      <c r="I112" s="32"/>
      <c r="J112" s="66"/>
      <c r="K112" s="497" t="s">
        <v>2988</v>
      </c>
      <c r="L112" s="32"/>
      <c r="M112" s="32"/>
      <c r="N112" s="32"/>
      <c r="O112" s="32"/>
      <c r="P112" s="32"/>
      <c r="Q112" s="32"/>
      <c r="R112" s="32"/>
      <c r="S112" s="32"/>
      <c r="T112" s="32"/>
      <c r="U112" s="32"/>
      <c r="V112" s="32"/>
      <c r="W112" s="32"/>
      <c r="X112" s="1750">
        <f t="shared" si="3"/>
        <v>0</v>
      </c>
      <c r="Y112" s="175">
        <f t="shared" si="5"/>
        <v>0</v>
      </c>
    </row>
    <row r="113" spans="1:25" ht="60" x14ac:dyDescent="0.25">
      <c r="A113" s="32"/>
      <c r="B113" s="32"/>
      <c r="C113" s="32"/>
      <c r="D113" s="32"/>
      <c r="E113" s="32"/>
      <c r="F113" s="32"/>
      <c r="G113" s="1340" t="s">
        <v>2706</v>
      </c>
      <c r="H113" s="66" t="str">
        <f>'BID I'!B452</f>
        <v>Belanja perlengkapan cetak/pengadaan - belanja barang cetak dan pengadaan</v>
      </c>
      <c r="I113" s="174">
        <f>'BID I'!F453</f>
        <v>360000</v>
      </c>
      <c r="J113" s="66" t="s">
        <v>1682</v>
      </c>
      <c r="K113" s="497" t="s">
        <v>2988</v>
      </c>
      <c r="L113" s="32"/>
      <c r="M113" s="32"/>
      <c r="N113" s="32"/>
      <c r="O113" s="32"/>
      <c r="P113" s="32"/>
      <c r="Q113" s="32"/>
      <c r="R113" s="32"/>
      <c r="S113" s="32"/>
      <c r="T113" s="32"/>
      <c r="U113" s="32"/>
      <c r="V113" s="497">
        <v>360000</v>
      </c>
      <c r="W113" s="32"/>
      <c r="X113" s="1750">
        <f t="shared" si="3"/>
        <v>360000</v>
      </c>
      <c r="Y113" s="175">
        <f t="shared" si="5"/>
        <v>0</v>
      </c>
    </row>
    <row r="114" spans="1:25" ht="60" x14ac:dyDescent="0.25">
      <c r="A114" s="32"/>
      <c r="B114" s="32"/>
      <c r="C114" s="32"/>
      <c r="D114" s="32"/>
      <c r="E114" s="32"/>
      <c r="F114" s="32"/>
      <c r="G114" s="1340" t="s">
        <v>2705</v>
      </c>
      <c r="H114" s="66" t="str">
        <f>'BID I'!B455</f>
        <v>Belanja perlengkapan barang konsumsi (makan/minum)- Belanja Barang Konsumsi</v>
      </c>
      <c r="I114" s="174">
        <f>'BID I'!F456</f>
        <v>6000000</v>
      </c>
      <c r="J114" s="66" t="s">
        <v>1682</v>
      </c>
      <c r="K114" s="497" t="s">
        <v>2988</v>
      </c>
      <c r="L114" s="32"/>
      <c r="M114" s="32"/>
      <c r="N114" s="32"/>
      <c r="O114" s="32"/>
      <c r="P114" s="32"/>
      <c r="Q114" s="32"/>
      <c r="R114" s="32"/>
      <c r="S114" s="32"/>
      <c r="T114" s="32"/>
      <c r="U114" s="32"/>
      <c r="V114" s="497">
        <v>6000000</v>
      </c>
      <c r="W114" s="32"/>
      <c r="X114" s="1750">
        <f t="shared" si="3"/>
        <v>6000000</v>
      </c>
      <c r="Y114" s="175">
        <f t="shared" si="5"/>
        <v>0</v>
      </c>
    </row>
    <row r="115" spans="1:25" ht="30" x14ac:dyDescent="0.25">
      <c r="A115" s="32"/>
      <c r="B115" s="32"/>
      <c r="C115" s="32"/>
      <c r="D115" s="32"/>
      <c r="E115" s="32"/>
      <c r="F115" s="32"/>
      <c r="G115" s="32">
        <v>90</v>
      </c>
      <c r="H115" s="66" t="str">
        <f>'BID I'!B458</f>
        <v>Belanja Upakara, Upacara Dan Aci- Aci</v>
      </c>
      <c r="I115" s="174">
        <f>SUM('BID I'!F459:F462)</f>
        <v>325000</v>
      </c>
      <c r="J115" s="66" t="s">
        <v>1682</v>
      </c>
      <c r="K115" s="497" t="s">
        <v>2988</v>
      </c>
      <c r="L115" s="32"/>
      <c r="M115" s="32"/>
      <c r="N115" s="32"/>
      <c r="O115" s="32"/>
      <c r="P115" s="32"/>
      <c r="Q115" s="32"/>
      <c r="R115" s="32"/>
      <c r="S115" s="32"/>
      <c r="T115" s="32"/>
      <c r="U115" s="32"/>
      <c r="V115" s="497">
        <v>325000</v>
      </c>
      <c r="W115" s="32"/>
      <c r="X115" s="1750">
        <f t="shared" si="3"/>
        <v>325000</v>
      </c>
      <c r="Y115" s="175">
        <f t="shared" si="5"/>
        <v>0</v>
      </c>
    </row>
    <row r="116" spans="1:25" ht="30" x14ac:dyDescent="0.25">
      <c r="A116" s="1344">
        <v>1</v>
      </c>
      <c r="B116" s="1344">
        <v>1</v>
      </c>
      <c r="C116" s="1344">
        <v>91</v>
      </c>
      <c r="D116" s="1344"/>
      <c r="E116" s="1344"/>
      <c r="F116" s="1344"/>
      <c r="G116" s="1344"/>
      <c r="H116" s="1345" t="str">
        <f>'BID I'!B479</f>
        <v xml:space="preserve">: Penyediaan Penghasilan Staf Desa </v>
      </c>
      <c r="I116" s="1347">
        <f>SUM(I117:I119)</f>
        <v>482054400</v>
      </c>
      <c r="J116" s="1345" t="s">
        <v>2620</v>
      </c>
      <c r="K116" s="1347" t="s">
        <v>2988</v>
      </c>
      <c r="L116" s="1344"/>
      <c r="M116" s="1344"/>
      <c r="N116" s="1344"/>
      <c r="O116" s="1344"/>
      <c r="P116" s="1344"/>
      <c r="Q116" s="1344"/>
      <c r="R116" s="1344"/>
      <c r="S116" s="1344"/>
      <c r="T116" s="1344"/>
      <c r="U116" s="1344"/>
      <c r="V116" s="1344"/>
      <c r="W116" s="1344"/>
      <c r="X116" s="1353">
        <f t="shared" si="3"/>
        <v>0</v>
      </c>
      <c r="Y116" s="175">
        <f t="shared" si="5"/>
        <v>-482054400</v>
      </c>
    </row>
    <row r="117" spans="1:25" x14ac:dyDescent="0.25">
      <c r="A117" s="32"/>
      <c r="B117" s="32"/>
      <c r="C117" s="32"/>
      <c r="D117" s="32">
        <v>5</v>
      </c>
      <c r="E117" s="32">
        <v>2</v>
      </c>
      <c r="F117" s="32"/>
      <c r="G117" s="32"/>
      <c r="H117" s="32" t="str">
        <f>'BID I'!B485</f>
        <v>Belanja Barang Jasa</v>
      </c>
      <c r="I117" s="32"/>
      <c r="J117" s="66"/>
      <c r="K117" s="497" t="s">
        <v>2988</v>
      </c>
      <c r="L117" s="32"/>
      <c r="M117" s="32"/>
      <c r="N117" s="32"/>
      <c r="O117" s="32"/>
      <c r="P117" s="32"/>
      <c r="Q117" s="32"/>
      <c r="R117" s="32"/>
      <c r="S117" s="32"/>
      <c r="T117" s="32"/>
      <c r="U117" s="32"/>
      <c r="V117" s="32"/>
      <c r="W117" s="32"/>
      <c r="X117" s="1750">
        <f t="shared" si="3"/>
        <v>0</v>
      </c>
      <c r="Y117" s="175">
        <f t="shared" si="5"/>
        <v>0</v>
      </c>
    </row>
    <row r="118" spans="1:25" x14ac:dyDescent="0.25">
      <c r="A118" s="32"/>
      <c r="B118" s="32"/>
      <c r="C118" s="32"/>
      <c r="D118" s="32"/>
      <c r="E118" s="32"/>
      <c r="F118" s="32">
        <v>2</v>
      </c>
      <c r="G118" s="32"/>
      <c r="H118" s="32" t="str">
        <f>'BID I'!B486</f>
        <v>Belanja Jasa Honorarium</v>
      </c>
      <c r="I118" s="32"/>
      <c r="J118" s="66"/>
      <c r="K118" s="497" t="s">
        <v>2988</v>
      </c>
      <c r="L118" s="32"/>
      <c r="M118" s="32"/>
      <c r="N118" s="32"/>
      <c r="O118" s="32"/>
      <c r="P118" s="32"/>
      <c r="Q118" s="32"/>
      <c r="R118" s="32"/>
      <c r="S118" s="32"/>
      <c r="T118" s="32"/>
      <c r="U118" s="32"/>
      <c r="V118" s="32"/>
      <c r="W118" s="32"/>
      <c r="X118" s="1750">
        <f t="shared" si="3"/>
        <v>0</v>
      </c>
      <c r="Y118" s="175">
        <f t="shared" si="5"/>
        <v>0</v>
      </c>
    </row>
    <row r="119" spans="1:25" x14ac:dyDescent="0.25">
      <c r="A119" s="32"/>
      <c r="B119" s="32"/>
      <c r="C119" s="32"/>
      <c r="D119" s="32"/>
      <c r="E119" s="32"/>
      <c r="F119" s="32"/>
      <c r="G119" s="32">
        <v>90</v>
      </c>
      <c r="H119" s="32" t="str">
        <f>'BID I'!B487</f>
        <v>Belanja Pengasilan Staf</v>
      </c>
      <c r="I119" s="513">
        <f>SUM('BID I'!F488:F493)</f>
        <v>482054400</v>
      </c>
      <c r="J119" s="66" t="s">
        <v>2620</v>
      </c>
      <c r="K119" s="497" t="s">
        <v>2988</v>
      </c>
      <c r="L119" s="470">
        <f>I119/12</f>
        <v>40171200</v>
      </c>
      <c r="M119" s="470">
        <v>40171200</v>
      </c>
      <c r="N119" s="470">
        <v>40171200</v>
      </c>
      <c r="O119" s="470">
        <v>40171200</v>
      </c>
      <c r="P119" s="470">
        <v>40171200</v>
      </c>
      <c r="Q119" s="470">
        <v>40171200</v>
      </c>
      <c r="R119" s="470">
        <v>40171200</v>
      </c>
      <c r="S119" s="470">
        <v>40171200</v>
      </c>
      <c r="T119" s="470">
        <v>40171200</v>
      </c>
      <c r="U119" s="470">
        <v>40171200</v>
      </c>
      <c r="V119" s="470">
        <v>40171200</v>
      </c>
      <c r="W119" s="470">
        <v>40171200</v>
      </c>
      <c r="X119" s="1750">
        <f t="shared" si="3"/>
        <v>482054400</v>
      </c>
      <c r="Y119" s="175">
        <f t="shared" si="5"/>
        <v>0</v>
      </c>
    </row>
    <row r="120" spans="1:25" ht="45" x14ac:dyDescent="0.25">
      <c r="A120" s="1344">
        <v>1</v>
      </c>
      <c r="B120" s="1344">
        <v>1</v>
      </c>
      <c r="C120" s="1344">
        <v>93</v>
      </c>
      <c r="D120" s="1344"/>
      <c r="E120" s="1344"/>
      <c r="F120" s="1344"/>
      <c r="G120" s="1344"/>
      <c r="H120" s="1345" t="str">
        <f>'BID I'!B510</f>
        <v>Penjaringan dan Penyaringan Perangkat Desa/Staf</v>
      </c>
      <c r="I120" s="1348">
        <f>SUM(I121:I128)</f>
        <v>6699000</v>
      </c>
      <c r="J120" s="1345" t="s">
        <v>2626</v>
      </c>
      <c r="K120" s="1347" t="s">
        <v>2988</v>
      </c>
      <c r="L120" s="1344"/>
      <c r="M120" s="1344"/>
      <c r="N120" s="1344"/>
      <c r="O120" s="1344"/>
      <c r="P120" s="1344"/>
      <c r="Q120" s="1344"/>
      <c r="R120" s="1344"/>
      <c r="S120" s="1344"/>
      <c r="T120" s="1344"/>
      <c r="U120" s="1344"/>
      <c r="V120" s="1344"/>
      <c r="W120" s="1344"/>
      <c r="X120" s="1353">
        <f t="shared" si="3"/>
        <v>0</v>
      </c>
      <c r="Y120" s="175">
        <f t="shared" si="5"/>
        <v>-6699000</v>
      </c>
    </row>
    <row r="121" spans="1:25" x14ac:dyDescent="0.25">
      <c r="A121" s="32"/>
      <c r="B121" s="32"/>
      <c r="C121" s="32"/>
      <c r="D121" s="32">
        <v>5</v>
      </c>
      <c r="E121" s="32">
        <v>2</v>
      </c>
      <c r="F121" s="32"/>
      <c r="G121" s="32"/>
      <c r="H121" s="66" t="str">
        <f>'BID I'!B516</f>
        <v>Belanja Barang Jasa :</v>
      </c>
      <c r="I121" s="32"/>
      <c r="J121" s="66"/>
      <c r="K121" s="497" t="s">
        <v>2988</v>
      </c>
      <c r="L121" s="32"/>
      <c r="M121" s="32"/>
      <c r="N121" s="32"/>
      <c r="O121" s="32"/>
      <c r="P121" s="32"/>
      <c r="Q121" s="32"/>
      <c r="R121" s="32"/>
      <c r="S121" s="32"/>
      <c r="T121" s="32"/>
      <c r="U121" s="32"/>
      <c r="V121" s="32"/>
      <c r="W121" s="32"/>
      <c r="X121" s="1750">
        <f t="shared" si="3"/>
        <v>0</v>
      </c>
      <c r="Y121" s="175">
        <f t="shared" si="5"/>
        <v>0</v>
      </c>
    </row>
    <row r="122" spans="1:25" ht="30" x14ac:dyDescent="0.25">
      <c r="A122" s="32"/>
      <c r="B122" s="32"/>
      <c r="C122" s="32"/>
      <c r="D122" s="32"/>
      <c r="E122" s="32"/>
      <c r="F122" s="32">
        <v>1</v>
      </c>
      <c r="G122" s="32"/>
      <c r="H122" s="66" t="str">
        <f>'BID I'!B517</f>
        <v>Belanja Barang Perlengkapan</v>
      </c>
      <c r="I122" s="32"/>
      <c r="J122" s="66"/>
      <c r="K122" s="497" t="s">
        <v>2988</v>
      </c>
      <c r="L122" s="32"/>
      <c r="M122" s="32"/>
      <c r="N122" s="32"/>
      <c r="O122" s="32"/>
      <c r="P122" s="32"/>
      <c r="Q122" s="32"/>
      <c r="R122" s="32"/>
      <c r="S122" s="32"/>
      <c r="T122" s="32"/>
      <c r="U122" s="32"/>
      <c r="V122" s="32"/>
      <c r="W122" s="32"/>
      <c r="X122" s="1750">
        <f t="shared" si="3"/>
        <v>0</v>
      </c>
      <c r="Y122" s="175">
        <f t="shared" si="5"/>
        <v>0</v>
      </c>
    </row>
    <row r="123" spans="1:25" ht="30" x14ac:dyDescent="0.25">
      <c r="A123" s="32"/>
      <c r="B123" s="32"/>
      <c r="C123" s="32"/>
      <c r="D123" s="32"/>
      <c r="E123" s="32"/>
      <c r="F123" s="32"/>
      <c r="G123" s="1340" t="s">
        <v>2688</v>
      </c>
      <c r="H123" s="66" t="str">
        <f>'BID I'!B518</f>
        <v>Belanja alat tulis kantor dan benda pos</v>
      </c>
      <c r="I123" s="174">
        <f>SUM('BID I'!F519:F520)</f>
        <v>469000</v>
      </c>
      <c r="J123" s="66" t="s">
        <v>2626</v>
      </c>
      <c r="K123" s="497" t="s">
        <v>2988</v>
      </c>
      <c r="L123" s="32"/>
      <c r="M123" s="470">
        <v>469000</v>
      </c>
      <c r="N123" s="32"/>
      <c r="O123" s="32"/>
      <c r="P123" s="32"/>
      <c r="Q123" s="32"/>
      <c r="R123" s="32"/>
      <c r="S123" s="32"/>
      <c r="T123" s="32"/>
      <c r="U123" s="32"/>
      <c r="V123" s="32"/>
      <c r="W123" s="32"/>
      <c r="X123" s="1750">
        <f t="shared" si="3"/>
        <v>469000</v>
      </c>
      <c r="Y123" s="175">
        <f t="shared" si="5"/>
        <v>0</v>
      </c>
    </row>
    <row r="124" spans="1:25" ht="60" x14ac:dyDescent="0.25">
      <c r="A124" s="32"/>
      <c r="B124" s="32"/>
      <c r="C124" s="32"/>
      <c r="D124" s="32"/>
      <c r="E124" s="32"/>
      <c r="F124" s="32"/>
      <c r="G124" s="1340" t="s">
        <v>2705</v>
      </c>
      <c r="H124" s="66" t="str">
        <f>'BID I'!B521</f>
        <v>Belanja perlengkapan barang konsumsi (makan/minum)- Belanja Barang Konsumsi</v>
      </c>
      <c r="I124" s="174">
        <f>'BID I'!F522+'BID I'!F523+'BID I'!F524</f>
        <v>2700000</v>
      </c>
      <c r="J124" s="66" t="s">
        <v>2626</v>
      </c>
      <c r="K124" s="497" t="s">
        <v>2988</v>
      </c>
      <c r="L124" s="32"/>
      <c r="M124" s="470">
        <v>2700000</v>
      </c>
      <c r="N124" s="32"/>
      <c r="O124" s="32"/>
      <c r="P124" s="32"/>
      <c r="Q124" s="32"/>
      <c r="R124" s="32"/>
      <c r="S124" s="32"/>
      <c r="T124" s="32"/>
      <c r="U124" s="32"/>
      <c r="V124" s="32"/>
      <c r="W124" s="32"/>
      <c r="X124" s="1750">
        <f t="shared" si="3"/>
        <v>2700000</v>
      </c>
      <c r="Y124" s="175">
        <f t="shared" si="5"/>
        <v>0</v>
      </c>
    </row>
    <row r="125" spans="1:25" ht="30" x14ac:dyDescent="0.25">
      <c r="A125" s="32"/>
      <c r="B125" s="32"/>
      <c r="C125" s="32"/>
      <c r="D125" s="32"/>
      <c r="E125" s="32"/>
      <c r="F125" s="32"/>
      <c r="G125" s="1340" t="s">
        <v>2707</v>
      </c>
      <c r="H125" s="66" t="str">
        <f>'BID I'!B526</f>
        <v>Belanja Bendera/Umbul - umbul/Spanduk</v>
      </c>
      <c r="I125" s="174">
        <f>'BID I'!F527</f>
        <v>180000</v>
      </c>
      <c r="J125" s="66" t="s">
        <v>2626</v>
      </c>
      <c r="K125" s="497" t="s">
        <v>2988</v>
      </c>
      <c r="L125" s="32"/>
      <c r="M125" s="470">
        <v>180000</v>
      </c>
      <c r="N125" s="32"/>
      <c r="O125" s="32"/>
      <c r="P125" s="32"/>
      <c r="Q125" s="32"/>
      <c r="R125" s="32"/>
      <c r="S125" s="32"/>
      <c r="T125" s="32"/>
      <c r="U125" s="32"/>
      <c r="V125" s="32"/>
      <c r="W125" s="32"/>
      <c r="X125" s="1750">
        <f t="shared" si="3"/>
        <v>180000</v>
      </c>
      <c r="Y125" s="175">
        <f t="shared" si="5"/>
        <v>0</v>
      </c>
    </row>
    <row r="126" spans="1:25" x14ac:dyDescent="0.25">
      <c r="A126" s="32"/>
      <c r="B126" s="32"/>
      <c r="C126" s="32"/>
      <c r="D126" s="32">
        <v>5</v>
      </c>
      <c r="E126" s="32">
        <v>2</v>
      </c>
      <c r="F126" s="32">
        <v>2</v>
      </c>
      <c r="G126" s="32"/>
      <c r="H126" s="66" t="str">
        <f>'BID I'!B529</f>
        <v>Belanja Jasa Honorarium</v>
      </c>
      <c r="I126" s="32"/>
      <c r="J126" s="66"/>
      <c r="K126" s="497" t="s">
        <v>2988</v>
      </c>
      <c r="L126" s="32"/>
      <c r="M126" s="470"/>
      <c r="N126" s="32"/>
      <c r="O126" s="32"/>
      <c r="P126" s="32"/>
      <c r="Q126" s="32"/>
      <c r="R126" s="32"/>
      <c r="S126" s="32"/>
      <c r="T126" s="32"/>
      <c r="U126" s="32"/>
      <c r="V126" s="32"/>
      <c r="W126" s="32"/>
      <c r="X126" s="1750">
        <f t="shared" si="3"/>
        <v>0</v>
      </c>
      <c r="Y126" s="175">
        <f t="shared" si="5"/>
        <v>0</v>
      </c>
    </row>
    <row r="127" spans="1:25" ht="45" x14ac:dyDescent="0.25">
      <c r="A127" s="32"/>
      <c r="B127" s="32"/>
      <c r="C127" s="32"/>
      <c r="D127" s="32"/>
      <c r="E127" s="32"/>
      <c r="F127" s="32"/>
      <c r="G127" s="1340" t="s">
        <v>2688</v>
      </c>
      <c r="H127" s="66" t="str">
        <f>'BID I'!B530</f>
        <v>Belanja Jasa Honor Tim yang Melaksanakan Kegiatan</v>
      </c>
      <c r="I127" s="174">
        <f>SUM('BID I'!F531:F533)</f>
        <v>2450000</v>
      </c>
      <c r="J127" s="66" t="s">
        <v>2626</v>
      </c>
      <c r="K127" s="497" t="s">
        <v>2988</v>
      </c>
      <c r="L127" s="32"/>
      <c r="M127" s="470">
        <v>2450000</v>
      </c>
      <c r="N127" s="32"/>
      <c r="O127" s="32"/>
      <c r="P127" s="32"/>
      <c r="Q127" s="32"/>
      <c r="R127" s="32"/>
      <c r="S127" s="32"/>
      <c r="T127" s="32"/>
      <c r="U127" s="32"/>
      <c r="V127" s="32"/>
      <c r="W127" s="32"/>
      <c r="X127" s="1750">
        <f t="shared" si="3"/>
        <v>2450000</v>
      </c>
      <c r="Y127" s="175">
        <f t="shared" si="5"/>
        <v>0</v>
      </c>
    </row>
    <row r="128" spans="1:25" ht="30" x14ac:dyDescent="0.25">
      <c r="A128" s="32"/>
      <c r="B128" s="32"/>
      <c r="C128" s="32"/>
      <c r="D128" s="32"/>
      <c r="E128" s="32"/>
      <c r="F128" s="32"/>
      <c r="G128" s="1340" t="s">
        <v>2706</v>
      </c>
      <c r="H128" s="66" t="str">
        <f>'BID I'!B534</f>
        <v>Belanja Jasa Honorarium Narasumber</v>
      </c>
      <c r="I128" s="513">
        <f>'BID I'!F535</f>
        <v>900000</v>
      </c>
      <c r="J128" s="66" t="s">
        <v>2626</v>
      </c>
      <c r="K128" s="497" t="s">
        <v>2988</v>
      </c>
      <c r="L128" s="32"/>
      <c r="M128" s="470">
        <v>900000</v>
      </c>
      <c r="N128" s="32"/>
      <c r="O128" s="32"/>
      <c r="P128" s="32"/>
      <c r="Q128" s="32"/>
      <c r="R128" s="32"/>
      <c r="S128" s="32"/>
      <c r="T128" s="32"/>
      <c r="U128" s="32"/>
      <c r="V128" s="32"/>
      <c r="W128" s="32"/>
      <c r="X128" s="1750">
        <f t="shared" si="3"/>
        <v>900000</v>
      </c>
      <c r="Y128" s="175">
        <f t="shared" si="5"/>
        <v>0</v>
      </c>
    </row>
    <row r="129" spans="1:25" ht="45" x14ac:dyDescent="0.25">
      <c r="A129" s="1344">
        <v>1</v>
      </c>
      <c r="B129" s="1344">
        <v>1</v>
      </c>
      <c r="C129" s="1344">
        <v>93</v>
      </c>
      <c r="D129" s="1344"/>
      <c r="E129" s="1344"/>
      <c r="F129" s="1344"/>
      <c r="G129" s="1344"/>
      <c r="H129" s="1345" t="str">
        <f>'BID I'!B552</f>
        <v>Penyedian Jaminan Keshatan dan ketenagakerjaan BPD</v>
      </c>
      <c r="I129" s="1347">
        <f>SUM(I130:I133)</f>
        <v>36717720</v>
      </c>
      <c r="J129" s="1345" t="s">
        <v>2620</v>
      </c>
      <c r="K129" s="1347" t="s">
        <v>2988</v>
      </c>
      <c r="L129" s="1344"/>
      <c r="M129" s="1344"/>
      <c r="N129" s="1344"/>
      <c r="O129" s="1344"/>
      <c r="P129" s="1344"/>
      <c r="Q129" s="1344"/>
      <c r="R129" s="1344"/>
      <c r="S129" s="1344"/>
      <c r="T129" s="1344"/>
      <c r="U129" s="1344"/>
      <c r="V129" s="1344"/>
      <c r="W129" s="1344"/>
      <c r="X129" s="1353">
        <f t="shared" si="3"/>
        <v>0</v>
      </c>
      <c r="Y129" s="175">
        <f t="shared" si="5"/>
        <v>-36717720</v>
      </c>
    </row>
    <row r="130" spans="1:25" x14ac:dyDescent="0.25">
      <c r="A130" s="32"/>
      <c r="B130" s="32"/>
      <c r="C130" s="32"/>
      <c r="D130" s="32">
        <v>5</v>
      </c>
      <c r="E130" s="32">
        <v>1</v>
      </c>
      <c r="F130" s="32"/>
      <c r="G130" s="32"/>
      <c r="H130" s="32" t="str">
        <f>'BID I'!B558</f>
        <v>Belanja Pegawai</v>
      </c>
      <c r="I130" s="32"/>
      <c r="J130" s="66"/>
      <c r="K130" s="497" t="s">
        <v>2988</v>
      </c>
      <c r="L130" s="32"/>
      <c r="M130" s="32"/>
      <c r="N130" s="32"/>
      <c r="O130" s="32"/>
      <c r="P130" s="32"/>
      <c r="Q130" s="32"/>
      <c r="R130" s="32"/>
      <c r="S130" s="32"/>
      <c r="T130" s="32"/>
      <c r="U130" s="32"/>
      <c r="V130" s="32"/>
      <c r="W130" s="32"/>
      <c r="X130" s="1750">
        <f t="shared" si="3"/>
        <v>0</v>
      </c>
      <c r="Y130" s="175">
        <f t="shared" si="5"/>
        <v>0</v>
      </c>
    </row>
    <row r="131" spans="1:25" ht="45" x14ac:dyDescent="0.25">
      <c r="A131" s="32"/>
      <c r="B131" s="32"/>
      <c r="C131" s="32"/>
      <c r="D131" s="32"/>
      <c r="E131" s="32"/>
      <c r="F131" s="32">
        <v>3</v>
      </c>
      <c r="G131" s="32"/>
      <c r="H131" s="66" t="str">
        <f>'BID I'!B559</f>
        <v>Belanja Jaminan Sosial Perbekel dan Perangkat Desa</v>
      </c>
      <c r="I131" s="32"/>
      <c r="J131" s="66"/>
      <c r="K131" s="497" t="s">
        <v>2988</v>
      </c>
      <c r="L131" s="32"/>
      <c r="M131" s="32"/>
      <c r="N131" s="32"/>
      <c r="O131" s="32"/>
      <c r="P131" s="32"/>
      <c r="Q131" s="32"/>
      <c r="R131" s="32"/>
      <c r="S131" s="32"/>
      <c r="T131" s="32"/>
      <c r="U131" s="32"/>
      <c r="V131" s="32"/>
      <c r="W131" s="32"/>
      <c r="X131" s="1750">
        <f t="shared" si="3"/>
        <v>0</v>
      </c>
      <c r="Y131" s="175">
        <f t="shared" si="5"/>
        <v>0</v>
      </c>
    </row>
    <row r="132" spans="1:25" x14ac:dyDescent="0.25">
      <c r="A132" s="32"/>
      <c r="B132" s="32"/>
      <c r="C132" s="32"/>
      <c r="D132" s="32"/>
      <c r="E132" s="32"/>
      <c r="F132" s="32"/>
      <c r="G132" s="1340" t="s">
        <v>2688</v>
      </c>
      <c r="H132" s="66" t="str">
        <f>'BID I'!B560</f>
        <v>Jaminan Kesehatan BPD</v>
      </c>
      <c r="I132" s="174">
        <f>SUM('BID I'!F561:F564)</f>
        <v>14342856</v>
      </c>
      <c r="J132" s="66" t="s">
        <v>2620</v>
      </c>
      <c r="K132" s="497" t="s">
        <v>2988</v>
      </c>
      <c r="L132" s="174">
        <f>I132/12</f>
        <v>1195238</v>
      </c>
      <c r="M132" s="470">
        <v>1195238</v>
      </c>
      <c r="N132" s="470">
        <v>1195238</v>
      </c>
      <c r="O132" s="470">
        <v>1195238</v>
      </c>
      <c r="P132" s="470">
        <v>1195238</v>
      </c>
      <c r="Q132" s="470">
        <v>1195238</v>
      </c>
      <c r="R132" s="470">
        <v>1195238</v>
      </c>
      <c r="S132" s="470">
        <v>1195238</v>
      </c>
      <c r="T132" s="470">
        <v>1195238</v>
      </c>
      <c r="U132" s="470">
        <v>1195238</v>
      </c>
      <c r="V132" s="470">
        <v>1195238</v>
      </c>
      <c r="W132" s="470">
        <v>1195238</v>
      </c>
      <c r="X132" s="1750">
        <f t="shared" si="3"/>
        <v>14342856</v>
      </c>
      <c r="Y132" s="175">
        <f t="shared" si="5"/>
        <v>0</v>
      </c>
    </row>
    <row r="133" spans="1:25" ht="30" x14ac:dyDescent="0.25">
      <c r="A133" s="32"/>
      <c r="B133" s="32"/>
      <c r="C133" s="32"/>
      <c r="D133" s="32"/>
      <c r="E133" s="32"/>
      <c r="F133" s="32"/>
      <c r="G133" s="1340" t="s">
        <v>2702</v>
      </c>
      <c r="H133" s="66" t="str">
        <f>'BID I'!B565</f>
        <v>Jaminan Ketenagakerjaan BPD</v>
      </c>
      <c r="I133" s="174">
        <f>SUM('BID I'!F566:F569)</f>
        <v>22374864</v>
      </c>
      <c r="J133" s="66" t="s">
        <v>2620</v>
      </c>
      <c r="K133" s="497" t="s">
        <v>2988</v>
      </c>
      <c r="L133" s="174">
        <f>I133/12</f>
        <v>1864572</v>
      </c>
      <c r="M133" s="470">
        <v>1864572</v>
      </c>
      <c r="N133" s="470">
        <v>1864572</v>
      </c>
      <c r="O133" s="470">
        <v>1864572</v>
      </c>
      <c r="P133" s="470">
        <v>1864572</v>
      </c>
      <c r="Q133" s="470">
        <v>1864572</v>
      </c>
      <c r="R133" s="470">
        <v>1864572</v>
      </c>
      <c r="S133" s="470">
        <v>1864572</v>
      </c>
      <c r="T133" s="470">
        <v>1864572</v>
      </c>
      <c r="U133" s="470">
        <v>1864572</v>
      </c>
      <c r="V133" s="470">
        <v>1864572</v>
      </c>
      <c r="W133" s="470">
        <v>1864572</v>
      </c>
      <c r="X133" s="1750">
        <f t="shared" si="3"/>
        <v>22374864</v>
      </c>
      <c r="Y133" s="175">
        <f t="shared" si="5"/>
        <v>0</v>
      </c>
    </row>
    <row r="134" spans="1:25" ht="60" x14ac:dyDescent="0.25">
      <c r="A134" s="1344">
        <v>1</v>
      </c>
      <c r="B134" s="1344">
        <v>1</v>
      </c>
      <c r="C134" s="1344">
        <v>93</v>
      </c>
      <c r="D134" s="1344"/>
      <c r="E134" s="1344"/>
      <c r="F134" s="1344"/>
      <c r="G134" s="1344"/>
      <c r="H134" s="1345" t="str">
        <f>'BID I'!B584</f>
        <v>Penyedian Jaminan Keshatan dan ketenagakerjaan Staf Desa</v>
      </c>
      <c r="I134" s="1347">
        <f>I137+I138</f>
        <v>24226512</v>
      </c>
      <c r="J134" s="1345" t="s">
        <v>2620</v>
      </c>
      <c r="K134" s="1347" t="s">
        <v>2988</v>
      </c>
      <c r="L134" s="1344"/>
      <c r="M134" s="1344"/>
      <c r="N134" s="1344"/>
      <c r="O134" s="1344"/>
      <c r="P134" s="1344"/>
      <c r="Q134" s="1344"/>
      <c r="R134" s="1344"/>
      <c r="S134" s="1344"/>
      <c r="T134" s="1344"/>
      <c r="U134" s="1344"/>
      <c r="V134" s="1344"/>
      <c r="W134" s="1344"/>
      <c r="X134" s="1353">
        <f t="shared" si="3"/>
        <v>0</v>
      </c>
      <c r="Y134" s="175">
        <f t="shared" si="5"/>
        <v>-24226512</v>
      </c>
    </row>
    <row r="135" spans="1:25" x14ac:dyDescent="0.25">
      <c r="A135" s="32"/>
      <c r="B135" s="32"/>
      <c r="C135" s="32"/>
      <c r="D135" s="32">
        <v>5</v>
      </c>
      <c r="E135" s="32">
        <v>1</v>
      </c>
      <c r="F135" s="32"/>
      <c r="G135" s="32"/>
      <c r="H135" s="66" t="str">
        <f>'BID I'!B590</f>
        <v>Belanja Pegawai</v>
      </c>
      <c r="I135" s="32"/>
      <c r="J135" s="66"/>
      <c r="K135" s="497" t="s">
        <v>2988</v>
      </c>
      <c r="L135" s="32"/>
      <c r="M135" s="32"/>
      <c r="N135" s="32"/>
      <c r="O135" s="32"/>
      <c r="P135" s="32"/>
      <c r="Q135" s="32"/>
      <c r="R135" s="32"/>
      <c r="S135" s="32"/>
      <c r="T135" s="32"/>
      <c r="U135" s="32"/>
      <c r="V135" s="32"/>
      <c r="W135" s="32"/>
      <c r="X135" s="1750">
        <f t="shared" si="3"/>
        <v>0</v>
      </c>
      <c r="Y135" s="175">
        <f t="shared" si="5"/>
        <v>0</v>
      </c>
    </row>
    <row r="136" spans="1:25" ht="45" x14ac:dyDescent="0.25">
      <c r="A136" s="32"/>
      <c r="B136" s="32"/>
      <c r="C136" s="32"/>
      <c r="D136" s="32"/>
      <c r="E136" s="32"/>
      <c r="F136" s="32">
        <v>3</v>
      </c>
      <c r="G136" s="32"/>
      <c r="H136" s="66" t="str">
        <f>'BID I'!B591</f>
        <v>Belanja Jaminan Sosial Perbekel dan Perangkat Desa</v>
      </c>
      <c r="I136" s="32"/>
      <c r="J136" s="66"/>
      <c r="K136" s="497" t="s">
        <v>2988</v>
      </c>
      <c r="L136" s="32"/>
      <c r="M136" s="32"/>
      <c r="N136" s="32"/>
      <c r="O136" s="32"/>
      <c r="P136" s="32"/>
      <c r="Q136" s="32"/>
      <c r="R136" s="32"/>
      <c r="S136" s="32"/>
      <c r="T136" s="32"/>
      <c r="U136" s="32"/>
      <c r="V136" s="32"/>
      <c r="W136" s="32"/>
      <c r="X136" s="1750">
        <f t="shared" si="3"/>
        <v>0</v>
      </c>
      <c r="Y136" s="175">
        <f t="shared" si="5"/>
        <v>0</v>
      </c>
    </row>
    <row r="137" spans="1:25" x14ac:dyDescent="0.25">
      <c r="A137" s="32"/>
      <c r="B137" s="32"/>
      <c r="C137" s="32"/>
      <c r="D137" s="32"/>
      <c r="E137" s="32"/>
      <c r="F137" s="32"/>
      <c r="G137" s="1340" t="s">
        <v>2688</v>
      </c>
      <c r="H137" s="66" t="str">
        <f>'BID I'!B592</f>
        <v>Jaminan Kesehatan Staf</v>
      </c>
      <c r="I137" s="174">
        <f>SUM('BID I'!F593:F598)</f>
        <v>21101712</v>
      </c>
      <c r="J137" s="66" t="s">
        <v>2620</v>
      </c>
      <c r="K137" s="497" t="s">
        <v>2988</v>
      </c>
      <c r="L137" s="174">
        <f>I137/12</f>
        <v>1758476</v>
      </c>
      <c r="M137" s="470">
        <v>1758476</v>
      </c>
      <c r="N137" s="470">
        <v>1758476</v>
      </c>
      <c r="O137" s="470">
        <v>1758476</v>
      </c>
      <c r="P137" s="470">
        <v>1758476</v>
      </c>
      <c r="Q137" s="470">
        <v>1758476</v>
      </c>
      <c r="R137" s="470">
        <v>1758476</v>
      </c>
      <c r="S137" s="470">
        <v>1758476</v>
      </c>
      <c r="T137" s="470">
        <v>1758476</v>
      </c>
      <c r="U137" s="470">
        <v>1758476</v>
      </c>
      <c r="V137" s="470">
        <v>1758476</v>
      </c>
      <c r="W137" s="470">
        <v>1758476</v>
      </c>
      <c r="X137" s="1750">
        <f t="shared" si="3"/>
        <v>21101712</v>
      </c>
      <c r="Y137" s="175">
        <f t="shared" si="5"/>
        <v>0</v>
      </c>
    </row>
    <row r="138" spans="1:25" ht="30" x14ac:dyDescent="0.25">
      <c r="A138" s="32"/>
      <c r="B138" s="32"/>
      <c r="C138" s="32"/>
      <c r="D138" s="32"/>
      <c r="E138" s="32"/>
      <c r="F138" s="32"/>
      <c r="G138" s="1340"/>
      <c r="H138" s="66" t="str">
        <f>'BID I'!B599</f>
        <v>Jaminan Ketenagakerjaan Staf</v>
      </c>
      <c r="I138" s="174">
        <f>SUM('BID I'!F600:F605)</f>
        <v>3124800</v>
      </c>
      <c r="J138" s="66" t="s">
        <v>2620</v>
      </c>
      <c r="K138" s="497" t="s">
        <v>2988</v>
      </c>
      <c r="L138" s="174">
        <f>I138/12</f>
        <v>260400</v>
      </c>
      <c r="M138" s="470">
        <v>260400</v>
      </c>
      <c r="N138" s="470">
        <v>260400</v>
      </c>
      <c r="O138" s="470">
        <v>260400</v>
      </c>
      <c r="P138" s="470">
        <v>260400</v>
      </c>
      <c r="Q138" s="470">
        <v>260400</v>
      </c>
      <c r="R138" s="470">
        <v>260400</v>
      </c>
      <c r="S138" s="470">
        <v>260400</v>
      </c>
      <c r="T138" s="470">
        <v>260400</v>
      </c>
      <c r="U138" s="470">
        <v>260400</v>
      </c>
      <c r="V138" s="470">
        <v>260400</v>
      </c>
      <c r="W138" s="470">
        <v>260400</v>
      </c>
      <c r="X138" s="1750">
        <f t="shared" si="3"/>
        <v>3124800</v>
      </c>
      <c r="Y138" s="175">
        <f t="shared" si="5"/>
        <v>0</v>
      </c>
    </row>
    <row r="139" spans="1:25" ht="45" x14ac:dyDescent="0.25">
      <c r="A139" s="1344">
        <v>1</v>
      </c>
      <c r="B139" s="1344">
        <v>1</v>
      </c>
      <c r="C139" s="1344">
        <v>93</v>
      </c>
      <c r="D139" s="1344"/>
      <c r="E139" s="1344"/>
      <c r="F139" s="1344"/>
      <c r="G139" s="1344"/>
      <c r="H139" s="1345" t="str">
        <f>'BID I'!B620</f>
        <v>Penyedian Jaminan Ketenagakerjaan Ekosistem Desa</v>
      </c>
      <c r="I139" s="1347">
        <f>SUM(I140:I142)</f>
        <v>42537600</v>
      </c>
      <c r="J139" s="1345" t="s">
        <v>2620</v>
      </c>
      <c r="K139" s="1347" t="s">
        <v>2988</v>
      </c>
      <c r="L139" s="1344"/>
      <c r="M139" s="1344"/>
      <c r="N139" s="1344"/>
      <c r="O139" s="1344"/>
      <c r="P139" s="1344"/>
      <c r="Q139" s="1344"/>
      <c r="R139" s="1344"/>
      <c r="S139" s="1344"/>
      <c r="T139" s="1344"/>
      <c r="U139" s="1344"/>
      <c r="V139" s="1344"/>
      <c r="W139" s="1344"/>
      <c r="X139" s="1353">
        <f t="shared" si="3"/>
        <v>0</v>
      </c>
      <c r="Y139" s="175">
        <f t="shared" si="5"/>
        <v>-42537600</v>
      </c>
    </row>
    <row r="140" spans="1:25" x14ac:dyDescent="0.25">
      <c r="A140" s="32"/>
      <c r="B140" s="32"/>
      <c r="C140" s="32"/>
      <c r="D140" s="32">
        <v>5</v>
      </c>
      <c r="E140" s="32">
        <v>1</v>
      </c>
      <c r="F140" s="32"/>
      <c r="G140" s="32"/>
      <c r="H140" s="66" t="str">
        <f>'BID I'!B626</f>
        <v>Belanja Pegawai</v>
      </c>
      <c r="I140" s="32"/>
      <c r="J140" s="66"/>
      <c r="K140" s="497" t="s">
        <v>2988</v>
      </c>
      <c r="L140" s="32"/>
      <c r="M140" s="32"/>
      <c r="N140" s="32"/>
      <c r="O140" s="32"/>
      <c r="P140" s="32"/>
      <c r="Q140" s="32"/>
      <c r="R140" s="32"/>
      <c r="S140" s="32"/>
      <c r="T140" s="32"/>
      <c r="U140" s="32"/>
      <c r="V140" s="32"/>
      <c r="W140" s="32"/>
      <c r="X140" s="1750">
        <f t="shared" si="3"/>
        <v>0</v>
      </c>
      <c r="Y140" s="175">
        <f t="shared" si="5"/>
        <v>0</v>
      </c>
    </row>
    <row r="141" spans="1:25" ht="45" x14ac:dyDescent="0.25">
      <c r="A141" s="32"/>
      <c r="B141" s="32"/>
      <c r="C141" s="32"/>
      <c r="D141" s="32"/>
      <c r="E141" s="32"/>
      <c r="F141" s="32">
        <v>3</v>
      </c>
      <c r="G141" s="32"/>
      <c r="H141" s="66" t="str">
        <f>'BID I'!B627</f>
        <v>Belanja Jaminan Sosial Perbekel dan Perangkat Desa</v>
      </c>
      <c r="I141" s="32"/>
      <c r="J141" s="66"/>
      <c r="K141" s="497" t="s">
        <v>2988</v>
      </c>
      <c r="L141" s="32"/>
      <c r="M141" s="32"/>
      <c r="N141" s="32"/>
      <c r="O141" s="32"/>
      <c r="P141" s="32"/>
      <c r="Q141" s="32"/>
      <c r="R141" s="32"/>
      <c r="S141" s="32"/>
      <c r="T141" s="32"/>
      <c r="U141" s="32"/>
      <c r="V141" s="32"/>
      <c r="W141" s="32"/>
      <c r="X141" s="1750">
        <f t="shared" si="3"/>
        <v>0</v>
      </c>
      <c r="Y141" s="175">
        <f t="shared" si="5"/>
        <v>0</v>
      </c>
    </row>
    <row r="142" spans="1:25" x14ac:dyDescent="0.25">
      <c r="A142" s="32"/>
      <c r="B142" s="32"/>
      <c r="C142" s="32"/>
      <c r="D142" s="32"/>
      <c r="E142" s="32"/>
      <c r="F142" s="32"/>
      <c r="G142" s="1340" t="s">
        <v>2688</v>
      </c>
      <c r="H142" s="66" t="str">
        <f>'BID I'!B628</f>
        <v>Jaminan Kesehatan Staf</v>
      </c>
      <c r="I142" s="174">
        <f>SUM('BID I'!F629)</f>
        <v>42537600</v>
      </c>
      <c r="J142" s="66" t="s">
        <v>2620</v>
      </c>
      <c r="K142" s="497" t="s">
        <v>2988</v>
      </c>
      <c r="L142" s="174">
        <f>I142/12</f>
        <v>3544800</v>
      </c>
      <c r="M142" s="470">
        <v>3544800</v>
      </c>
      <c r="N142" s="470">
        <v>3544800</v>
      </c>
      <c r="O142" s="470">
        <v>3544800</v>
      </c>
      <c r="P142" s="470">
        <v>3544800</v>
      </c>
      <c r="Q142" s="470">
        <v>3544800</v>
      </c>
      <c r="R142" s="470">
        <v>3544800</v>
      </c>
      <c r="S142" s="470">
        <v>3544800</v>
      </c>
      <c r="T142" s="470">
        <v>3544800</v>
      </c>
      <c r="U142" s="470">
        <v>3544800</v>
      </c>
      <c r="V142" s="470">
        <v>3544800</v>
      </c>
      <c r="W142" s="470">
        <v>3544800</v>
      </c>
      <c r="X142" s="1750">
        <f t="shared" si="3"/>
        <v>42537600</v>
      </c>
      <c r="Y142" s="175">
        <f t="shared" si="5"/>
        <v>0</v>
      </c>
    </row>
    <row r="143" spans="1:25" ht="30" x14ac:dyDescent="0.25">
      <c r="A143" s="1344">
        <v>1</v>
      </c>
      <c r="B143" s="1344">
        <v>1</v>
      </c>
      <c r="C143" s="1344">
        <v>94</v>
      </c>
      <c r="D143" s="1344"/>
      <c r="E143" s="1344"/>
      <c r="F143" s="1344"/>
      <c r="G143" s="1344"/>
      <c r="H143" s="1345" t="str">
        <f>'BID I'!B657</f>
        <v>: Penyediaan Kegiatan Sosial Desa</v>
      </c>
      <c r="I143" s="1349">
        <f>I146</f>
        <v>34032000</v>
      </c>
      <c r="J143" s="1345" t="s">
        <v>2639</v>
      </c>
      <c r="K143" s="1347" t="s">
        <v>2988</v>
      </c>
      <c r="L143" s="1344"/>
      <c r="M143" s="1344"/>
      <c r="N143" s="1344"/>
      <c r="O143" s="1344"/>
      <c r="P143" s="1344"/>
      <c r="Q143" s="1344"/>
      <c r="R143" s="1344"/>
      <c r="S143" s="1344"/>
      <c r="T143" s="1344"/>
      <c r="U143" s="1344"/>
      <c r="V143" s="1344"/>
      <c r="W143" s="1344"/>
      <c r="X143" s="1353">
        <f t="shared" si="3"/>
        <v>0</v>
      </c>
      <c r="Y143" s="175">
        <f t="shared" si="5"/>
        <v>-34032000</v>
      </c>
    </row>
    <row r="144" spans="1:25" x14ac:dyDescent="0.25">
      <c r="A144" s="32"/>
      <c r="B144" s="32"/>
      <c r="C144" s="32"/>
      <c r="D144" s="32">
        <v>5</v>
      </c>
      <c r="E144" s="32">
        <v>2</v>
      </c>
      <c r="F144" s="32"/>
      <c r="G144" s="32"/>
      <c r="H144" s="66" t="str">
        <f>'BID I'!B663</f>
        <v>Belanja Barang Jasa</v>
      </c>
      <c r="I144" s="32"/>
      <c r="J144" s="66"/>
      <c r="K144" s="497" t="s">
        <v>2988</v>
      </c>
      <c r="L144" s="32"/>
      <c r="M144" s="32"/>
      <c r="N144" s="32"/>
      <c r="O144" s="32"/>
      <c r="P144" s="32"/>
      <c r="Q144" s="32"/>
      <c r="R144" s="32"/>
      <c r="S144" s="32"/>
      <c r="T144" s="32"/>
      <c r="U144" s="32"/>
      <c r="V144" s="32"/>
      <c r="W144" s="32"/>
      <c r="X144" s="1750">
        <f t="shared" si="3"/>
        <v>0</v>
      </c>
      <c r="Y144" s="175">
        <f t="shared" si="5"/>
        <v>0</v>
      </c>
    </row>
    <row r="145" spans="1:25" ht="45" x14ac:dyDescent="0.25">
      <c r="A145" s="32"/>
      <c r="B145" s="32"/>
      <c r="C145" s="32"/>
      <c r="D145" s="32"/>
      <c r="E145" s="32"/>
      <c r="F145" s="32">
        <v>7</v>
      </c>
      <c r="G145" s="32"/>
      <c r="H145" s="66" t="str">
        <f>'BID I'!B664</f>
        <v>Belanja Barang dan Jasa yang Diserahkan Kepada Masyarakat</v>
      </c>
      <c r="I145" s="32"/>
      <c r="J145" s="66"/>
      <c r="K145" s="497" t="s">
        <v>2988</v>
      </c>
      <c r="L145" s="32"/>
      <c r="M145" s="32"/>
      <c r="N145" s="32"/>
      <c r="O145" s="32"/>
      <c r="P145" s="32"/>
      <c r="Q145" s="32"/>
      <c r="R145" s="32"/>
      <c r="S145" s="32"/>
      <c r="T145" s="32"/>
      <c r="U145" s="32"/>
      <c r="V145" s="32"/>
      <c r="W145" s="32"/>
      <c r="X145" s="1750">
        <f t="shared" si="3"/>
        <v>0</v>
      </c>
      <c r="Y145" s="175">
        <f t="shared" si="5"/>
        <v>0</v>
      </c>
    </row>
    <row r="146" spans="1:25" ht="45" x14ac:dyDescent="0.25">
      <c r="A146" s="32"/>
      <c r="B146" s="32"/>
      <c r="C146" s="32"/>
      <c r="D146" s="32"/>
      <c r="E146" s="32"/>
      <c r="F146" s="32"/>
      <c r="G146" s="1340" t="s">
        <v>2688</v>
      </c>
      <c r="H146" s="66" t="str">
        <f>'BID I'!B665</f>
        <v>Belanja Bahan Perlengkapan yang Diserahkan ke masyarakat</v>
      </c>
      <c r="I146" s="174">
        <f>SUM('BID I'!F666:F672)</f>
        <v>34032000</v>
      </c>
      <c r="J146" s="66" t="s">
        <v>2639</v>
      </c>
      <c r="K146" s="497" t="s">
        <v>2988</v>
      </c>
      <c r="L146" s="174">
        <f>I146/12</f>
        <v>2836000</v>
      </c>
      <c r="M146" s="470">
        <v>2836000</v>
      </c>
      <c r="N146" s="470">
        <v>2836000</v>
      </c>
      <c r="O146" s="470">
        <v>2836000</v>
      </c>
      <c r="P146" s="470">
        <v>2836000</v>
      </c>
      <c r="Q146" s="470">
        <v>2836000</v>
      </c>
      <c r="R146" s="470">
        <v>2836000</v>
      </c>
      <c r="S146" s="470">
        <v>2836000</v>
      </c>
      <c r="T146" s="470">
        <v>2836000</v>
      </c>
      <c r="U146" s="470">
        <v>2836000</v>
      </c>
      <c r="V146" s="470">
        <v>2836000</v>
      </c>
      <c r="W146" s="470">
        <v>2836000</v>
      </c>
      <c r="X146" s="1750">
        <f t="shared" si="3"/>
        <v>34032000</v>
      </c>
      <c r="Y146" s="175">
        <f t="shared" si="5"/>
        <v>0</v>
      </c>
    </row>
    <row r="147" spans="1:25" ht="30" x14ac:dyDescent="0.25">
      <c r="A147" s="1344">
        <v>1</v>
      </c>
      <c r="B147" s="1344">
        <v>1</v>
      </c>
      <c r="C147" s="1344">
        <v>96</v>
      </c>
      <c r="D147" s="1344"/>
      <c r="E147" s="1344"/>
      <c r="F147" s="1344"/>
      <c r="G147" s="1344"/>
      <c r="H147" s="1345" t="str">
        <f>'BID I'!B716</f>
        <v>: Tambahan  Penghasilan Perbekel dari BKK</v>
      </c>
      <c r="I147" s="1350">
        <f>I150+I151</f>
        <v>22500000</v>
      </c>
      <c r="J147" s="1345" t="s">
        <v>2638</v>
      </c>
      <c r="K147" s="1347" t="s">
        <v>2988</v>
      </c>
      <c r="L147" s="1344"/>
      <c r="M147" s="1344"/>
      <c r="N147" s="1344"/>
      <c r="O147" s="1344"/>
      <c r="P147" s="1344"/>
      <c r="Q147" s="1344"/>
      <c r="R147" s="1344"/>
      <c r="S147" s="1344"/>
      <c r="T147" s="1344"/>
      <c r="U147" s="1344"/>
      <c r="V147" s="1344"/>
      <c r="W147" s="1344"/>
      <c r="X147" s="1353">
        <f t="shared" si="3"/>
        <v>0</v>
      </c>
      <c r="Y147" s="175">
        <f t="shared" si="5"/>
        <v>-22500000</v>
      </c>
    </row>
    <row r="148" spans="1:25" x14ac:dyDescent="0.25">
      <c r="A148" s="32"/>
      <c r="B148" s="32"/>
      <c r="C148" s="32"/>
      <c r="D148" s="32">
        <v>5</v>
      </c>
      <c r="E148" s="32">
        <v>1</v>
      </c>
      <c r="F148" s="32"/>
      <c r="G148" s="32"/>
      <c r="H148" s="32" t="str">
        <f>'BID I'!B722</f>
        <v xml:space="preserve">Belanja Pegawai </v>
      </c>
      <c r="I148" s="32"/>
      <c r="J148" s="66"/>
      <c r="K148" s="497" t="s">
        <v>2988</v>
      </c>
      <c r="L148" s="32"/>
      <c r="M148" s="32"/>
      <c r="N148" s="32"/>
      <c r="O148" s="32"/>
      <c r="P148" s="32"/>
      <c r="Q148" s="32"/>
      <c r="R148" s="32"/>
      <c r="S148" s="32"/>
      <c r="T148" s="32"/>
      <c r="U148" s="32"/>
      <c r="V148" s="32"/>
      <c r="W148" s="32"/>
      <c r="X148" s="1750">
        <f t="shared" si="3"/>
        <v>0</v>
      </c>
      <c r="Y148" s="175">
        <f t="shared" si="5"/>
        <v>0</v>
      </c>
    </row>
    <row r="149" spans="1:25" ht="30" x14ac:dyDescent="0.25">
      <c r="A149" s="32"/>
      <c r="B149" s="32"/>
      <c r="C149" s="32"/>
      <c r="D149" s="32"/>
      <c r="E149" s="32"/>
      <c r="F149" s="32">
        <v>1</v>
      </c>
      <c r="G149" s="32"/>
      <c r="H149" s="66" t="str">
        <f>'BID I'!B723</f>
        <v>Penghasilan tetap dan Tunjangan Perbekel</v>
      </c>
      <c r="I149" s="32"/>
      <c r="J149" s="66"/>
      <c r="K149" s="497" t="s">
        <v>2988</v>
      </c>
      <c r="L149" s="32"/>
      <c r="M149" s="32"/>
      <c r="N149" s="32"/>
      <c r="O149" s="32"/>
      <c r="P149" s="32"/>
      <c r="Q149" s="32"/>
      <c r="R149" s="32"/>
      <c r="S149" s="32"/>
      <c r="T149" s="32"/>
      <c r="U149" s="32"/>
      <c r="V149" s="32"/>
      <c r="W149" s="32"/>
      <c r="X149" s="1750">
        <f t="shared" si="3"/>
        <v>0</v>
      </c>
      <c r="Y149" s="175">
        <f t="shared" si="5"/>
        <v>0</v>
      </c>
    </row>
    <row r="150" spans="1:25" ht="30" x14ac:dyDescent="0.25">
      <c r="A150" s="32"/>
      <c r="B150" s="32"/>
      <c r="C150" s="32"/>
      <c r="D150" s="32"/>
      <c r="E150" s="32"/>
      <c r="F150" s="32"/>
      <c r="G150" s="1340">
        <v>90</v>
      </c>
      <c r="H150" s="66" t="str">
        <f>'BID I'!B724</f>
        <v>Tambahan Penghasilan Perbekel Dari BKK</v>
      </c>
      <c r="I150" s="513">
        <f>'BID I'!F724</f>
        <v>18000000</v>
      </c>
      <c r="J150" s="66" t="s">
        <v>2638</v>
      </c>
      <c r="K150" s="497" t="s">
        <v>2988</v>
      </c>
      <c r="L150" s="470">
        <f>I150/12</f>
        <v>1500000</v>
      </c>
      <c r="M150" s="470">
        <v>1500000</v>
      </c>
      <c r="N150" s="470">
        <v>1500000</v>
      </c>
      <c r="O150" s="470">
        <v>1500000</v>
      </c>
      <c r="P150" s="470">
        <v>1500000</v>
      </c>
      <c r="Q150" s="470">
        <v>1500000</v>
      </c>
      <c r="R150" s="470">
        <v>1500000</v>
      </c>
      <c r="S150" s="470">
        <v>1500000</v>
      </c>
      <c r="T150" s="470">
        <v>1500000</v>
      </c>
      <c r="U150" s="470">
        <v>1500000</v>
      </c>
      <c r="V150" s="470">
        <v>1500000</v>
      </c>
      <c r="W150" s="470">
        <v>1500000</v>
      </c>
      <c r="X150" s="1750">
        <f t="shared" si="3"/>
        <v>18000000</v>
      </c>
      <c r="Y150" s="175">
        <f t="shared" si="5"/>
        <v>0</v>
      </c>
    </row>
    <row r="151" spans="1:25" ht="30" x14ac:dyDescent="0.25">
      <c r="A151" s="32"/>
      <c r="B151" s="32"/>
      <c r="C151" s="32"/>
      <c r="D151" s="32"/>
      <c r="E151" s="32"/>
      <c r="F151" s="32"/>
      <c r="G151" s="1340">
        <v>91</v>
      </c>
      <c r="H151" s="66" t="str">
        <f>'BID I'!B725</f>
        <v>Kekurangan Tambaha Penghasilan Perbekel</v>
      </c>
      <c r="I151" s="513">
        <f>'BID I'!F725</f>
        <v>4500000</v>
      </c>
      <c r="J151" s="66" t="s">
        <v>2638</v>
      </c>
      <c r="K151" s="497" t="s">
        <v>2988</v>
      </c>
      <c r="L151" s="470">
        <f>I151/12</f>
        <v>375000</v>
      </c>
      <c r="M151" s="470">
        <v>375000</v>
      </c>
      <c r="N151" s="470">
        <v>375000</v>
      </c>
      <c r="O151" s="470">
        <v>375000</v>
      </c>
      <c r="P151" s="470">
        <v>375000</v>
      </c>
      <c r="Q151" s="470">
        <v>375000</v>
      </c>
      <c r="R151" s="470">
        <v>375000</v>
      </c>
      <c r="S151" s="470">
        <v>375000</v>
      </c>
      <c r="T151" s="470">
        <v>375000</v>
      </c>
      <c r="U151" s="470">
        <v>375000</v>
      </c>
      <c r="V151" s="470">
        <v>375000</v>
      </c>
      <c r="W151" s="470">
        <v>375000</v>
      </c>
      <c r="X151" s="1750">
        <f t="shared" si="3"/>
        <v>4500000</v>
      </c>
      <c r="Y151" s="175">
        <f t="shared" si="5"/>
        <v>0</v>
      </c>
    </row>
    <row r="152" spans="1:25" ht="30" x14ac:dyDescent="0.25">
      <c r="A152" s="1344">
        <v>1</v>
      </c>
      <c r="B152" s="1344">
        <v>1</v>
      </c>
      <c r="C152" s="1344">
        <v>97</v>
      </c>
      <c r="D152" s="1344"/>
      <c r="E152" s="1344"/>
      <c r="F152" s="1344"/>
      <c r="G152" s="1344"/>
      <c r="H152" s="1345" t="str">
        <f>'BID I'!B742</f>
        <v>: Tambahan  Penghasilan Perangkat Desa dari BKK</v>
      </c>
      <c r="I152" s="1347">
        <f>I155+I156</f>
        <v>70500000</v>
      </c>
      <c r="J152" s="1345" t="s">
        <v>2638</v>
      </c>
      <c r="K152" s="1347" t="s">
        <v>2988</v>
      </c>
      <c r="L152" s="1344"/>
      <c r="M152" s="1344"/>
      <c r="N152" s="1344"/>
      <c r="O152" s="1344"/>
      <c r="P152" s="1344"/>
      <c r="Q152" s="1344"/>
      <c r="R152" s="1344"/>
      <c r="S152" s="1344"/>
      <c r="T152" s="1344"/>
      <c r="U152" s="1344"/>
      <c r="V152" s="1344"/>
      <c r="W152" s="1344"/>
      <c r="X152" s="1353">
        <f t="shared" si="3"/>
        <v>0</v>
      </c>
      <c r="Y152" s="175">
        <f t="shared" si="5"/>
        <v>-70500000</v>
      </c>
    </row>
    <row r="153" spans="1:25" x14ac:dyDescent="0.25">
      <c r="A153" s="32"/>
      <c r="B153" s="32"/>
      <c r="C153" s="32"/>
      <c r="D153" s="32">
        <v>5</v>
      </c>
      <c r="E153" s="32">
        <v>1</v>
      </c>
      <c r="F153" s="32"/>
      <c r="G153" s="32"/>
      <c r="H153" s="66" t="str">
        <f>'BID I'!B748</f>
        <v xml:space="preserve">Belanja Pegawai </v>
      </c>
      <c r="I153" s="32"/>
      <c r="J153" s="66"/>
      <c r="K153" s="497" t="s">
        <v>2988</v>
      </c>
      <c r="L153" s="32"/>
      <c r="M153" s="32"/>
      <c r="N153" s="32"/>
      <c r="O153" s="32"/>
      <c r="P153" s="32"/>
      <c r="Q153" s="32"/>
      <c r="R153" s="32"/>
      <c r="S153" s="32"/>
      <c r="T153" s="32"/>
      <c r="U153" s="32"/>
      <c r="V153" s="32"/>
      <c r="W153" s="32"/>
      <c r="X153" s="1750">
        <f t="shared" si="3"/>
        <v>0</v>
      </c>
      <c r="Y153" s="175">
        <f t="shared" si="5"/>
        <v>0</v>
      </c>
    </row>
    <row r="154" spans="1:25" ht="30" x14ac:dyDescent="0.25">
      <c r="A154" s="32"/>
      <c r="B154" s="32"/>
      <c r="C154" s="32"/>
      <c r="D154" s="32"/>
      <c r="E154" s="32"/>
      <c r="F154" s="32">
        <v>2</v>
      </c>
      <c r="G154" s="32"/>
      <c r="H154" s="66" t="str">
        <f>'BID I'!B749</f>
        <v>Penghasilan tetap dan Tunjangan Perangkat</v>
      </c>
      <c r="I154" s="32"/>
      <c r="J154" s="66"/>
      <c r="K154" s="497" t="s">
        <v>2988</v>
      </c>
      <c r="L154" s="32"/>
      <c r="M154" s="32"/>
      <c r="N154" s="32"/>
      <c r="O154" s="32"/>
      <c r="P154" s="32"/>
      <c r="Q154" s="32"/>
      <c r="R154" s="32"/>
      <c r="S154" s="32"/>
      <c r="T154" s="32"/>
      <c r="U154" s="32"/>
      <c r="V154" s="32"/>
      <c r="W154" s="32"/>
      <c r="X154" s="1750">
        <f t="shared" si="3"/>
        <v>0</v>
      </c>
      <c r="Y154" s="175">
        <f t="shared" si="5"/>
        <v>0</v>
      </c>
    </row>
    <row r="155" spans="1:25" ht="30" x14ac:dyDescent="0.25">
      <c r="A155" s="32"/>
      <c r="B155" s="32"/>
      <c r="C155" s="32"/>
      <c r="D155" s="32"/>
      <c r="E155" s="32"/>
      <c r="F155" s="32"/>
      <c r="G155" s="1340">
        <v>90</v>
      </c>
      <c r="H155" s="66" t="str">
        <f>'BID I'!B750</f>
        <v>Tambahan Penghasilan Perangkat Desa Dari BKK</v>
      </c>
      <c r="I155" s="513">
        <f>SUM('BID I'!F751:F754)</f>
        <v>56400000</v>
      </c>
      <c r="J155" s="66" t="s">
        <v>2638</v>
      </c>
      <c r="K155" s="497" t="s">
        <v>2988</v>
      </c>
      <c r="L155" s="470">
        <f>I155/12</f>
        <v>4700000</v>
      </c>
      <c r="M155" s="470">
        <v>4700000</v>
      </c>
      <c r="N155" s="470">
        <v>4700000</v>
      </c>
      <c r="O155" s="470">
        <v>4700000</v>
      </c>
      <c r="P155" s="470">
        <v>4700000</v>
      </c>
      <c r="Q155" s="470">
        <v>4700000</v>
      </c>
      <c r="R155" s="470">
        <v>4700000</v>
      </c>
      <c r="S155" s="470">
        <v>4700000</v>
      </c>
      <c r="T155" s="470">
        <v>4700000</v>
      </c>
      <c r="U155" s="470">
        <v>4700000</v>
      </c>
      <c r="V155" s="470">
        <v>4700000</v>
      </c>
      <c r="W155" s="470">
        <v>4700000</v>
      </c>
      <c r="X155" s="1750">
        <f t="shared" si="3"/>
        <v>56400000</v>
      </c>
      <c r="Y155" s="175">
        <f t="shared" si="5"/>
        <v>0</v>
      </c>
    </row>
    <row r="156" spans="1:25" ht="45" x14ac:dyDescent="0.25">
      <c r="A156" s="32"/>
      <c r="B156" s="32"/>
      <c r="C156" s="32"/>
      <c r="D156" s="32"/>
      <c r="E156" s="32"/>
      <c r="F156" s="32"/>
      <c r="G156" s="1340">
        <v>91</v>
      </c>
      <c r="H156" s="66" t="str">
        <f>'BID I'!B755</f>
        <v>Kekurangan Tambahan Penghasilan Perangkat Desa Dari BKK</v>
      </c>
      <c r="I156" s="513">
        <f>SUM('BID I'!F756:F759)</f>
        <v>14100000</v>
      </c>
      <c r="J156" s="66" t="s">
        <v>2638</v>
      </c>
      <c r="K156" s="497" t="s">
        <v>2988</v>
      </c>
      <c r="L156" s="470">
        <f>I156/12</f>
        <v>1175000</v>
      </c>
      <c r="M156" s="470">
        <v>1175000</v>
      </c>
      <c r="N156" s="470">
        <v>1175000</v>
      </c>
      <c r="O156" s="470">
        <v>1175000</v>
      </c>
      <c r="P156" s="470">
        <v>1175000</v>
      </c>
      <c r="Q156" s="470">
        <v>1175000</v>
      </c>
      <c r="R156" s="470">
        <v>1175000</v>
      </c>
      <c r="S156" s="470">
        <v>1175000</v>
      </c>
      <c r="T156" s="470">
        <v>1175000</v>
      </c>
      <c r="U156" s="470">
        <v>1175000</v>
      </c>
      <c r="V156" s="470">
        <v>1175000</v>
      </c>
      <c r="W156" s="470">
        <v>1175000</v>
      </c>
      <c r="X156" s="1750">
        <f t="shared" si="3"/>
        <v>14100000</v>
      </c>
      <c r="Y156" s="175">
        <f t="shared" si="5"/>
        <v>0</v>
      </c>
    </row>
    <row r="157" spans="1:25" ht="30" x14ac:dyDescent="0.25">
      <c r="A157" s="1344">
        <v>1</v>
      </c>
      <c r="B157" s="1344">
        <v>2</v>
      </c>
      <c r="C157" s="1344"/>
      <c r="D157" s="1344"/>
      <c r="E157" s="1344"/>
      <c r="F157" s="1344"/>
      <c r="G157" s="1346"/>
      <c r="H157" s="1345" t="str">
        <f>'BID I'!B777</f>
        <v>: Sarana dan Prasarana Pemerintah Desa</v>
      </c>
      <c r="I157" s="1350"/>
      <c r="J157" s="1345"/>
      <c r="K157" s="1344"/>
      <c r="L157" s="1344"/>
      <c r="M157" s="1344"/>
      <c r="N157" s="1344"/>
      <c r="O157" s="1344"/>
      <c r="P157" s="1344"/>
      <c r="Q157" s="1344"/>
      <c r="R157" s="1344"/>
      <c r="S157" s="1344"/>
      <c r="T157" s="1344"/>
      <c r="U157" s="1344"/>
      <c r="V157" s="1344"/>
      <c r="W157" s="1344"/>
      <c r="X157" s="1353">
        <f t="shared" si="3"/>
        <v>0</v>
      </c>
      <c r="Y157" s="175">
        <f t="shared" si="5"/>
        <v>0</v>
      </c>
    </row>
    <row r="158" spans="1:25" ht="30" x14ac:dyDescent="0.25">
      <c r="A158" s="1344">
        <v>1</v>
      </c>
      <c r="B158" s="1344">
        <v>2</v>
      </c>
      <c r="C158" s="1344">
        <v>1</v>
      </c>
      <c r="D158" s="1344"/>
      <c r="E158" s="1344"/>
      <c r="F158" s="1344"/>
      <c r="G158" s="1344"/>
      <c r="H158" s="1345" t="str">
        <f>'BID I'!B778</f>
        <v>: Penyediaan Aset Tetap (Prasarana Kantor Desa)</v>
      </c>
      <c r="I158" s="1347">
        <f>SUM(I159:I169)</f>
        <v>84962003.659999996</v>
      </c>
      <c r="J158" s="1345"/>
      <c r="K158" s="1347" t="s">
        <v>2988</v>
      </c>
      <c r="L158" s="1349"/>
      <c r="M158" s="1344"/>
      <c r="N158" s="1344"/>
      <c r="O158" s="1344"/>
      <c r="P158" s="1344"/>
      <c r="Q158" s="1344"/>
      <c r="R158" s="1344"/>
      <c r="S158" s="1344"/>
      <c r="T158" s="1344"/>
      <c r="U158" s="1344"/>
      <c r="V158" s="1344"/>
      <c r="W158" s="1344"/>
      <c r="X158" s="1353">
        <f t="shared" si="3"/>
        <v>0</v>
      </c>
      <c r="Y158" s="175">
        <f t="shared" si="5"/>
        <v>-84962003.659999996</v>
      </c>
    </row>
    <row r="159" spans="1:25" x14ac:dyDescent="0.25">
      <c r="A159" s="32"/>
      <c r="B159" s="32"/>
      <c r="C159" s="32"/>
      <c r="D159" s="32">
        <v>5</v>
      </c>
      <c r="E159" s="32">
        <v>3</v>
      </c>
      <c r="F159" s="32"/>
      <c r="G159" s="32"/>
      <c r="H159" s="66" t="str">
        <f>'BID I'!B783</f>
        <v>Belanja Modal</v>
      </c>
      <c r="I159" s="32"/>
      <c r="J159" s="66"/>
      <c r="K159" s="497" t="s">
        <v>2988</v>
      </c>
      <c r="L159" s="32"/>
      <c r="M159" s="32"/>
      <c r="N159" s="32"/>
      <c r="O159" s="32"/>
      <c r="P159" s="32"/>
      <c r="Q159" s="32"/>
      <c r="R159" s="32"/>
      <c r="S159" s="32"/>
      <c r="T159" s="32"/>
      <c r="U159" s="32"/>
      <c r="V159" s="32"/>
      <c r="W159" s="32"/>
      <c r="X159" s="1750">
        <f t="shared" si="3"/>
        <v>0</v>
      </c>
      <c r="Y159" s="175">
        <f t="shared" si="5"/>
        <v>0</v>
      </c>
    </row>
    <row r="160" spans="1:25" ht="30" x14ac:dyDescent="0.25">
      <c r="A160" s="32"/>
      <c r="B160" s="32"/>
      <c r="C160" s="32"/>
      <c r="D160" s="32"/>
      <c r="E160" s="32"/>
      <c r="F160" s="32">
        <v>2</v>
      </c>
      <c r="G160" s="32"/>
      <c r="H160" s="66" t="str">
        <f>'BID I'!B784</f>
        <v>Belanja Modal Peralatan, Mesin, dan Alat Berat</v>
      </c>
      <c r="I160" s="32"/>
      <c r="J160" s="66"/>
      <c r="K160" s="497" t="s">
        <v>2988</v>
      </c>
      <c r="L160" s="32"/>
      <c r="M160" s="32"/>
      <c r="N160" s="32"/>
      <c r="O160" s="32"/>
      <c r="P160" s="32"/>
      <c r="Q160" s="32"/>
      <c r="R160" s="32"/>
      <c r="S160" s="32"/>
      <c r="T160" s="32"/>
      <c r="U160" s="32"/>
      <c r="V160" s="32"/>
      <c r="W160" s="32"/>
      <c r="X160" s="1750">
        <f t="shared" ref="X160:X223" si="6">SUM(L160:W160)</f>
        <v>0</v>
      </c>
      <c r="Y160" s="175">
        <f t="shared" si="5"/>
        <v>0</v>
      </c>
    </row>
    <row r="161" spans="1:25" ht="45" x14ac:dyDescent="0.25">
      <c r="A161" s="32"/>
      <c r="B161" s="32"/>
      <c r="C161" s="32"/>
      <c r="D161" s="32"/>
      <c r="E161" s="32"/>
      <c r="F161" s="32"/>
      <c r="G161" s="1340" t="s">
        <v>2688</v>
      </c>
      <c r="H161" s="66" t="str">
        <f>'BID I'!B785</f>
        <v>Belanja modal honor tim yang melaksanakan kegiatan</v>
      </c>
      <c r="I161" s="174">
        <f>SUM('BID I'!F786:F788)</f>
        <v>750000</v>
      </c>
      <c r="J161" s="66" t="s">
        <v>2626</v>
      </c>
      <c r="K161" s="497" t="s">
        <v>2988</v>
      </c>
      <c r="L161" s="32"/>
      <c r="M161" s="32"/>
      <c r="N161" s="32"/>
      <c r="O161" s="32"/>
      <c r="P161" s="470">
        <v>750000</v>
      </c>
      <c r="Q161" s="32"/>
      <c r="R161" s="32"/>
      <c r="S161" s="32"/>
      <c r="T161" s="32"/>
      <c r="U161" s="32"/>
      <c r="V161" s="32"/>
      <c r="W161" s="32"/>
      <c r="X161" s="1750">
        <f t="shared" si="6"/>
        <v>750000</v>
      </c>
      <c r="Y161" s="175">
        <f t="shared" si="5"/>
        <v>0</v>
      </c>
    </row>
    <row r="162" spans="1:25" ht="45" x14ac:dyDescent="0.25">
      <c r="A162" s="32"/>
      <c r="B162" s="32"/>
      <c r="C162" s="32"/>
      <c r="D162" s="32"/>
      <c r="E162" s="32"/>
      <c r="F162" s="32"/>
      <c r="G162" s="1340" t="s">
        <v>2702</v>
      </c>
      <c r="H162" s="66" t="str">
        <f>'BID I'!B791</f>
        <v>Belanja Modal Peralatan elektronik dan Alat Studio</v>
      </c>
      <c r="I162" s="174">
        <f>'BID I'!F792</f>
        <v>2483689</v>
      </c>
      <c r="J162" s="66" t="s">
        <v>2639</v>
      </c>
      <c r="K162" s="497" t="s">
        <v>2988</v>
      </c>
      <c r="L162" s="32"/>
      <c r="M162" s="32"/>
      <c r="N162" s="32"/>
      <c r="O162" s="32"/>
      <c r="P162" s="470">
        <v>2483689</v>
      </c>
      <c r="Q162" s="32"/>
      <c r="R162" s="32"/>
      <c r="S162" s="32"/>
      <c r="T162" s="32"/>
      <c r="U162" s="32"/>
      <c r="V162" s="32"/>
      <c r="W162" s="32"/>
      <c r="X162" s="1750">
        <f t="shared" si="6"/>
        <v>2483689</v>
      </c>
      <c r="Y162" s="175">
        <f t="shared" si="5"/>
        <v>0</v>
      </c>
    </row>
    <row r="163" spans="1:25" ht="45" x14ac:dyDescent="0.25">
      <c r="A163" s="32"/>
      <c r="B163" s="32"/>
      <c r="C163" s="32"/>
      <c r="D163" s="32"/>
      <c r="E163" s="32"/>
      <c r="F163" s="32"/>
      <c r="G163" s="1340" t="s">
        <v>2702</v>
      </c>
      <c r="H163" s="66" t="str">
        <f>'BID I'!B791</f>
        <v>Belanja Modal Peralatan elektronik dan Alat Studio</v>
      </c>
      <c r="I163" s="174">
        <f>'BID I'!F793</f>
        <v>3527047</v>
      </c>
      <c r="J163" s="66" t="s">
        <v>2621</v>
      </c>
      <c r="K163" s="497" t="s">
        <v>2988</v>
      </c>
      <c r="L163" s="32"/>
      <c r="M163" s="32"/>
      <c r="N163" s="32"/>
      <c r="O163" s="32"/>
      <c r="P163" s="470">
        <v>3527047</v>
      </c>
      <c r="Q163" s="32"/>
      <c r="R163" s="32"/>
      <c r="S163" s="32"/>
      <c r="T163" s="32"/>
      <c r="U163" s="32"/>
      <c r="V163" s="32"/>
      <c r="W163" s="32"/>
      <c r="X163" s="1750">
        <f t="shared" si="6"/>
        <v>3527047</v>
      </c>
      <c r="Y163" s="175">
        <f t="shared" si="5"/>
        <v>0</v>
      </c>
    </row>
    <row r="164" spans="1:25" ht="45" x14ac:dyDescent="0.25">
      <c r="A164" s="32"/>
      <c r="B164" s="32"/>
      <c r="C164" s="32"/>
      <c r="D164" s="32"/>
      <c r="E164" s="32"/>
      <c r="F164" s="32"/>
      <c r="G164" s="1340" t="s">
        <v>2702</v>
      </c>
      <c r="H164" s="66" t="str">
        <f>'BID I'!B791</f>
        <v>Belanja Modal Peralatan elektronik dan Alat Studio</v>
      </c>
      <c r="I164" s="174">
        <f>'BID I'!F794</f>
        <v>16780704</v>
      </c>
      <c r="J164" s="66" t="s">
        <v>2620</v>
      </c>
      <c r="K164" s="497" t="s">
        <v>2988</v>
      </c>
      <c r="L164" s="32"/>
      <c r="M164" s="32"/>
      <c r="N164" s="32"/>
      <c r="O164" s="32"/>
      <c r="P164" s="470">
        <v>16780704</v>
      </c>
      <c r="Q164" s="32"/>
      <c r="R164" s="32"/>
      <c r="S164" s="32"/>
      <c r="T164" s="32"/>
      <c r="U164" s="32"/>
      <c r="V164" s="32"/>
      <c r="W164" s="32"/>
      <c r="X164" s="1750">
        <f t="shared" si="6"/>
        <v>16780704</v>
      </c>
      <c r="Y164" s="175">
        <f t="shared" si="5"/>
        <v>0</v>
      </c>
    </row>
    <row r="165" spans="1:25" ht="45" x14ac:dyDescent="0.25">
      <c r="A165" s="32"/>
      <c r="B165" s="32"/>
      <c r="C165" s="32"/>
      <c r="D165" s="32"/>
      <c r="E165" s="32"/>
      <c r="F165" s="32"/>
      <c r="G165" s="1340" t="s">
        <v>2702</v>
      </c>
      <c r="H165" s="66" t="str">
        <f>'BID I'!B791</f>
        <v>Belanja Modal Peralatan elektronik dan Alat Studio</v>
      </c>
      <c r="I165" s="174">
        <f>'BID I'!F796</f>
        <v>4290193</v>
      </c>
      <c r="J165" s="66" t="s">
        <v>2626</v>
      </c>
      <c r="K165" s="497" t="s">
        <v>2988</v>
      </c>
      <c r="L165" s="32"/>
      <c r="M165" s="32"/>
      <c r="N165" s="32"/>
      <c r="O165" s="32"/>
      <c r="P165" s="470">
        <v>4290193</v>
      </c>
      <c r="Q165" s="32"/>
      <c r="R165" s="32"/>
      <c r="S165" s="32"/>
      <c r="T165" s="32"/>
      <c r="U165" s="32"/>
      <c r="V165" s="32"/>
      <c r="W165" s="32"/>
      <c r="X165" s="1750">
        <f t="shared" si="6"/>
        <v>4290193</v>
      </c>
      <c r="Y165" s="175">
        <f t="shared" si="5"/>
        <v>0</v>
      </c>
    </row>
    <row r="166" spans="1:25" ht="45" x14ac:dyDescent="0.25">
      <c r="A166" s="32"/>
      <c r="B166" s="32"/>
      <c r="C166" s="32"/>
      <c r="D166" s="32"/>
      <c r="E166" s="32"/>
      <c r="F166" s="32"/>
      <c r="G166" s="1340" t="s">
        <v>2702</v>
      </c>
      <c r="H166" s="1352" t="str">
        <f>'BID I'!B791</f>
        <v>Belanja Modal Peralatan elektronik dan Alat Studio</v>
      </c>
      <c r="I166" s="174">
        <f>'BID I'!F795</f>
        <v>11000000</v>
      </c>
      <c r="J166" s="66" t="s">
        <v>1690</v>
      </c>
      <c r="K166" s="497" t="s">
        <v>2988</v>
      </c>
      <c r="L166" s="32"/>
      <c r="M166" s="32"/>
      <c r="N166" s="32"/>
      <c r="O166" s="32"/>
      <c r="P166" s="470">
        <v>11000000</v>
      </c>
      <c r="Q166" s="32"/>
      <c r="R166" s="32"/>
      <c r="S166" s="32"/>
      <c r="T166" s="32"/>
      <c r="U166" s="32"/>
      <c r="V166" s="32"/>
      <c r="W166" s="32"/>
      <c r="X166" s="1750">
        <f t="shared" si="6"/>
        <v>11000000</v>
      </c>
      <c r="Y166" s="175">
        <f t="shared" si="5"/>
        <v>0</v>
      </c>
    </row>
    <row r="167" spans="1:25" ht="45" x14ac:dyDescent="0.25">
      <c r="A167" s="32"/>
      <c r="B167" s="32"/>
      <c r="C167" s="32"/>
      <c r="D167" s="32"/>
      <c r="E167" s="32"/>
      <c r="F167" s="32"/>
      <c r="G167" s="1340" t="s">
        <v>2702</v>
      </c>
      <c r="H167" s="1352" t="str">
        <f>'BID I'!B791</f>
        <v>Belanja Modal Peralatan elektronik dan Alat Studio</v>
      </c>
      <c r="I167" s="174">
        <f>'BID I'!F797</f>
        <v>25000000</v>
      </c>
      <c r="J167" s="66" t="s">
        <v>2623</v>
      </c>
      <c r="K167" s="497" t="s">
        <v>2988</v>
      </c>
      <c r="L167" s="32"/>
      <c r="M167" s="32"/>
      <c r="N167" s="32"/>
      <c r="O167" s="32"/>
      <c r="P167" s="470">
        <v>25000000</v>
      </c>
      <c r="Q167" s="32"/>
      <c r="R167" s="32"/>
      <c r="S167" s="32"/>
      <c r="T167" s="32"/>
      <c r="U167" s="32"/>
      <c r="V167" s="32"/>
      <c r="W167" s="32"/>
      <c r="X167" s="1750">
        <f t="shared" si="6"/>
        <v>25000000</v>
      </c>
      <c r="Y167" s="175">
        <f t="shared" si="5"/>
        <v>0</v>
      </c>
    </row>
    <row r="168" spans="1:25" ht="45" x14ac:dyDescent="0.25">
      <c r="A168" s="32"/>
      <c r="B168" s="32"/>
      <c r="C168" s="32"/>
      <c r="D168" s="32"/>
      <c r="E168" s="32"/>
      <c r="F168" s="32"/>
      <c r="G168" s="1340" t="s">
        <v>2704</v>
      </c>
      <c r="H168" s="1352" t="str">
        <f>'BID I'!B798</f>
        <v>Belanja Modal Peralatan mebeulair dan Aksesori ruangan</v>
      </c>
      <c r="I168" s="174">
        <f>SUM('BID I'!F799:F800)</f>
        <v>10630370.66</v>
      </c>
      <c r="J168" s="66" t="s">
        <v>2635</v>
      </c>
      <c r="K168" s="497" t="s">
        <v>2988</v>
      </c>
      <c r="L168" s="32"/>
      <c r="M168" s="32"/>
      <c r="N168" s="32"/>
      <c r="O168" s="32"/>
      <c r="P168" s="470">
        <v>10630370.66</v>
      </c>
      <c r="Q168" s="32"/>
      <c r="R168" s="32"/>
      <c r="S168" s="32"/>
      <c r="T168" s="32"/>
      <c r="U168" s="32"/>
      <c r="V168" s="32"/>
      <c r="W168" s="32"/>
      <c r="X168" s="1750">
        <f t="shared" si="6"/>
        <v>10630370.66</v>
      </c>
      <c r="Y168" s="175">
        <f t="shared" si="5"/>
        <v>0</v>
      </c>
    </row>
    <row r="169" spans="1:25" ht="45" x14ac:dyDescent="0.25">
      <c r="A169" s="32"/>
      <c r="B169" s="32"/>
      <c r="C169" s="32"/>
      <c r="D169" s="32"/>
      <c r="E169" s="32"/>
      <c r="F169" s="32"/>
      <c r="G169" s="1340" t="s">
        <v>2704</v>
      </c>
      <c r="H169" s="66" t="str">
        <f>'BID I'!B798</f>
        <v>Belanja Modal Peralatan mebeulair dan Aksesori ruangan</v>
      </c>
      <c r="I169" s="174">
        <f>'BID I'!F801</f>
        <v>10500000</v>
      </c>
      <c r="J169" s="66" t="s">
        <v>1690</v>
      </c>
      <c r="K169" s="497" t="s">
        <v>2988</v>
      </c>
      <c r="L169" s="32"/>
      <c r="M169" s="32"/>
      <c r="N169" s="32"/>
      <c r="O169" s="32"/>
      <c r="P169" s="470">
        <v>10500000</v>
      </c>
      <c r="Q169" s="32"/>
      <c r="R169" s="32"/>
      <c r="S169" s="32"/>
      <c r="T169" s="32"/>
      <c r="U169" s="32"/>
      <c r="V169" s="32"/>
      <c r="W169" s="32"/>
      <c r="X169" s="1750">
        <f t="shared" si="6"/>
        <v>10500000</v>
      </c>
      <c r="Y169" s="175">
        <f t="shared" si="5"/>
        <v>0</v>
      </c>
    </row>
    <row r="170" spans="1:25" ht="45" x14ac:dyDescent="0.25">
      <c r="A170" s="1344">
        <v>1</v>
      </c>
      <c r="B170" s="1344">
        <v>2</v>
      </c>
      <c r="C170" s="1346" t="s">
        <v>2702</v>
      </c>
      <c r="D170" s="1344"/>
      <c r="E170" s="1344"/>
      <c r="F170" s="1344"/>
      <c r="G170" s="1344"/>
      <c r="H170" s="1345" t="str">
        <f>'Penjabaran APBDesa'!H180</f>
        <v>Pemeliharaan Gedung/Prasarana Kantor Desa (Ruang Rapat)</v>
      </c>
      <c r="I170" s="1347">
        <f>SUM(I171:I174)</f>
        <v>45676945</v>
      </c>
      <c r="J170" s="1345" t="s">
        <v>2626</v>
      </c>
      <c r="K170" s="1796" t="s">
        <v>3030</v>
      </c>
      <c r="L170" s="1344"/>
      <c r="M170" s="1344"/>
      <c r="N170" s="1344"/>
      <c r="O170" s="1344"/>
      <c r="P170" s="1344"/>
      <c r="Q170" s="1344"/>
      <c r="R170" s="1344"/>
      <c r="S170" s="1344"/>
      <c r="T170" s="1344"/>
      <c r="U170" s="1344"/>
      <c r="V170" s="1344"/>
      <c r="W170" s="1344"/>
      <c r="X170" s="1353">
        <f t="shared" si="6"/>
        <v>0</v>
      </c>
      <c r="Y170" s="175">
        <f t="shared" ref="Y170:Y233" si="7">X170-I170</f>
        <v>-45676945</v>
      </c>
    </row>
    <row r="171" spans="1:25" ht="30" x14ac:dyDescent="0.25">
      <c r="A171" s="32"/>
      <c r="B171" s="32"/>
      <c r="C171" s="32"/>
      <c r="D171" s="32">
        <v>5</v>
      </c>
      <c r="E171" s="32">
        <v>3</v>
      </c>
      <c r="F171" s="32"/>
      <c r="G171" s="32"/>
      <c r="H171" s="66" t="str">
        <f>'Penjabaran APBDesa'!H181</f>
        <v>Belanja Modal</v>
      </c>
      <c r="I171" s="32"/>
      <c r="J171" s="66"/>
      <c r="K171" s="1797" t="s">
        <v>3030</v>
      </c>
      <c r="L171" s="32"/>
      <c r="M171" s="32"/>
      <c r="N171" s="32"/>
      <c r="O171" s="32"/>
      <c r="P171" s="32"/>
      <c r="Q171" s="32"/>
      <c r="R171" s="32"/>
      <c r="S171" s="32"/>
      <c r="T171" s="32"/>
      <c r="U171" s="32"/>
      <c r="V171" s="32"/>
      <c r="W171" s="32"/>
      <c r="X171" s="1750">
        <f t="shared" si="6"/>
        <v>0</v>
      </c>
      <c r="Y171" s="175">
        <f t="shared" si="7"/>
        <v>0</v>
      </c>
    </row>
    <row r="172" spans="1:25" ht="30" x14ac:dyDescent="0.25">
      <c r="A172" s="32"/>
      <c r="B172" s="32"/>
      <c r="C172" s="32"/>
      <c r="D172" s="32"/>
      <c r="E172" s="32"/>
      <c r="F172" s="32">
        <v>4</v>
      </c>
      <c r="G172" s="32"/>
      <c r="H172" s="66" t="str">
        <f>'Penjabaran APBDesa'!H182</f>
        <v>Belanja modal Gedung, Bangunan, Tanaman</v>
      </c>
      <c r="I172" s="32"/>
      <c r="J172" s="66"/>
      <c r="K172" s="1797" t="s">
        <v>3030</v>
      </c>
      <c r="L172" s="32"/>
      <c r="M172" s="32"/>
      <c r="N172" s="32"/>
      <c r="O172" s="32"/>
      <c r="P172" s="32"/>
      <c r="Q172" s="32"/>
      <c r="R172" s="32"/>
      <c r="S172" s="32"/>
      <c r="T172" s="32"/>
      <c r="U172" s="32"/>
      <c r="V172" s="32"/>
      <c r="W172" s="32"/>
      <c r="X172" s="1750">
        <f t="shared" si="6"/>
        <v>0</v>
      </c>
      <c r="Y172" s="175">
        <f t="shared" si="7"/>
        <v>0</v>
      </c>
    </row>
    <row r="173" spans="1:25" ht="45" x14ac:dyDescent="0.25">
      <c r="A173" s="32"/>
      <c r="B173" s="32"/>
      <c r="C173" s="32"/>
      <c r="D173" s="32"/>
      <c r="E173" s="32"/>
      <c r="F173" s="32"/>
      <c r="G173" s="1340" t="s">
        <v>2688</v>
      </c>
      <c r="H173" s="66" t="str">
        <f>'Penjabaran APBDesa'!H183</f>
        <v>Belanja modal oprasional tim yang melaksanakan kegiatan</v>
      </c>
      <c r="I173" s="174">
        <f>'Penjabaran APBDesa'!K183</f>
        <v>890000</v>
      </c>
      <c r="J173" s="66" t="s">
        <v>2626</v>
      </c>
      <c r="K173" s="1797" t="s">
        <v>3030</v>
      </c>
      <c r="L173" s="32"/>
      <c r="M173" s="32"/>
      <c r="N173" s="497">
        <v>890000</v>
      </c>
      <c r="O173" s="32"/>
      <c r="P173" s="32"/>
      <c r="Q173" s="32"/>
      <c r="R173" s="32"/>
      <c r="S173" s="32"/>
      <c r="T173" s="32"/>
      <c r="U173" s="32"/>
      <c r="V173" s="32"/>
      <c r="W173" s="32"/>
      <c r="X173" s="1750">
        <f t="shared" si="6"/>
        <v>890000</v>
      </c>
      <c r="Y173" s="175">
        <f t="shared" si="7"/>
        <v>0</v>
      </c>
    </row>
    <row r="174" spans="1:25" ht="30" x14ac:dyDescent="0.25">
      <c r="A174" s="32"/>
      <c r="B174" s="32"/>
      <c r="C174" s="32"/>
      <c r="D174" s="32"/>
      <c r="E174" s="32"/>
      <c r="F174" s="32"/>
      <c r="G174" s="1340" t="s">
        <v>2703</v>
      </c>
      <c r="H174" s="66" t="str">
        <f>'Penjabaran APBDesa'!H184</f>
        <v>Belanja modal bahan baku</v>
      </c>
      <c r="I174" s="174">
        <f>'Penjabaran APBDesa'!K184</f>
        <v>44786945</v>
      </c>
      <c r="J174" s="66" t="s">
        <v>2626</v>
      </c>
      <c r="K174" s="1797" t="s">
        <v>3030</v>
      </c>
      <c r="L174" s="32"/>
      <c r="M174" s="32"/>
      <c r="N174" s="497">
        <v>44786945</v>
      </c>
      <c r="O174" s="32"/>
      <c r="P174" s="32"/>
      <c r="Q174" s="32"/>
      <c r="R174" s="32"/>
      <c r="S174" s="32"/>
      <c r="T174" s="32"/>
      <c r="U174" s="32"/>
      <c r="V174" s="32"/>
      <c r="W174" s="32"/>
      <c r="X174" s="1750">
        <f t="shared" si="6"/>
        <v>44786945</v>
      </c>
      <c r="Y174" s="175">
        <f t="shared" si="7"/>
        <v>0</v>
      </c>
    </row>
    <row r="175" spans="1:25" ht="60" x14ac:dyDescent="0.25">
      <c r="A175" s="1344">
        <v>1</v>
      </c>
      <c r="B175" s="1344">
        <v>2</v>
      </c>
      <c r="C175" s="1346" t="s">
        <v>2702</v>
      </c>
      <c r="D175" s="1344"/>
      <c r="E175" s="1344"/>
      <c r="F175" s="1344"/>
      <c r="G175" s="1344"/>
      <c r="H175" s="1345" t="str">
        <f>'BID I'!B853:B853</f>
        <v xml:space="preserve">Pemeliharaan Gedung/Prasarana Kantor Desa (Pengelasan Atap Parkir) </v>
      </c>
      <c r="I175" s="1347">
        <f>SUM(I176:I179)</f>
        <v>22899750</v>
      </c>
      <c r="J175" s="1345" t="s">
        <v>2626</v>
      </c>
      <c r="K175" s="1796" t="s">
        <v>3030</v>
      </c>
      <c r="L175" s="1344"/>
      <c r="M175" s="1344"/>
      <c r="N175" s="1344"/>
      <c r="O175" s="1344"/>
      <c r="P175" s="1344"/>
      <c r="Q175" s="1344"/>
      <c r="R175" s="1344"/>
      <c r="S175" s="1344"/>
      <c r="T175" s="1344"/>
      <c r="U175" s="1344"/>
      <c r="V175" s="1344"/>
      <c r="W175" s="1344"/>
      <c r="X175" s="1353">
        <f t="shared" si="6"/>
        <v>0</v>
      </c>
      <c r="Y175" s="175">
        <f t="shared" si="7"/>
        <v>-22899750</v>
      </c>
    </row>
    <row r="176" spans="1:25" ht="30" x14ac:dyDescent="0.25">
      <c r="A176" s="32"/>
      <c r="B176" s="32"/>
      <c r="C176" s="32"/>
      <c r="D176" s="32">
        <v>5</v>
      </c>
      <c r="E176" s="32">
        <v>3</v>
      </c>
      <c r="F176" s="32"/>
      <c r="G176" s="32"/>
      <c r="H176" s="66" t="str">
        <f>'BID I'!B860</f>
        <v>Belanja Modal</v>
      </c>
      <c r="I176" s="32"/>
      <c r="J176" s="66"/>
      <c r="K176" s="1797" t="s">
        <v>3030</v>
      </c>
      <c r="L176" s="32"/>
      <c r="M176" s="32"/>
      <c r="N176" s="32"/>
      <c r="O176" s="32"/>
      <c r="P176" s="32"/>
      <c r="Q176" s="32"/>
      <c r="R176" s="32"/>
      <c r="S176" s="32"/>
      <c r="T176" s="32"/>
      <c r="U176" s="32"/>
      <c r="V176" s="32"/>
      <c r="W176" s="32"/>
      <c r="X176" s="1750">
        <f t="shared" si="6"/>
        <v>0</v>
      </c>
      <c r="Y176" s="175">
        <f t="shared" si="7"/>
        <v>0</v>
      </c>
    </row>
    <row r="177" spans="1:25" ht="30" x14ac:dyDescent="0.25">
      <c r="A177" s="32"/>
      <c r="B177" s="32"/>
      <c r="C177" s="32"/>
      <c r="D177" s="32"/>
      <c r="E177" s="32"/>
      <c r="F177" s="32">
        <v>4</v>
      </c>
      <c r="G177" s="32"/>
      <c r="H177" s="66" t="str">
        <f>'BID I'!B861</f>
        <v>Belanja modal Gedung, Bangunan, Tanaman</v>
      </c>
      <c r="I177" s="32"/>
      <c r="J177" s="66"/>
      <c r="K177" s="1797" t="s">
        <v>3030</v>
      </c>
      <c r="L177" s="32"/>
      <c r="M177" s="32"/>
      <c r="N177" s="32"/>
      <c r="O177" s="32"/>
      <c r="P177" s="32"/>
      <c r="Q177" s="32"/>
      <c r="R177" s="32"/>
      <c r="S177" s="32"/>
      <c r="T177" s="32"/>
      <c r="U177" s="32"/>
      <c r="V177" s="32"/>
      <c r="W177" s="32"/>
      <c r="X177" s="1750">
        <f t="shared" si="6"/>
        <v>0</v>
      </c>
      <c r="Y177" s="175">
        <f t="shared" si="7"/>
        <v>0</v>
      </c>
    </row>
    <row r="178" spans="1:25" ht="45" x14ac:dyDescent="0.25">
      <c r="A178" s="32"/>
      <c r="B178" s="32"/>
      <c r="C178" s="32"/>
      <c r="D178" s="32"/>
      <c r="E178" s="32"/>
      <c r="F178" s="32"/>
      <c r="G178" s="1340" t="s">
        <v>2688</v>
      </c>
      <c r="H178" s="66" t="str">
        <f>'BID I'!B862</f>
        <v>Belanja modal oprasional tim yang melaksanakan kegiatan</v>
      </c>
      <c r="I178" s="174">
        <f>'BID I'!F864</f>
        <v>449000</v>
      </c>
      <c r="J178" s="66" t="s">
        <v>2626</v>
      </c>
      <c r="K178" s="1797" t="s">
        <v>3030</v>
      </c>
      <c r="L178" s="32"/>
      <c r="M178" s="470">
        <v>449000</v>
      </c>
      <c r="N178" s="32"/>
      <c r="O178" s="32"/>
      <c r="P178" s="32"/>
      <c r="Q178" s="32"/>
      <c r="R178" s="32"/>
      <c r="S178" s="32"/>
      <c r="T178" s="32"/>
      <c r="U178" s="32"/>
      <c r="V178" s="32"/>
      <c r="W178" s="32"/>
      <c r="X178" s="1750">
        <f t="shared" si="6"/>
        <v>449000</v>
      </c>
      <c r="Y178" s="175">
        <f t="shared" si="7"/>
        <v>0</v>
      </c>
    </row>
    <row r="179" spans="1:25" ht="30" x14ac:dyDescent="0.25">
      <c r="A179" s="32"/>
      <c r="B179" s="32"/>
      <c r="C179" s="32"/>
      <c r="D179" s="32"/>
      <c r="E179" s="32"/>
      <c r="F179" s="32"/>
      <c r="G179" s="1340" t="s">
        <v>2703</v>
      </c>
      <c r="H179" s="32" t="str">
        <f>'BID I'!B865</f>
        <v>Belanja modal bahan baku</v>
      </c>
      <c r="I179" s="174">
        <f>'BID I'!F869</f>
        <v>22450750</v>
      </c>
      <c r="J179" s="66" t="s">
        <v>2626</v>
      </c>
      <c r="K179" s="1797" t="s">
        <v>3030</v>
      </c>
      <c r="L179" s="32"/>
      <c r="M179" s="470">
        <v>22450750</v>
      </c>
      <c r="N179" s="32"/>
      <c r="O179" s="32"/>
      <c r="P179" s="32"/>
      <c r="Q179" s="32"/>
      <c r="R179" s="32"/>
      <c r="S179" s="32"/>
      <c r="T179" s="32"/>
      <c r="U179" s="32"/>
      <c r="V179" s="32"/>
      <c r="W179" s="32"/>
      <c r="X179" s="1750">
        <f t="shared" si="6"/>
        <v>22450750</v>
      </c>
      <c r="Y179" s="175">
        <f t="shared" si="7"/>
        <v>0</v>
      </c>
    </row>
    <row r="180" spans="1:25" ht="90" x14ac:dyDescent="0.25">
      <c r="A180" s="1344">
        <v>1</v>
      </c>
      <c r="B180" s="1344">
        <v>2</v>
      </c>
      <c r="C180" s="1346" t="s">
        <v>2702</v>
      </c>
      <c r="D180" s="1344"/>
      <c r="E180" s="1344"/>
      <c r="F180" s="1344"/>
      <c r="G180" s="1344"/>
      <c r="H180" s="1345" t="str">
        <f>'BID I'!B884</f>
        <v>Pemeliharaan/ Rehabilitasi/ Peningkatan Gedung/ Prasarana Kantor Desa (Penataan Kebun dan Vertical Garden)</v>
      </c>
      <c r="I180" s="1347">
        <f>SUM(I181:I185)</f>
        <v>32007000</v>
      </c>
      <c r="J180" s="1345" t="s">
        <v>2627</v>
      </c>
      <c r="K180" s="1796" t="s">
        <v>3030</v>
      </c>
      <c r="L180" s="1344"/>
      <c r="M180" s="1344"/>
      <c r="N180" s="1344"/>
      <c r="O180" s="1344"/>
      <c r="P180" s="1344"/>
      <c r="Q180" s="1344"/>
      <c r="R180" s="1344"/>
      <c r="S180" s="1344"/>
      <c r="T180" s="1344"/>
      <c r="U180" s="1344"/>
      <c r="V180" s="1344"/>
      <c r="W180" s="1344"/>
      <c r="X180" s="1353">
        <f t="shared" si="6"/>
        <v>0</v>
      </c>
      <c r="Y180" s="175">
        <f t="shared" si="7"/>
        <v>-32007000</v>
      </c>
    </row>
    <row r="181" spans="1:25" ht="30" x14ac:dyDescent="0.25">
      <c r="A181" s="32"/>
      <c r="B181" s="32"/>
      <c r="C181" s="32"/>
      <c r="D181" s="32">
        <v>5</v>
      </c>
      <c r="E181" s="32">
        <v>3</v>
      </c>
      <c r="F181" s="32"/>
      <c r="G181" s="32"/>
      <c r="H181" s="66" t="str">
        <f>'BID I'!B891</f>
        <v>Belanja Modal</v>
      </c>
      <c r="I181" s="32"/>
      <c r="J181" s="66"/>
      <c r="K181" s="1797" t="s">
        <v>3030</v>
      </c>
      <c r="L181" s="32"/>
      <c r="M181" s="32"/>
      <c r="N181" s="32"/>
      <c r="O181" s="32"/>
      <c r="P181" s="32"/>
      <c r="Q181" s="32"/>
      <c r="R181" s="32"/>
      <c r="S181" s="32"/>
      <c r="T181" s="32"/>
      <c r="U181" s="32"/>
      <c r="V181" s="32"/>
      <c r="W181" s="32"/>
      <c r="X181" s="1750">
        <f t="shared" si="6"/>
        <v>0</v>
      </c>
      <c r="Y181" s="175">
        <f t="shared" si="7"/>
        <v>0</v>
      </c>
    </row>
    <row r="182" spans="1:25" ht="30" x14ac:dyDescent="0.25">
      <c r="A182" s="32"/>
      <c r="B182" s="32"/>
      <c r="C182" s="32"/>
      <c r="D182" s="32"/>
      <c r="E182" s="32"/>
      <c r="F182" s="32">
        <v>4</v>
      </c>
      <c r="G182" s="32"/>
      <c r="H182" s="66" t="str">
        <f>'BID I'!B892</f>
        <v>Belanja modal Gedung, Bangunan, Tanaman</v>
      </c>
      <c r="I182" s="32"/>
      <c r="J182" s="66"/>
      <c r="K182" s="1797" t="s">
        <v>3030</v>
      </c>
      <c r="L182" s="32"/>
      <c r="M182" s="32"/>
      <c r="N182" s="32"/>
      <c r="O182" s="32"/>
      <c r="P182" s="32"/>
      <c r="Q182" s="32"/>
      <c r="R182" s="32"/>
      <c r="S182" s="32"/>
      <c r="T182" s="32"/>
      <c r="U182" s="32"/>
      <c r="V182" s="32"/>
      <c r="W182" s="32"/>
      <c r="X182" s="1750">
        <f t="shared" si="6"/>
        <v>0</v>
      </c>
      <c r="Y182" s="175">
        <f t="shared" si="7"/>
        <v>0</v>
      </c>
    </row>
    <row r="183" spans="1:25" ht="45" x14ac:dyDescent="0.25">
      <c r="A183" s="32"/>
      <c r="B183" s="32"/>
      <c r="C183" s="32"/>
      <c r="D183" s="32"/>
      <c r="E183" s="32"/>
      <c r="F183" s="32"/>
      <c r="G183" s="1340" t="s">
        <v>2688</v>
      </c>
      <c r="H183" s="66" t="str">
        <f>'BID I'!B893</f>
        <v>Belanja modal oprasional tim yang melaksanakan kegiatan</v>
      </c>
      <c r="I183" s="174">
        <f>'BID I'!F895</f>
        <v>627000</v>
      </c>
      <c r="J183" s="66" t="s">
        <v>2627</v>
      </c>
      <c r="K183" s="1797" t="s">
        <v>3030</v>
      </c>
      <c r="L183" s="32"/>
      <c r="M183" s="32"/>
      <c r="N183" s="470">
        <v>627000</v>
      </c>
      <c r="O183" s="32"/>
      <c r="P183" s="32"/>
      <c r="Q183" s="32"/>
      <c r="R183" s="32"/>
      <c r="S183" s="32"/>
      <c r="T183" s="32"/>
      <c r="U183" s="32"/>
      <c r="V183" s="32"/>
      <c r="W183" s="32"/>
      <c r="X183" s="1750">
        <f t="shared" si="6"/>
        <v>627000</v>
      </c>
      <c r="Y183" s="175">
        <f t="shared" si="7"/>
        <v>0</v>
      </c>
    </row>
    <row r="184" spans="1:25" ht="30" x14ac:dyDescent="0.25">
      <c r="A184" s="32"/>
      <c r="B184" s="32"/>
      <c r="C184" s="32"/>
      <c r="D184" s="32"/>
      <c r="E184" s="32"/>
      <c r="F184" s="32"/>
      <c r="G184" s="1340" t="s">
        <v>2702</v>
      </c>
      <c r="H184" s="66" t="str">
        <f>'BID I'!B896</f>
        <v>Belanja modal upah tenaga kerja</v>
      </c>
      <c r="I184" s="174">
        <f>'BID I'!F899</f>
        <v>2600000</v>
      </c>
      <c r="J184" s="66" t="s">
        <v>2627</v>
      </c>
      <c r="K184" s="1797" t="s">
        <v>3030</v>
      </c>
      <c r="L184" s="32"/>
      <c r="M184" s="32"/>
      <c r="N184" s="470">
        <v>2600000</v>
      </c>
      <c r="O184" s="32"/>
      <c r="P184" s="32"/>
      <c r="Q184" s="32"/>
      <c r="R184" s="32"/>
      <c r="S184" s="32"/>
      <c r="T184" s="32"/>
      <c r="U184" s="32"/>
      <c r="V184" s="32"/>
      <c r="W184" s="32"/>
      <c r="X184" s="1750">
        <f t="shared" si="6"/>
        <v>2600000</v>
      </c>
      <c r="Y184" s="175">
        <f t="shared" si="7"/>
        <v>0</v>
      </c>
    </row>
    <row r="185" spans="1:25" ht="30" x14ac:dyDescent="0.25">
      <c r="A185" s="32"/>
      <c r="B185" s="32"/>
      <c r="C185" s="32"/>
      <c r="D185" s="32"/>
      <c r="E185" s="32"/>
      <c r="F185" s="32"/>
      <c r="G185" s="1340" t="s">
        <v>2703</v>
      </c>
      <c r="H185" s="66" t="str">
        <f>'BID I'!B900</f>
        <v>Belanja modal bahan baku</v>
      </c>
      <c r="I185" s="174">
        <f>'BID I'!F904</f>
        <v>28780000</v>
      </c>
      <c r="J185" s="66" t="s">
        <v>2627</v>
      </c>
      <c r="K185" s="1797" t="s">
        <v>3030</v>
      </c>
      <c r="L185" s="32"/>
      <c r="M185" s="32"/>
      <c r="N185" s="470">
        <v>28780000</v>
      </c>
      <c r="O185" s="32"/>
      <c r="P185" s="32"/>
      <c r="Q185" s="32"/>
      <c r="R185" s="32"/>
      <c r="S185" s="32"/>
      <c r="T185" s="32"/>
      <c r="U185" s="32"/>
      <c r="V185" s="32"/>
      <c r="W185" s="32"/>
      <c r="X185" s="1750">
        <f t="shared" si="6"/>
        <v>28780000</v>
      </c>
      <c r="Y185" s="175">
        <f t="shared" si="7"/>
        <v>0</v>
      </c>
    </row>
    <row r="186" spans="1:25" ht="75" x14ac:dyDescent="0.25">
      <c r="A186" s="1344">
        <v>1</v>
      </c>
      <c r="B186" s="1344">
        <v>3</v>
      </c>
      <c r="C186" s="1346" t="s">
        <v>2702</v>
      </c>
      <c r="D186" s="1344"/>
      <c r="E186" s="1344"/>
      <c r="F186" s="1344"/>
      <c r="G186" s="1344"/>
      <c r="H186" s="1345" t="str">
        <f>'BID I'!B919</f>
        <v>: Penyusunan/ Pendataan/Pemuktahiran Profil Desa (Profil Kependudukan dan potensi Desa )</v>
      </c>
      <c r="I186" s="1347">
        <f>SUM(I187:I198)</f>
        <v>51506000</v>
      </c>
      <c r="J186" s="1345" t="s">
        <v>2627</v>
      </c>
      <c r="K186" s="1345" t="s">
        <v>2992</v>
      </c>
      <c r="L186" s="1344"/>
      <c r="M186" s="1344"/>
      <c r="N186" s="1344"/>
      <c r="O186" s="1344"/>
      <c r="P186" s="1344"/>
      <c r="Q186" s="1344"/>
      <c r="R186" s="1344"/>
      <c r="S186" s="1344"/>
      <c r="T186" s="1344"/>
      <c r="U186" s="1344"/>
      <c r="V186" s="1344"/>
      <c r="W186" s="1344"/>
      <c r="X186" s="1353">
        <f t="shared" si="6"/>
        <v>0</v>
      </c>
      <c r="Y186" s="175">
        <f t="shared" si="7"/>
        <v>-51506000</v>
      </c>
    </row>
    <row r="187" spans="1:25" ht="30" x14ac:dyDescent="0.25">
      <c r="A187" s="32"/>
      <c r="B187" s="32"/>
      <c r="C187" s="32"/>
      <c r="D187" s="32">
        <v>5</v>
      </c>
      <c r="E187" s="32">
        <v>2</v>
      </c>
      <c r="F187" s="32"/>
      <c r="G187" s="32"/>
      <c r="H187" s="66" t="str">
        <f>'BID I'!B927</f>
        <v>Belanja Barang Jasa</v>
      </c>
      <c r="I187" s="32"/>
      <c r="J187" s="66"/>
      <c r="K187" s="66" t="s">
        <v>2992</v>
      </c>
      <c r="L187" s="32"/>
      <c r="M187" s="32"/>
      <c r="N187" s="32"/>
      <c r="O187" s="32"/>
      <c r="P187" s="32"/>
      <c r="Q187" s="32"/>
      <c r="R187" s="32"/>
      <c r="S187" s="32"/>
      <c r="T187" s="32"/>
      <c r="U187" s="32"/>
      <c r="V187" s="32"/>
      <c r="W187" s="32"/>
      <c r="X187" s="1750">
        <f t="shared" si="6"/>
        <v>0</v>
      </c>
      <c r="Y187" s="175">
        <f t="shared" si="7"/>
        <v>0</v>
      </c>
    </row>
    <row r="188" spans="1:25" ht="30" x14ac:dyDescent="0.25">
      <c r="A188" s="32"/>
      <c r="B188" s="32"/>
      <c r="C188" s="32"/>
      <c r="D188" s="32"/>
      <c r="E188" s="32"/>
      <c r="F188" s="32">
        <v>1</v>
      </c>
      <c r="G188" s="32"/>
      <c r="H188" s="66" t="str">
        <f>'BID I'!B928</f>
        <v>Belanja Barang Perlengkapan</v>
      </c>
      <c r="I188" s="32"/>
      <c r="J188" s="66"/>
      <c r="K188" s="66" t="s">
        <v>2992</v>
      </c>
      <c r="L188" s="32"/>
      <c r="M188" s="32"/>
      <c r="N188" s="32"/>
      <c r="O188" s="32"/>
      <c r="P188" s="32"/>
      <c r="Q188" s="32"/>
      <c r="R188" s="32"/>
      <c r="S188" s="32"/>
      <c r="T188" s="32"/>
      <c r="U188" s="32"/>
      <c r="V188" s="32"/>
      <c r="W188" s="32"/>
      <c r="X188" s="1750">
        <f t="shared" si="6"/>
        <v>0</v>
      </c>
      <c r="Y188" s="175">
        <f t="shared" si="7"/>
        <v>0</v>
      </c>
    </row>
    <row r="189" spans="1:25" ht="30" x14ac:dyDescent="0.25">
      <c r="A189" s="32"/>
      <c r="B189" s="32"/>
      <c r="C189" s="32"/>
      <c r="D189" s="32"/>
      <c r="E189" s="32"/>
      <c r="F189" s="32"/>
      <c r="G189" s="1340" t="s">
        <v>2705</v>
      </c>
      <c r="H189" s="66" t="str">
        <f>'BID I'!B929</f>
        <v>Belanja Perlengkapan Barang Konsumsi</v>
      </c>
      <c r="I189" s="174">
        <f>'BID I'!F930</f>
        <v>750000</v>
      </c>
      <c r="J189" s="66" t="s">
        <v>2627</v>
      </c>
      <c r="K189" s="66" t="s">
        <v>2992</v>
      </c>
      <c r="L189" s="32"/>
      <c r="M189" s="32"/>
      <c r="N189" s="32"/>
      <c r="O189" s="32"/>
      <c r="P189" s="32"/>
      <c r="Q189" s="32"/>
      <c r="R189" s="32"/>
      <c r="S189" s="32"/>
      <c r="T189" s="32"/>
      <c r="U189" s="32"/>
      <c r="V189" s="470">
        <v>750000</v>
      </c>
      <c r="W189" s="32"/>
      <c r="X189" s="1750">
        <f t="shared" si="6"/>
        <v>750000</v>
      </c>
      <c r="Y189" s="175">
        <f t="shared" si="7"/>
        <v>0</v>
      </c>
    </row>
    <row r="190" spans="1:25" ht="30" x14ac:dyDescent="0.25">
      <c r="A190" s="32"/>
      <c r="B190" s="32"/>
      <c r="C190" s="32"/>
      <c r="D190" s="32"/>
      <c r="E190" s="32"/>
      <c r="F190" s="32"/>
      <c r="G190" s="1340" t="s">
        <v>2707</v>
      </c>
      <c r="H190" s="66" t="str">
        <f>'BID I'!B932</f>
        <v>Belanja Bendera/ Umbul-umbul/ Spanduk</v>
      </c>
      <c r="I190" s="174">
        <f>'BID I'!F933</f>
        <v>90000</v>
      </c>
      <c r="J190" s="66" t="s">
        <v>2627</v>
      </c>
      <c r="K190" s="66" t="s">
        <v>2992</v>
      </c>
      <c r="L190" s="32"/>
      <c r="M190" s="32"/>
      <c r="N190" s="32"/>
      <c r="O190" s="32"/>
      <c r="P190" s="32"/>
      <c r="Q190" s="32"/>
      <c r="R190" s="32"/>
      <c r="S190" s="32"/>
      <c r="T190" s="32"/>
      <c r="U190" s="32"/>
      <c r="V190" s="470">
        <v>90000</v>
      </c>
      <c r="W190" s="32"/>
      <c r="X190" s="1750">
        <f t="shared" si="6"/>
        <v>90000</v>
      </c>
      <c r="Y190" s="175">
        <f t="shared" si="7"/>
        <v>0</v>
      </c>
    </row>
    <row r="191" spans="1:25" ht="30" x14ac:dyDescent="0.25">
      <c r="A191" s="32"/>
      <c r="B191" s="32"/>
      <c r="C191" s="32"/>
      <c r="D191" s="32"/>
      <c r="E191" s="32"/>
      <c r="F191" s="32"/>
      <c r="G191" s="32">
        <v>90</v>
      </c>
      <c r="H191" s="66" t="str">
        <f>'BID I'!B935</f>
        <v>Belanja Upakara, Upacara Dan Aci-aci</v>
      </c>
      <c r="I191" s="174">
        <f>SUM('BID I'!F936:F938)</f>
        <v>66000</v>
      </c>
      <c r="J191" s="66" t="s">
        <v>2627</v>
      </c>
      <c r="K191" s="66" t="s">
        <v>2992</v>
      </c>
      <c r="L191" s="32"/>
      <c r="M191" s="32"/>
      <c r="N191" s="32"/>
      <c r="O191" s="32"/>
      <c r="P191" s="32"/>
      <c r="Q191" s="32"/>
      <c r="R191" s="32"/>
      <c r="S191" s="32"/>
      <c r="T191" s="32"/>
      <c r="U191" s="32"/>
      <c r="V191" s="470">
        <v>66000</v>
      </c>
      <c r="W191" s="32"/>
      <c r="X191" s="1750">
        <f t="shared" si="6"/>
        <v>66000</v>
      </c>
      <c r="Y191" s="175">
        <f t="shared" si="7"/>
        <v>0</v>
      </c>
    </row>
    <row r="192" spans="1:25" ht="30" x14ac:dyDescent="0.25">
      <c r="A192" s="32"/>
      <c r="B192" s="32"/>
      <c r="C192" s="32"/>
      <c r="D192" s="32"/>
      <c r="E192" s="32"/>
      <c r="F192" s="32"/>
      <c r="G192" s="32"/>
      <c r="H192" s="32" t="str">
        <f>'BID I'!B940</f>
        <v>Pendataan</v>
      </c>
      <c r="I192" s="32"/>
      <c r="J192" s="66"/>
      <c r="K192" s="66" t="s">
        <v>2992</v>
      </c>
      <c r="L192" s="32"/>
      <c r="M192" s="32"/>
      <c r="N192" s="32"/>
      <c r="O192" s="32"/>
      <c r="P192" s="32"/>
      <c r="Q192" s="32"/>
      <c r="R192" s="32"/>
      <c r="S192" s="32"/>
      <c r="T192" s="32"/>
      <c r="U192" s="32"/>
      <c r="V192" s="470"/>
      <c r="W192" s="32"/>
      <c r="X192" s="1750">
        <f t="shared" si="6"/>
        <v>0</v>
      </c>
      <c r="Y192" s="175">
        <f t="shared" si="7"/>
        <v>0</v>
      </c>
    </row>
    <row r="193" spans="1:25" ht="30" x14ac:dyDescent="0.25">
      <c r="A193" s="32"/>
      <c r="B193" s="32"/>
      <c r="C193" s="32"/>
      <c r="D193" s="32">
        <v>5</v>
      </c>
      <c r="E193" s="32">
        <v>2</v>
      </c>
      <c r="F193" s="32"/>
      <c r="G193" s="32"/>
      <c r="H193" s="66" t="str">
        <f>'BID I'!B942</f>
        <v>Belanja Barang Jasa</v>
      </c>
      <c r="I193" s="32"/>
      <c r="J193" s="66"/>
      <c r="K193" s="66" t="s">
        <v>2992</v>
      </c>
      <c r="L193" s="32"/>
      <c r="M193" s="32"/>
      <c r="N193" s="32"/>
      <c r="O193" s="32"/>
      <c r="P193" s="32"/>
      <c r="Q193" s="32"/>
      <c r="R193" s="32"/>
      <c r="S193" s="32"/>
      <c r="T193" s="32"/>
      <c r="U193" s="32"/>
      <c r="V193" s="470"/>
      <c r="W193" s="32"/>
      <c r="X193" s="1750">
        <f t="shared" si="6"/>
        <v>0</v>
      </c>
      <c r="Y193" s="175">
        <f t="shared" si="7"/>
        <v>0</v>
      </c>
    </row>
    <row r="194" spans="1:25" ht="30" x14ac:dyDescent="0.25">
      <c r="A194" s="32"/>
      <c r="B194" s="32"/>
      <c r="C194" s="32"/>
      <c r="D194" s="32"/>
      <c r="E194" s="32"/>
      <c r="F194" s="32">
        <v>1</v>
      </c>
      <c r="G194" s="32"/>
      <c r="H194" s="66" t="str">
        <f>'BID I'!B943</f>
        <v>Belanja Barang Perlengkapan</v>
      </c>
      <c r="I194" s="32"/>
      <c r="J194" s="66"/>
      <c r="K194" s="66" t="s">
        <v>2992</v>
      </c>
      <c r="L194" s="32"/>
      <c r="M194" s="32"/>
      <c r="N194" s="32"/>
      <c r="O194" s="32"/>
      <c r="P194" s="32"/>
      <c r="Q194" s="32"/>
      <c r="R194" s="32"/>
      <c r="S194" s="32"/>
      <c r="T194" s="32"/>
      <c r="U194" s="32"/>
      <c r="V194" s="470"/>
      <c r="W194" s="32"/>
      <c r="X194" s="1750">
        <f t="shared" si="6"/>
        <v>0</v>
      </c>
      <c r="Y194" s="175">
        <f t="shared" si="7"/>
        <v>0</v>
      </c>
    </row>
    <row r="195" spans="1:25" ht="30" x14ac:dyDescent="0.25">
      <c r="A195" s="32"/>
      <c r="B195" s="32"/>
      <c r="C195" s="32"/>
      <c r="D195" s="32"/>
      <c r="E195" s="32"/>
      <c r="F195" s="32"/>
      <c r="G195" s="1340" t="s">
        <v>2706</v>
      </c>
      <c r="H195" s="66" t="str">
        <f>'BID I'!B944</f>
        <v>Belanja Perlengkapan Cetak</v>
      </c>
      <c r="I195" s="174">
        <f>SUM('BID I'!F945:F947)</f>
        <v>33400000</v>
      </c>
      <c r="J195" s="66" t="s">
        <v>2627</v>
      </c>
      <c r="K195" s="66" t="s">
        <v>2992</v>
      </c>
      <c r="L195" s="32"/>
      <c r="M195" s="32"/>
      <c r="N195" s="32"/>
      <c r="O195" s="32"/>
      <c r="P195" s="32"/>
      <c r="Q195" s="32"/>
      <c r="R195" s="32"/>
      <c r="S195" s="32"/>
      <c r="T195" s="32"/>
      <c r="U195" s="32"/>
      <c r="V195" s="470">
        <v>33400000</v>
      </c>
      <c r="W195" s="32"/>
      <c r="X195" s="1750">
        <f t="shared" si="6"/>
        <v>33400000</v>
      </c>
      <c r="Y195" s="175">
        <f t="shared" si="7"/>
        <v>0</v>
      </c>
    </row>
    <row r="196" spans="1:25" ht="30" x14ac:dyDescent="0.25">
      <c r="A196" s="32"/>
      <c r="B196" s="32"/>
      <c r="C196" s="32"/>
      <c r="D196" s="32">
        <v>5</v>
      </c>
      <c r="E196" s="32">
        <v>2</v>
      </c>
      <c r="F196" s="32">
        <v>2</v>
      </c>
      <c r="G196" s="32"/>
      <c r="H196" s="66" t="str">
        <f>'BID I'!B949</f>
        <v xml:space="preserve">Belanja Jasa Honorarium </v>
      </c>
      <c r="I196" s="32"/>
      <c r="J196" s="66"/>
      <c r="K196" s="66" t="s">
        <v>2992</v>
      </c>
      <c r="L196" s="32"/>
      <c r="M196" s="32"/>
      <c r="N196" s="32"/>
      <c r="O196" s="32"/>
      <c r="P196" s="32"/>
      <c r="Q196" s="32"/>
      <c r="R196" s="32"/>
      <c r="S196" s="32"/>
      <c r="T196" s="32"/>
      <c r="U196" s="32"/>
      <c r="V196" s="470"/>
      <c r="W196" s="32"/>
      <c r="X196" s="1750">
        <f t="shared" si="6"/>
        <v>0</v>
      </c>
      <c r="Y196" s="175">
        <f t="shared" si="7"/>
        <v>0</v>
      </c>
    </row>
    <row r="197" spans="1:25" ht="45" x14ac:dyDescent="0.25">
      <c r="A197" s="32"/>
      <c r="B197" s="32"/>
      <c r="C197" s="32"/>
      <c r="D197" s="32"/>
      <c r="E197" s="32"/>
      <c r="F197" s="32"/>
      <c r="G197" s="1340" t="s">
        <v>2688</v>
      </c>
      <c r="H197" s="66" t="str">
        <f>'BID I'!B950</f>
        <v>Belanja Jasa Honorarium yang Melaksanakan Kegiatan</v>
      </c>
      <c r="I197" s="174">
        <f>SUM('BID I'!F951:F952)</f>
        <v>700000</v>
      </c>
      <c r="J197" s="66" t="s">
        <v>2627</v>
      </c>
      <c r="K197" s="66" t="s">
        <v>2992</v>
      </c>
      <c r="L197" s="32"/>
      <c r="M197" s="32"/>
      <c r="N197" s="32"/>
      <c r="O197" s="32"/>
      <c r="P197" s="32"/>
      <c r="Q197" s="32"/>
      <c r="R197" s="32"/>
      <c r="S197" s="32"/>
      <c r="T197" s="32"/>
      <c r="U197" s="32"/>
      <c r="V197" s="470">
        <v>700000</v>
      </c>
      <c r="W197" s="32"/>
      <c r="X197" s="1750">
        <f t="shared" si="6"/>
        <v>700000</v>
      </c>
      <c r="Y197" s="175">
        <f t="shared" si="7"/>
        <v>0</v>
      </c>
    </row>
    <row r="198" spans="1:25" ht="30" x14ac:dyDescent="0.25">
      <c r="A198" s="32"/>
      <c r="B198" s="32"/>
      <c r="C198" s="32"/>
      <c r="D198" s="32"/>
      <c r="E198" s="32"/>
      <c r="F198" s="32"/>
      <c r="G198" s="1340" t="s">
        <v>2706</v>
      </c>
      <c r="H198" s="66" t="str">
        <f>'BID I'!B954</f>
        <v>Belanja Jasa Honorarium Petugas</v>
      </c>
      <c r="I198" s="174">
        <f>SUM('BID I'!F955:F956)</f>
        <v>16500000</v>
      </c>
      <c r="J198" s="66" t="s">
        <v>2627</v>
      </c>
      <c r="K198" s="66" t="s">
        <v>2992</v>
      </c>
      <c r="L198" s="32"/>
      <c r="M198" s="32"/>
      <c r="N198" s="32"/>
      <c r="O198" s="32"/>
      <c r="P198" s="32"/>
      <c r="Q198" s="32"/>
      <c r="R198" s="32"/>
      <c r="S198" s="32"/>
      <c r="T198" s="32"/>
      <c r="U198" s="32"/>
      <c r="V198" s="470">
        <v>16500000</v>
      </c>
      <c r="W198" s="32"/>
      <c r="X198" s="1750">
        <f t="shared" si="6"/>
        <v>16500000</v>
      </c>
      <c r="Y198" s="175">
        <f t="shared" si="7"/>
        <v>0</v>
      </c>
    </row>
    <row r="199" spans="1:25" ht="60" x14ac:dyDescent="0.25">
      <c r="A199" s="1344">
        <v>1</v>
      </c>
      <c r="B199" s="1344">
        <v>3</v>
      </c>
      <c r="C199" s="1344">
        <v>90</v>
      </c>
      <c r="D199" s="1344"/>
      <c r="E199" s="1344"/>
      <c r="F199" s="1344"/>
      <c r="G199" s="1344"/>
      <c r="H199" s="1345" t="str">
        <f>'BID I'!B975</f>
        <v>: Pengelolaan Administrasi dan Kearsipan pemerintahan Desa ( Pelatihan )</v>
      </c>
      <c r="I199" s="1347">
        <f>SUM(I200:I206)</f>
        <v>910000</v>
      </c>
      <c r="J199" s="1345" t="s">
        <v>2628</v>
      </c>
      <c r="K199" s="1347" t="s">
        <v>2988</v>
      </c>
      <c r="L199" s="1344"/>
      <c r="M199" s="1344"/>
      <c r="N199" s="1344"/>
      <c r="O199" s="1344"/>
      <c r="P199" s="1344"/>
      <c r="Q199" s="1344"/>
      <c r="R199" s="1344"/>
      <c r="S199" s="1344"/>
      <c r="T199" s="1344"/>
      <c r="U199" s="1344"/>
      <c r="V199" s="1344"/>
      <c r="W199" s="1344"/>
      <c r="X199" s="1353">
        <f t="shared" si="6"/>
        <v>0</v>
      </c>
      <c r="Y199" s="175">
        <f t="shared" si="7"/>
        <v>-910000</v>
      </c>
    </row>
    <row r="200" spans="1:25" x14ac:dyDescent="0.25">
      <c r="A200" s="32"/>
      <c r="B200" s="32"/>
      <c r="C200" s="32"/>
      <c r="D200" s="32">
        <v>5</v>
      </c>
      <c r="E200" s="32">
        <v>2</v>
      </c>
      <c r="F200" s="32"/>
      <c r="G200" s="32"/>
      <c r="H200" s="66" t="str">
        <f>'BID I'!B981</f>
        <v>Belanja Barang Jasa</v>
      </c>
      <c r="I200" s="32"/>
      <c r="J200" s="66"/>
      <c r="K200" s="497" t="s">
        <v>2988</v>
      </c>
      <c r="L200" s="32"/>
      <c r="M200" s="32"/>
      <c r="N200" s="32"/>
      <c r="O200" s="32"/>
      <c r="P200" s="32"/>
      <c r="Q200" s="32"/>
      <c r="R200" s="32"/>
      <c r="S200" s="32"/>
      <c r="T200" s="32"/>
      <c r="U200" s="32"/>
      <c r="V200" s="32"/>
      <c r="W200" s="32"/>
      <c r="X200" s="1750">
        <f t="shared" si="6"/>
        <v>0</v>
      </c>
      <c r="Y200" s="175">
        <f t="shared" si="7"/>
        <v>0</v>
      </c>
    </row>
    <row r="201" spans="1:25" ht="30" x14ac:dyDescent="0.25">
      <c r="A201" s="32"/>
      <c r="B201" s="32"/>
      <c r="C201" s="32"/>
      <c r="D201" s="32"/>
      <c r="E201" s="32"/>
      <c r="F201" s="32">
        <v>1</v>
      </c>
      <c r="G201" s="32"/>
      <c r="H201" s="66" t="str">
        <f>'BID I'!B982</f>
        <v>Belanja Barang Perlengkapan</v>
      </c>
      <c r="I201" s="32"/>
      <c r="J201" s="66"/>
      <c r="K201" s="497" t="s">
        <v>2988</v>
      </c>
      <c r="L201" s="32"/>
      <c r="M201" s="32"/>
      <c r="N201" s="32"/>
      <c r="O201" s="32"/>
      <c r="P201" s="32"/>
      <c r="Q201" s="32"/>
      <c r="R201" s="32"/>
      <c r="S201" s="32"/>
      <c r="T201" s="32"/>
      <c r="U201" s="32"/>
      <c r="V201" s="32"/>
      <c r="W201" s="32"/>
      <c r="X201" s="1750">
        <f t="shared" si="6"/>
        <v>0</v>
      </c>
      <c r="Y201" s="175">
        <f t="shared" si="7"/>
        <v>0</v>
      </c>
    </row>
    <row r="202" spans="1:25" ht="60" x14ac:dyDescent="0.25">
      <c r="A202" s="32"/>
      <c r="B202" s="32"/>
      <c r="C202" s="32"/>
      <c r="D202" s="32"/>
      <c r="E202" s="32"/>
      <c r="F202" s="32"/>
      <c r="G202" s="1340" t="s">
        <v>2706</v>
      </c>
      <c r="H202" s="66" t="str">
        <f>'BID I'!B983</f>
        <v>Belanja perlengkapan cetak/pengadaan - belanja barang cetak dan pengadaan</v>
      </c>
      <c r="I202" s="174">
        <f>SUM('BID I'!F984)</f>
        <v>90000</v>
      </c>
      <c r="J202" s="66" t="s">
        <v>2628</v>
      </c>
      <c r="K202" s="497" t="s">
        <v>2988</v>
      </c>
      <c r="L202" s="32"/>
      <c r="M202" s="32"/>
      <c r="N202" s="32"/>
      <c r="O202" s="32"/>
      <c r="P202" s="32"/>
      <c r="Q202" s="32"/>
      <c r="R202" s="32"/>
      <c r="S202" s="32"/>
      <c r="T202" s="470">
        <v>90000</v>
      </c>
      <c r="U202" s="32"/>
      <c r="V202" s="32"/>
      <c r="W202" s="32"/>
      <c r="X202" s="1750">
        <f t="shared" si="6"/>
        <v>90000</v>
      </c>
      <c r="Y202" s="175">
        <f t="shared" si="7"/>
        <v>0</v>
      </c>
    </row>
    <row r="203" spans="1:25" ht="60" x14ac:dyDescent="0.25">
      <c r="A203" s="32"/>
      <c r="B203" s="32"/>
      <c r="C203" s="32"/>
      <c r="D203" s="32"/>
      <c r="E203" s="32"/>
      <c r="F203" s="32"/>
      <c r="G203" s="1340" t="s">
        <v>2705</v>
      </c>
      <c r="H203" s="66" t="str">
        <f>'BID I'!B986</f>
        <v>Belanja perlengkapan barang konsumsi (makan/minum)- Belanja Barang Konsumsi</v>
      </c>
      <c r="I203" s="174">
        <f>'BID I'!F987</f>
        <v>450000</v>
      </c>
      <c r="J203" s="66" t="s">
        <v>2628</v>
      </c>
      <c r="K203" s="497" t="s">
        <v>2988</v>
      </c>
      <c r="L203" s="32"/>
      <c r="M203" s="32"/>
      <c r="N203" s="32"/>
      <c r="O203" s="32"/>
      <c r="P203" s="32"/>
      <c r="Q203" s="32"/>
      <c r="R203" s="32"/>
      <c r="S203" s="32"/>
      <c r="T203" s="470">
        <v>450000</v>
      </c>
      <c r="U203" s="32"/>
      <c r="V203" s="32"/>
      <c r="W203" s="32"/>
      <c r="X203" s="1750">
        <f t="shared" si="6"/>
        <v>450000</v>
      </c>
      <c r="Y203" s="175">
        <f t="shared" si="7"/>
        <v>0</v>
      </c>
    </row>
    <row r="204" spans="1:25" ht="30" x14ac:dyDescent="0.25">
      <c r="A204" s="32"/>
      <c r="B204" s="32"/>
      <c r="C204" s="32"/>
      <c r="D204" s="32"/>
      <c r="E204" s="32"/>
      <c r="F204" s="32"/>
      <c r="G204" s="1340" t="s">
        <v>2718</v>
      </c>
      <c r="H204" s="66" t="str">
        <f>'BID I'!B989</f>
        <v>Belanja Upakara, Upacara Dan Aci- Aci</v>
      </c>
      <c r="I204" s="174">
        <f>SUM('BID I'!F990:F992)</f>
        <v>70000</v>
      </c>
      <c r="J204" s="66" t="s">
        <v>2628</v>
      </c>
      <c r="K204" s="497" t="s">
        <v>2988</v>
      </c>
      <c r="L204" s="32"/>
      <c r="M204" s="32"/>
      <c r="N204" s="32"/>
      <c r="O204" s="32"/>
      <c r="P204" s="32"/>
      <c r="Q204" s="32"/>
      <c r="R204" s="32"/>
      <c r="S204" s="32"/>
      <c r="T204" s="470">
        <v>70000</v>
      </c>
      <c r="U204" s="32"/>
      <c r="V204" s="32"/>
      <c r="W204" s="32"/>
      <c r="X204" s="1750">
        <f t="shared" si="6"/>
        <v>70000</v>
      </c>
      <c r="Y204" s="175">
        <f t="shared" si="7"/>
        <v>0</v>
      </c>
    </row>
    <row r="205" spans="1:25" x14ac:dyDescent="0.25">
      <c r="A205" s="32"/>
      <c r="B205" s="32"/>
      <c r="C205" s="32"/>
      <c r="D205" s="32">
        <v>5</v>
      </c>
      <c r="E205" s="32">
        <v>2</v>
      </c>
      <c r="F205" s="32">
        <v>2</v>
      </c>
      <c r="G205" s="32"/>
      <c r="H205" s="66" t="str">
        <f>'BID I'!B994</f>
        <v>Belanja  Jasa Honorarium</v>
      </c>
      <c r="I205" s="32"/>
      <c r="J205" s="66"/>
      <c r="K205" s="497" t="s">
        <v>2988</v>
      </c>
      <c r="L205" s="32"/>
      <c r="M205" s="32"/>
      <c r="N205" s="32"/>
      <c r="O205" s="32"/>
      <c r="P205" s="32"/>
      <c r="Q205" s="32"/>
      <c r="R205" s="32"/>
      <c r="S205" s="32"/>
      <c r="T205" s="470"/>
      <c r="U205" s="32"/>
      <c r="V205" s="32"/>
      <c r="W205" s="32"/>
      <c r="X205" s="1750">
        <f t="shared" si="6"/>
        <v>0</v>
      </c>
      <c r="Y205" s="175">
        <f t="shared" si="7"/>
        <v>0</v>
      </c>
    </row>
    <row r="206" spans="1:25" ht="45" x14ac:dyDescent="0.25">
      <c r="A206" s="32"/>
      <c r="B206" s="32"/>
      <c r="C206" s="32"/>
      <c r="D206" s="32"/>
      <c r="E206" s="32"/>
      <c r="F206" s="32"/>
      <c r="G206" s="1340" t="s">
        <v>2706</v>
      </c>
      <c r="H206" s="66" t="str">
        <f>'BID I'!B995</f>
        <v>Belanja Jasa Honorarium Ahli/Profesi/Konsultan/Narasumber</v>
      </c>
      <c r="I206" s="174">
        <f>SUM('BID I'!F996)</f>
        <v>300000</v>
      </c>
      <c r="J206" s="66" t="s">
        <v>2628</v>
      </c>
      <c r="K206" s="497" t="s">
        <v>2988</v>
      </c>
      <c r="L206" s="32"/>
      <c r="M206" s="32"/>
      <c r="N206" s="32"/>
      <c r="O206" s="32"/>
      <c r="P206" s="32"/>
      <c r="Q206" s="32"/>
      <c r="R206" s="32"/>
      <c r="S206" s="32"/>
      <c r="T206" s="470">
        <v>300000</v>
      </c>
      <c r="U206" s="32"/>
      <c r="V206" s="32"/>
      <c r="W206" s="32"/>
      <c r="X206" s="1750">
        <f t="shared" si="6"/>
        <v>300000</v>
      </c>
      <c r="Y206" s="175">
        <f t="shared" si="7"/>
        <v>0</v>
      </c>
    </row>
    <row r="207" spans="1:25" ht="75" x14ac:dyDescent="0.25">
      <c r="A207" s="1344">
        <v>1</v>
      </c>
      <c r="B207" s="1344">
        <v>3</v>
      </c>
      <c r="C207" s="1344">
        <v>90</v>
      </c>
      <c r="D207" s="1344"/>
      <c r="E207" s="1344"/>
      <c r="F207" s="1344"/>
      <c r="G207" s="1344"/>
      <c r="H207" s="1345" t="str">
        <f>'BID I'!B1013</f>
        <v>: Pendataan Administrasi Penduduk Non Permanen (Penertiban Penduduk Pendatang dan Sidak Dialogis)</v>
      </c>
      <c r="I207" s="1347">
        <f>SUM(I208:I214)</f>
        <v>41205000</v>
      </c>
      <c r="J207" s="1345" t="s">
        <v>1682</v>
      </c>
      <c r="K207" s="1345" t="s">
        <v>2992</v>
      </c>
      <c r="L207" s="1347"/>
      <c r="M207" s="1347"/>
      <c r="N207" s="1349"/>
      <c r="O207" s="1344"/>
      <c r="P207" s="1347"/>
      <c r="Q207" s="1349"/>
      <c r="R207" s="1344"/>
      <c r="S207" s="1344"/>
      <c r="T207" s="1347"/>
      <c r="U207" s="1344"/>
      <c r="V207" s="1344"/>
      <c r="W207" s="1344"/>
      <c r="X207" s="1353">
        <f t="shared" si="6"/>
        <v>0</v>
      </c>
      <c r="Y207" s="175">
        <f t="shared" si="7"/>
        <v>-41205000</v>
      </c>
    </row>
    <row r="208" spans="1:25" ht="30" x14ac:dyDescent="0.25">
      <c r="A208" s="32"/>
      <c r="B208" s="32"/>
      <c r="C208" s="32"/>
      <c r="D208" s="32">
        <v>5</v>
      </c>
      <c r="E208" s="32">
        <v>2</v>
      </c>
      <c r="F208" s="32"/>
      <c r="G208" s="32"/>
      <c r="H208" s="66" t="str">
        <f>'BID I'!B1019</f>
        <v>Belanja Barang dan Jasa</v>
      </c>
      <c r="I208" s="32"/>
      <c r="J208" s="66"/>
      <c r="K208" s="66" t="s">
        <v>2992</v>
      </c>
      <c r="L208" s="32"/>
      <c r="M208" s="32"/>
      <c r="N208" s="32"/>
      <c r="O208" s="497"/>
      <c r="P208" s="497"/>
      <c r="Q208" s="32"/>
      <c r="R208" s="32"/>
      <c r="S208" s="32"/>
      <c r="T208" s="497"/>
      <c r="U208" s="32"/>
      <c r="V208" s="32"/>
      <c r="W208" s="32"/>
      <c r="X208" s="1750">
        <f t="shared" si="6"/>
        <v>0</v>
      </c>
      <c r="Y208" s="175">
        <f t="shared" si="7"/>
        <v>0</v>
      </c>
    </row>
    <row r="209" spans="1:25" ht="30" x14ac:dyDescent="0.25">
      <c r="A209" s="32"/>
      <c r="B209" s="32"/>
      <c r="C209" s="32"/>
      <c r="D209" s="32"/>
      <c r="E209" s="32"/>
      <c r="F209" s="32">
        <v>1</v>
      </c>
      <c r="G209" s="32"/>
      <c r="H209" s="66" t="str">
        <f>'BID I'!B1020</f>
        <v>Belanja Barang Perlengkapan</v>
      </c>
      <c r="I209" s="32"/>
      <c r="J209" s="66"/>
      <c r="K209" s="66" t="s">
        <v>2992</v>
      </c>
      <c r="L209" s="32"/>
      <c r="M209" s="32"/>
      <c r="N209" s="32"/>
      <c r="O209" s="32"/>
      <c r="P209" s="32"/>
      <c r="Q209" s="32"/>
      <c r="R209" s="32"/>
      <c r="S209" s="32"/>
      <c r="T209" s="32"/>
      <c r="U209" s="32"/>
      <c r="V209" s="32"/>
      <c r="W209" s="32"/>
      <c r="X209" s="1750">
        <f t="shared" si="6"/>
        <v>0</v>
      </c>
      <c r="Y209" s="175">
        <f t="shared" si="7"/>
        <v>0</v>
      </c>
    </row>
    <row r="210" spans="1:25" ht="60" x14ac:dyDescent="0.25">
      <c r="A210" s="32"/>
      <c r="B210" s="32"/>
      <c r="C210" s="32"/>
      <c r="D210" s="32"/>
      <c r="E210" s="32"/>
      <c r="F210" s="32"/>
      <c r="G210" s="1340" t="s">
        <v>2706</v>
      </c>
      <c r="H210" s="66" t="str">
        <f>'BID I'!B1021</f>
        <v>Belanja perlengkapan cetak/pengadaan - belanja barang cetak dan pengadaan</v>
      </c>
      <c r="I210" s="174">
        <f>SUM('BID I'!F1022)</f>
        <v>500000</v>
      </c>
      <c r="J210" s="66" t="s">
        <v>1682</v>
      </c>
      <c r="K210" s="66" t="s">
        <v>2992</v>
      </c>
      <c r="L210" s="497"/>
      <c r="M210" s="32"/>
      <c r="N210" s="174"/>
      <c r="O210" s="497"/>
      <c r="P210" s="497">
        <v>135000</v>
      </c>
      <c r="Q210" s="32"/>
      <c r="R210" s="32"/>
      <c r="S210" s="32"/>
      <c r="T210" s="497">
        <v>365000</v>
      </c>
      <c r="U210" s="32"/>
      <c r="V210" s="32"/>
      <c r="W210" s="32"/>
      <c r="X210" s="1750">
        <f t="shared" si="6"/>
        <v>500000</v>
      </c>
      <c r="Y210" s="175">
        <f t="shared" si="7"/>
        <v>0</v>
      </c>
    </row>
    <row r="211" spans="1:25" ht="30" x14ac:dyDescent="0.25">
      <c r="A211" s="32"/>
      <c r="B211" s="32"/>
      <c r="C211" s="32"/>
      <c r="D211" s="32"/>
      <c r="E211" s="32"/>
      <c r="F211" s="32"/>
      <c r="G211" s="1340" t="s">
        <v>2705</v>
      </c>
      <c r="H211" s="66" t="str">
        <f>'BID I'!B1024</f>
        <v>Belanja Perlengkapan Barang Konsumsi</v>
      </c>
      <c r="I211" s="174">
        <f>SUM('BID I'!F1025:F1027)</f>
        <v>10020000</v>
      </c>
      <c r="J211" s="66" t="s">
        <v>1682</v>
      </c>
      <c r="K211" s="66" t="s">
        <v>2992</v>
      </c>
      <c r="L211" s="32"/>
      <c r="M211" s="32"/>
      <c r="N211" s="497"/>
      <c r="O211" s="497">
        <v>5250000</v>
      </c>
      <c r="P211" s="32"/>
      <c r="Q211" s="32"/>
      <c r="R211" s="174"/>
      <c r="S211" s="32"/>
      <c r="T211" s="497">
        <v>4770000</v>
      </c>
      <c r="U211" s="32"/>
      <c r="V211" s="32"/>
      <c r="W211" s="32"/>
      <c r="X211" s="1750">
        <f t="shared" si="6"/>
        <v>10020000</v>
      </c>
      <c r="Y211" s="175">
        <f t="shared" si="7"/>
        <v>0</v>
      </c>
    </row>
    <row r="212" spans="1:25" ht="30" x14ac:dyDescent="0.25">
      <c r="A212" s="32"/>
      <c r="B212" s="32"/>
      <c r="C212" s="32"/>
      <c r="D212" s="32"/>
      <c r="E212" s="32"/>
      <c r="F212" s="32"/>
      <c r="G212" s="1340" t="s">
        <v>2708</v>
      </c>
      <c r="H212" s="66" t="str">
        <f>'BID I'!B1029</f>
        <v>Belanaja Bahan Meterial</v>
      </c>
      <c r="I212" s="513">
        <f>SUM('BID I'!F1030:F1031)</f>
        <v>3485000</v>
      </c>
      <c r="J212" s="66" t="s">
        <v>1682</v>
      </c>
      <c r="K212" s="66" t="s">
        <v>2992</v>
      </c>
      <c r="L212" s="32"/>
      <c r="M212" s="32"/>
      <c r="N212" s="32"/>
      <c r="O212" s="497">
        <v>3485000</v>
      </c>
      <c r="P212" s="32"/>
      <c r="Q212" s="32"/>
      <c r="R212" s="32"/>
      <c r="S212" s="32"/>
      <c r="T212" s="497"/>
      <c r="U212" s="32"/>
      <c r="V212" s="32"/>
      <c r="W212" s="32"/>
      <c r="X212" s="1750">
        <f t="shared" si="6"/>
        <v>3485000</v>
      </c>
      <c r="Y212" s="175">
        <f t="shared" si="7"/>
        <v>0</v>
      </c>
    </row>
    <row r="213" spans="1:25" ht="30" x14ac:dyDescent="0.25">
      <c r="A213" s="32"/>
      <c r="B213" s="32"/>
      <c r="C213" s="32"/>
      <c r="D213" s="32">
        <v>5</v>
      </c>
      <c r="E213" s="32">
        <v>2</v>
      </c>
      <c r="F213" s="32">
        <v>2</v>
      </c>
      <c r="G213" s="32"/>
      <c r="H213" s="66" t="str">
        <f>'BID I'!B1033</f>
        <v>Belanja Jasa Honorarium</v>
      </c>
      <c r="I213" s="32"/>
      <c r="J213" s="66"/>
      <c r="K213" s="66" t="s">
        <v>2992</v>
      </c>
      <c r="L213" s="32"/>
      <c r="M213" s="32"/>
      <c r="N213" s="32"/>
      <c r="O213" s="32"/>
      <c r="P213" s="32"/>
      <c r="Q213" s="32"/>
      <c r="R213" s="32"/>
      <c r="S213" s="32"/>
      <c r="T213" s="497"/>
      <c r="U213" s="32"/>
      <c r="V213" s="32"/>
      <c r="W213" s="32"/>
      <c r="X213" s="1750">
        <f t="shared" si="6"/>
        <v>0</v>
      </c>
      <c r="Y213" s="175">
        <f t="shared" si="7"/>
        <v>0</v>
      </c>
    </row>
    <row r="214" spans="1:25" ht="30" x14ac:dyDescent="0.25">
      <c r="A214" s="32"/>
      <c r="B214" s="32"/>
      <c r="C214" s="32"/>
      <c r="D214" s="32"/>
      <c r="E214" s="32"/>
      <c r="F214" s="32"/>
      <c r="G214" s="1340" t="s">
        <v>2706</v>
      </c>
      <c r="H214" s="66" t="str">
        <f>'BID I'!B1034</f>
        <v>Belanja Jasa Honorium Petugas</v>
      </c>
      <c r="I214" s="513">
        <f>SUM('BID I'!F1035)</f>
        <v>27200000</v>
      </c>
      <c r="J214" s="66" t="s">
        <v>1682</v>
      </c>
      <c r="K214" s="66" t="s">
        <v>2992</v>
      </c>
      <c r="L214" s="32"/>
      <c r="M214" s="32"/>
      <c r="N214" s="32"/>
      <c r="O214" s="497">
        <v>5000000</v>
      </c>
      <c r="P214" s="497">
        <v>13600000</v>
      </c>
      <c r="Q214" s="32"/>
      <c r="R214" s="497"/>
      <c r="S214" s="32"/>
      <c r="T214" s="497">
        <v>8600000</v>
      </c>
      <c r="U214" s="32"/>
      <c r="V214" s="32"/>
      <c r="W214" s="32"/>
      <c r="X214" s="1750">
        <f t="shared" si="6"/>
        <v>27200000</v>
      </c>
      <c r="Y214" s="175">
        <f t="shared" si="7"/>
        <v>0</v>
      </c>
    </row>
    <row r="215" spans="1:25" ht="60" x14ac:dyDescent="0.25">
      <c r="A215" s="1344">
        <v>1</v>
      </c>
      <c r="B215" s="1344">
        <v>4</v>
      </c>
      <c r="C215" s="1346" t="s">
        <v>2688</v>
      </c>
      <c r="D215" s="1344"/>
      <c r="E215" s="1344"/>
      <c r="F215" s="1344"/>
      <c r="G215" s="1344"/>
      <c r="H215" s="1345" t="str">
        <f>'BID I'!B1054</f>
        <v>Penyelenggaraan Musyawarah Desa/ Pembahasan APBDes (Musrenbangdes)</v>
      </c>
      <c r="I215" s="1347">
        <f>SUM(I216:I224)</f>
        <v>22595200</v>
      </c>
      <c r="J215" s="1345" t="s">
        <v>2620</v>
      </c>
      <c r="K215" s="1344" t="s">
        <v>2994</v>
      </c>
      <c r="L215" s="1344"/>
      <c r="M215" s="1344"/>
      <c r="N215" s="1344"/>
      <c r="O215" s="1344"/>
      <c r="P215" s="1344"/>
      <c r="Q215" s="1344"/>
      <c r="R215" s="1344"/>
      <c r="S215" s="1344"/>
      <c r="T215" s="1344"/>
      <c r="U215" s="1344"/>
      <c r="V215" s="1344"/>
      <c r="W215" s="1344"/>
      <c r="X215" s="1353">
        <f t="shared" si="6"/>
        <v>0</v>
      </c>
      <c r="Y215" s="175">
        <f t="shared" si="7"/>
        <v>-22595200</v>
      </c>
    </row>
    <row r="216" spans="1:25" x14ac:dyDescent="0.25">
      <c r="A216" s="32"/>
      <c r="B216" s="32"/>
      <c r="C216" s="32"/>
      <c r="D216" s="32">
        <v>5</v>
      </c>
      <c r="E216" s="32">
        <v>2</v>
      </c>
      <c r="F216" s="32"/>
      <c r="G216" s="32"/>
      <c r="H216" s="66" t="str">
        <f>'BID I'!B1060</f>
        <v>Belanja Barang Jasa</v>
      </c>
      <c r="I216" s="32"/>
      <c r="J216" s="66"/>
      <c r="K216" s="32" t="s">
        <v>2994</v>
      </c>
      <c r="L216" s="32"/>
      <c r="M216" s="32"/>
      <c r="N216" s="32"/>
      <c r="O216" s="32"/>
      <c r="P216" s="32"/>
      <c r="Q216" s="32"/>
      <c r="R216" s="32"/>
      <c r="S216" s="32"/>
      <c r="T216" s="32"/>
      <c r="U216" s="32"/>
      <c r="V216" s="32"/>
      <c r="W216" s="32"/>
      <c r="X216" s="1750">
        <f t="shared" si="6"/>
        <v>0</v>
      </c>
      <c r="Y216" s="175">
        <f t="shared" si="7"/>
        <v>0</v>
      </c>
    </row>
    <row r="217" spans="1:25" ht="30" x14ac:dyDescent="0.25">
      <c r="A217" s="32"/>
      <c r="B217" s="32"/>
      <c r="C217" s="32"/>
      <c r="D217" s="32"/>
      <c r="E217" s="32"/>
      <c r="F217" s="32">
        <v>1</v>
      </c>
      <c r="G217" s="32"/>
      <c r="H217" s="66" t="str">
        <f>'BID I'!B1061</f>
        <v>Belanja Barang Perlengkapan</v>
      </c>
      <c r="I217" s="32"/>
      <c r="J217" s="66"/>
      <c r="K217" s="32" t="s">
        <v>2994</v>
      </c>
      <c r="L217" s="32"/>
      <c r="M217" s="32"/>
      <c r="N217" s="32"/>
      <c r="O217" s="32"/>
      <c r="P217" s="32"/>
      <c r="Q217" s="32"/>
      <c r="R217" s="32"/>
      <c r="S217" s="32"/>
      <c r="T217" s="32"/>
      <c r="U217" s="32"/>
      <c r="V217" s="32"/>
      <c r="W217" s="32"/>
      <c r="X217" s="1750">
        <f t="shared" si="6"/>
        <v>0</v>
      </c>
      <c r="Y217" s="175">
        <f t="shared" si="7"/>
        <v>0</v>
      </c>
    </row>
    <row r="218" spans="1:25" ht="60" x14ac:dyDescent="0.25">
      <c r="A218" s="32"/>
      <c r="B218" s="32"/>
      <c r="C218" s="32"/>
      <c r="D218" s="32"/>
      <c r="E218" s="32"/>
      <c r="F218" s="32"/>
      <c r="G218" s="1340" t="s">
        <v>2706</v>
      </c>
      <c r="H218" s="66" t="str">
        <f>'BID I'!B1062</f>
        <v>Belanja perlengkapan cetak/pengadaan - belanja barang cetak dan pengadaan</v>
      </c>
      <c r="I218" s="174">
        <f>SUM('BID I'!F1063)</f>
        <v>255200</v>
      </c>
      <c r="J218" s="66" t="s">
        <v>2620</v>
      </c>
      <c r="K218" s="32" t="s">
        <v>2994</v>
      </c>
      <c r="L218" s="32"/>
      <c r="M218" s="32"/>
      <c r="N218" s="32"/>
      <c r="O218" s="32"/>
      <c r="P218" s="32"/>
      <c r="Q218" s="32"/>
      <c r="R218" s="32"/>
      <c r="S218" s="32"/>
      <c r="T218" s="497">
        <v>255200</v>
      </c>
      <c r="U218" s="32"/>
      <c r="V218" s="32"/>
      <c r="W218" s="32"/>
      <c r="X218" s="1750">
        <f t="shared" si="6"/>
        <v>255200</v>
      </c>
      <c r="Y218" s="175">
        <f t="shared" si="7"/>
        <v>0</v>
      </c>
    </row>
    <row r="219" spans="1:25" ht="60" x14ac:dyDescent="0.25">
      <c r="A219" s="32"/>
      <c r="B219" s="32"/>
      <c r="C219" s="32"/>
      <c r="D219" s="32"/>
      <c r="E219" s="32"/>
      <c r="F219" s="32"/>
      <c r="G219" s="1340" t="s">
        <v>2705</v>
      </c>
      <c r="H219" s="66" t="str">
        <f>'BID I'!B1065</f>
        <v>Belanja perlengkapan barang konsumsi (makan/minum)- Belanja Barang Konsumsi</v>
      </c>
      <c r="I219" s="174">
        <f>SUM('BID I'!F1066)</f>
        <v>15000000</v>
      </c>
      <c r="J219" s="66" t="s">
        <v>2620</v>
      </c>
      <c r="K219" s="32" t="s">
        <v>2994</v>
      </c>
      <c r="L219" s="32"/>
      <c r="M219" s="32"/>
      <c r="N219" s="32"/>
      <c r="O219" s="32"/>
      <c r="P219" s="32"/>
      <c r="Q219" s="32"/>
      <c r="R219" s="32"/>
      <c r="S219" s="32"/>
      <c r="T219" s="497">
        <v>15000000</v>
      </c>
      <c r="U219" s="32"/>
      <c r="V219" s="32"/>
      <c r="W219" s="32"/>
      <c r="X219" s="1750">
        <f t="shared" si="6"/>
        <v>15000000</v>
      </c>
      <c r="Y219" s="175">
        <f t="shared" si="7"/>
        <v>0</v>
      </c>
    </row>
    <row r="220" spans="1:25" ht="30" x14ac:dyDescent="0.25">
      <c r="A220" s="32"/>
      <c r="B220" s="32"/>
      <c r="C220" s="32"/>
      <c r="D220" s="32"/>
      <c r="E220" s="32"/>
      <c r="F220" s="32"/>
      <c r="G220" s="32">
        <v>90</v>
      </c>
      <c r="H220" s="66" t="str">
        <f>'BID I'!B1068</f>
        <v>Belanja Upakara, Upacara Dan Aci- Aci</v>
      </c>
      <c r="I220" s="174">
        <f>SUM('BID I'!F1069:F1072)</f>
        <v>340000</v>
      </c>
      <c r="J220" s="66" t="s">
        <v>2620</v>
      </c>
      <c r="K220" s="32" t="s">
        <v>2994</v>
      </c>
      <c r="L220" s="32"/>
      <c r="M220" s="32"/>
      <c r="N220" s="32"/>
      <c r="O220" s="32"/>
      <c r="P220" s="32"/>
      <c r="Q220" s="32"/>
      <c r="R220" s="32"/>
      <c r="S220" s="32"/>
      <c r="T220" s="497">
        <v>340000</v>
      </c>
      <c r="U220" s="32"/>
      <c r="V220" s="32"/>
      <c r="W220" s="32"/>
      <c r="X220" s="1750">
        <f t="shared" si="6"/>
        <v>340000</v>
      </c>
      <c r="Y220" s="175">
        <f t="shared" si="7"/>
        <v>0</v>
      </c>
    </row>
    <row r="221" spans="1:25" x14ac:dyDescent="0.25">
      <c r="A221" s="32"/>
      <c r="B221" s="32"/>
      <c r="C221" s="32"/>
      <c r="D221" s="32">
        <v>5</v>
      </c>
      <c r="E221" s="32">
        <v>2</v>
      </c>
      <c r="F221" s="32">
        <v>2</v>
      </c>
      <c r="G221" s="32"/>
      <c r="H221" s="66" t="str">
        <f>'BID I'!B1074</f>
        <v>Belanja  Jasa Honorarium</v>
      </c>
      <c r="I221" s="174"/>
      <c r="J221" s="66"/>
      <c r="K221" s="32" t="s">
        <v>2994</v>
      </c>
      <c r="L221" s="32"/>
      <c r="M221" s="32"/>
      <c r="N221" s="32"/>
      <c r="O221" s="32"/>
      <c r="P221" s="32"/>
      <c r="Q221" s="32"/>
      <c r="R221" s="32"/>
      <c r="S221" s="32"/>
      <c r="T221" s="497"/>
      <c r="U221" s="32"/>
      <c r="V221" s="32"/>
      <c r="W221" s="32"/>
      <c r="X221" s="1750">
        <f t="shared" si="6"/>
        <v>0</v>
      </c>
      <c r="Y221" s="175">
        <f t="shared" si="7"/>
        <v>0</v>
      </c>
    </row>
    <row r="222" spans="1:25" ht="30" x14ac:dyDescent="0.25">
      <c r="A222" s="32"/>
      <c r="B222" s="32"/>
      <c r="C222" s="32"/>
      <c r="D222" s="32"/>
      <c r="E222" s="32"/>
      <c r="F222" s="32"/>
      <c r="G222" s="1340" t="s">
        <v>2706</v>
      </c>
      <c r="H222" s="66" t="str">
        <f>'BID I'!B1075</f>
        <v>Belanja Jasa Honorarium Petugas</v>
      </c>
      <c r="I222" s="174">
        <f>'BID I'!F1076</f>
        <v>200000</v>
      </c>
      <c r="J222" s="66" t="s">
        <v>2620</v>
      </c>
      <c r="K222" s="32" t="s">
        <v>2994</v>
      </c>
      <c r="L222" s="32"/>
      <c r="M222" s="32"/>
      <c r="N222" s="32"/>
      <c r="O222" s="32"/>
      <c r="P222" s="32"/>
      <c r="Q222" s="32"/>
      <c r="R222" s="32"/>
      <c r="S222" s="32"/>
      <c r="T222" s="497">
        <v>200000</v>
      </c>
      <c r="U222" s="32"/>
      <c r="V222" s="32"/>
      <c r="W222" s="32"/>
      <c r="X222" s="1750">
        <f t="shared" si="6"/>
        <v>200000</v>
      </c>
      <c r="Y222" s="175">
        <f t="shared" si="7"/>
        <v>0</v>
      </c>
    </row>
    <row r="223" spans="1:25" ht="45" x14ac:dyDescent="0.25">
      <c r="A223" s="32"/>
      <c r="B223" s="32"/>
      <c r="C223" s="32"/>
      <c r="D223" s="32">
        <v>5</v>
      </c>
      <c r="E223" s="32">
        <v>2</v>
      </c>
      <c r="F223" s="32">
        <v>7</v>
      </c>
      <c r="G223" s="32"/>
      <c r="H223" s="66" t="str">
        <f>'BID I'!B1077</f>
        <v>Belanja Barang Jasa yang diserahkan kepada masyarakat</v>
      </c>
      <c r="I223" s="32"/>
      <c r="J223" s="66"/>
      <c r="K223" s="32" t="s">
        <v>2994</v>
      </c>
      <c r="L223" s="32"/>
      <c r="M223" s="32"/>
      <c r="N223" s="32"/>
      <c r="O223" s="32"/>
      <c r="P223" s="32"/>
      <c r="Q223" s="32"/>
      <c r="R223" s="32"/>
      <c r="S223" s="32"/>
      <c r="T223" s="497"/>
      <c r="U223" s="32"/>
      <c r="V223" s="32"/>
      <c r="W223" s="32"/>
      <c r="X223" s="1750">
        <f t="shared" si="6"/>
        <v>0</v>
      </c>
      <c r="Y223" s="175">
        <f t="shared" si="7"/>
        <v>0</v>
      </c>
    </row>
    <row r="224" spans="1:25" x14ac:dyDescent="0.25">
      <c r="A224" s="32"/>
      <c r="B224" s="32"/>
      <c r="C224" s="32"/>
      <c r="D224" s="32"/>
      <c r="E224" s="32"/>
      <c r="F224" s="32"/>
      <c r="G224" s="32">
        <v>91</v>
      </c>
      <c r="H224" s="32" t="str">
        <f>'BID I'!B1078</f>
        <v>Belanja uang Saku</v>
      </c>
      <c r="I224" s="174">
        <f>SUM('BID I'!F1079)</f>
        <v>6800000</v>
      </c>
      <c r="J224" s="66" t="s">
        <v>2620</v>
      </c>
      <c r="K224" s="32" t="s">
        <v>2994</v>
      </c>
      <c r="L224" s="32"/>
      <c r="M224" s="32"/>
      <c r="N224" s="32"/>
      <c r="O224" s="32"/>
      <c r="P224" s="32"/>
      <c r="Q224" s="32"/>
      <c r="R224" s="32"/>
      <c r="S224" s="32"/>
      <c r="T224" s="497">
        <v>6800000</v>
      </c>
      <c r="U224" s="32"/>
      <c r="V224" s="32"/>
      <c r="W224" s="32"/>
      <c r="X224" s="1750">
        <f t="shared" ref="X224:X287" si="8">SUM(L224:W224)</f>
        <v>6800000</v>
      </c>
      <c r="Y224" s="175">
        <f t="shared" si="7"/>
        <v>0</v>
      </c>
    </row>
    <row r="225" spans="1:25" ht="105" x14ac:dyDescent="0.25">
      <c r="A225" s="1344">
        <v>1</v>
      </c>
      <c r="B225" s="1344">
        <v>4</v>
      </c>
      <c r="C225" s="1346" t="s">
        <v>2688</v>
      </c>
      <c r="D225" s="1344"/>
      <c r="E225" s="1344"/>
      <c r="F225" s="1344"/>
      <c r="G225" s="1344"/>
      <c r="H225" s="1345" t="str">
        <f>'BID I'!B1098</f>
        <v>Penyelenggaraan Musyawarah Desa/ Pembahasan APBDes (Musdes, Musrenbangdes/pra musrenbangdes, dll yang bersifat reguler )</v>
      </c>
      <c r="I225" s="1347">
        <f>SUM(I226:I234)</f>
        <v>41416000</v>
      </c>
      <c r="J225" s="1345" t="s">
        <v>1682</v>
      </c>
      <c r="K225" s="1344" t="s">
        <v>2994</v>
      </c>
      <c r="L225" s="1344"/>
      <c r="M225" s="1344"/>
      <c r="N225" s="1344"/>
      <c r="O225" s="1344"/>
      <c r="P225" s="1344"/>
      <c r="Q225" s="1344"/>
      <c r="R225" s="1344"/>
      <c r="S225" s="1344"/>
      <c r="T225" s="1344"/>
      <c r="U225" s="1344"/>
      <c r="V225" s="1344"/>
      <c r="W225" s="1344"/>
      <c r="X225" s="1353">
        <f t="shared" si="8"/>
        <v>0</v>
      </c>
      <c r="Y225" s="175">
        <f t="shared" si="7"/>
        <v>-41416000</v>
      </c>
    </row>
    <row r="226" spans="1:25" x14ac:dyDescent="0.25">
      <c r="A226" s="32"/>
      <c r="B226" s="32"/>
      <c r="C226" s="32"/>
      <c r="D226" s="32">
        <v>5</v>
      </c>
      <c r="E226" s="32">
        <v>2</v>
      </c>
      <c r="F226" s="32"/>
      <c r="G226" s="32"/>
      <c r="H226" s="66" t="str">
        <f>'BID I'!B1104</f>
        <v>Belanja Barang Jasa</v>
      </c>
      <c r="I226" s="32"/>
      <c r="J226" s="66"/>
      <c r="K226" s="32" t="s">
        <v>2994</v>
      </c>
      <c r="L226" s="32"/>
      <c r="M226" s="32"/>
      <c r="N226" s="32"/>
      <c r="O226" s="32"/>
      <c r="P226" s="32"/>
      <c r="Q226" s="32"/>
      <c r="R226" s="32"/>
      <c r="S226" s="32"/>
      <c r="T226" s="32"/>
      <c r="U226" s="32"/>
      <c r="V226" s="32"/>
      <c r="W226" s="32"/>
      <c r="X226" s="1750">
        <f t="shared" si="8"/>
        <v>0</v>
      </c>
      <c r="Y226" s="175">
        <f t="shared" si="7"/>
        <v>0</v>
      </c>
    </row>
    <row r="227" spans="1:25" ht="30" x14ac:dyDescent="0.25">
      <c r="A227" s="32"/>
      <c r="B227" s="32"/>
      <c r="C227" s="32"/>
      <c r="D227" s="32"/>
      <c r="E227" s="32"/>
      <c r="F227" s="32">
        <v>1</v>
      </c>
      <c r="G227" s="32"/>
      <c r="H227" s="66" t="str">
        <f>'BID I'!B1105</f>
        <v>Belanja Barang Perlengkapan</v>
      </c>
      <c r="I227" s="32"/>
      <c r="J227" s="66"/>
      <c r="K227" s="32" t="s">
        <v>2994</v>
      </c>
      <c r="L227" s="32"/>
      <c r="M227" s="32"/>
      <c r="N227" s="32"/>
      <c r="O227" s="32"/>
      <c r="P227" s="32"/>
      <c r="Q227" s="32"/>
      <c r="R227" s="32"/>
      <c r="S227" s="32"/>
      <c r="T227" s="32"/>
      <c r="U227" s="32"/>
      <c r="V227" s="32"/>
      <c r="W227" s="32"/>
      <c r="X227" s="1750">
        <f t="shared" si="8"/>
        <v>0</v>
      </c>
      <c r="Y227" s="175">
        <f t="shared" si="7"/>
        <v>0</v>
      </c>
    </row>
    <row r="228" spans="1:25" ht="60" x14ac:dyDescent="0.25">
      <c r="A228" s="32"/>
      <c r="B228" s="32"/>
      <c r="C228" s="32"/>
      <c r="D228" s="32"/>
      <c r="E228" s="32"/>
      <c r="F228" s="32"/>
      <c r="G228" s="1340" t="s">
        <v>2706</v>
      </c>
      <c r="H228" s="66" t="str">
        <f>'BID I'!B1106</f>
        <v>Belanja perlengkapan cetak/pengadaan - belanja barang cetak dan pengadaan</v>
      </c>
      <c r="I228" s="174">
        <f>SUM('BID I'!F1107)</f>
        <v>360000</v>
      </c>
      <c r="J228" s="66" t="s">
        <v>1682</v>
      </c>
      <c r="K228" s="32" t="s">
        <v>2994</v>
      </c>
      <c r="L228" s="497">
        <v>90000</v>
      </c>
      <c r="M228" s="32"/>
      <c r="N228" s="32"/>
      <c r="O228" s="32"/>
      <c r="P228" s="32"/>
      <c r="Q228" s="32"/>
      <c r="R228" s="497">
        <v>90000</v>
      </c>
      <c r="S228" s="32"/>
      <c r="T228" s="497">
        <v>90000</v>
      </c>
      <c r="U228" s="32"/>
      <c r="V228" s="32"/>
      <c r="W228" s="497">
        <v>90000</v>
      </c>
      <c r="X228" s="1750">
        <f t="shared" si="8"/>
        <v>360000</v>
      </c>
      <c r="Y228" s="175">
        <f t="shared" si="7"/>
        <v>0</v>
      </c>
    </row>
    <row r="229" spans="1:25" ht="60" x14ac:dyDescent="0.25">
      <c r="A229" s="32"/>
      <c r="B229" s="32"/>
      <c r="C229" s="32"/>
      <c r="D229" s="32"/>
      <c r="E229" s="32"/>
      <c r="F229" s="32"/>
      <c r="G229" s="1340" t="s">
        <v>2705</v>
      </c>
      <c r="H229" s="66" t="str">
        <f>'BID I'!B1109</f>
        <v>Belanja perlengkapan barang konsumsi (makan/minum)- Belanja Barang Konsumsi</v>
      </c>
      <c r="I229" s="174">
        <f>'BID I'!F1110</f>
        <v>24000000</v>
      </c>
      <c r="J229" s="66" t="s">
        <v>1682</v>
      </c>
      <c r="K229" s="32" t="s">
        <v>2994</v>
      </c>
      <c r="L229" s="497">
        <v>6000000</v>
      </c>
      <c r="M229" s="32"/>
      <c r="N229" s="32"/>
      <c r="O229" s="32"/>
      <c r="P229" s="32"/>
      <c r="Q229" s="32"/>
      <c r="R229" s="497">
        <v>6000000</v>
      </c>
      <c r="S229" s="32"/>
      <c r="T229" s="497">
        <v>6000000</v>
      </c>
      <c r="U229" s="32"/>
      <c r="V229" s="32"/>
      <c r="W229" s="497">
        <v>6000000</v>
      </c>
      <c r="X229" s="1750">
        <f t="shared" si="8"/>
        <v>24000000</v>
      </c>
      <c r="Y229" s="175">
        <f t="shared" si="7"/>
        <v>0</v>
      </c>
    </row>
    <row r="230" spans="1:25" ht="30" x14ac:dyDescent="0.25">
      <c r="A230" s="32"/>
      <c r="B230" s="32"/>
      <c r="C230" s="32"/>
      <c r="D230" s="32"/>
      <c r="E230" s="32"/>
      <c r="F230" s="32"/>
      <c r="G230" s="32">
        <v>90</v>
      </c>
      <c r="H230" s="66" t="str">
        <f>'BID I'!B1112</f>
        <v>Belanja Upakara, Upacara Dan Aci- Aci</v>
      </c>
      <c r="I230" s="174">
        <f>SUM('BID I'!F1113:F1116)</f>
        <v>656000</v>
      </c>
      <c r="J230" s="66" t="s">
        <v>1682</v>
      </c>
      <c r="K230" s="32" t="s">
        <v>2994</v>
      </c>
      <c r="L230" s="497">
        <v>164000</v>
      </c>
      <c r="M230" s="32"/>
      <c r="N230" s="32"/>
      <c r="O230" s="32"/>
      <c r="P230" s="32"/>
      <c r="Q230" s="32"/>
      <c r="R230" s="497">
        <v>164000</v>
      </c>
      <c r="S230" s="32"/>
      <c r="T230" s="497">
        <v>164000</v>
      </c>
      <c r="U230" s="32"/>
      <c r="V230" s="32"/>
      <c r="W230" s="497">
        <v>164000</v>
      </c>
      <c r="X230" s="1750">
        <f t="shared" si="8"/>
        <v>656000</v>
      </c>
      <c r="Y230" s="175">
        <f t="shared" si="7"/>
        <v>0</v>
      </c>
    </row>
    <row r="231" spans="1:25" x14ac:dyDescent="0.25">
      <c r="A231" s="32"/>
      <c r="B231" s="32"/>
      <c r="C231" s="32"/>
      <c r="D231" s="32">
        <v>5</v>
      </c>
      <c r="E231" s="32">
        <v>2</v>
      </c>
      <c r="F231" s="32">
        <v>2</v>
      </c>
      <c r="G231" s="32"/>
      <c r="H231" s="66" t="str">
        <f>'BID I'!B1074</f>
        <v>Belanja  Jasa Honorarium</v>
      </c>
      <c r="I231" s="174"/>
      <c r="J231" s="66"/>
      <c r="K231" s="32" t="s">
        <v>2994</v>
      </c>
      <c r="L231" s="497"/>
      <c r="M231" s="32"/>
      <c r="N231" s="32"/>
      <c r="O231" s="32"/>
      <c r="P231" s="32"/>
      <c r="Q231" s="32"/>
      <c r="R231" s="497"/>
      <c r="S231" s="32"/>
      <c r="T231" s="497"/>
      <c r="U231" s="32"/>
      <c r="V231" s="32"/>
      <c r="W231" s="497"/>
      <c r="X231" s="1750">
        <f t="shared" si="8"/>
        <v>0</v>
      </c>
      <c r="Y231" s="175">
        <f t="shared" si="7"/>
        <v>0</v>
      </c>
    </row>
    <row r="232" spans="1:25" ht="30" x14ac:dyDescent="0.25">
      <c r="A232" s="32"/>
      <c r="B232" s="32"/>
      <c r="C232" s="32"/>
      <c r="D232" s="32"/>
      <c r="E232" s="32"/>
      <c r="F232" s="32"/>
      <c r="G232" s="1340" t="s">
        <v>2706</v>
      </c>
      <c r="H232" s="66" t="str">
        <f>'BID I'!B1075</f>
        <v>Belanja Jasa Honorarium Petugas</v>
      </c>
      <c r="I232" s="174">
        <f>'BID I'!F1120</f>
        <v>400000</v>
      </c>
      <c r="J232" s="66" t="s">
        <v>1682</v>
      </c>
      <c r="K232" s="32" t="s">
        <v>2994</v>
      </c>
      <c r="L232" s="497">
        <v>100000</v>
      </c>
      <c r="M232" s="32"/>
      <c r="N232" s="32"/>
      <c r="O232" s="32"/>
      <c r="P232" s="32"/>
      <c r="Q232" s="32"/>
      <c r="R232" s="497">
        <v>100000</v>
      </c>
      <c r="S232" s="32"/>
      <c r="T232" s="497">
        <v>100000</v>
      </c>
      <c r="U232" s="32"/>
      <c r="V232" s="32"/>
      <c r="W232" s="497">
        <v>100000</v>
      </c>
      <c r="X232" s="1750">
        <f t="shared" si="8"/>
        <v>400000</v>
      </c>
      <c r="Y232" s="175">
        <f t="shared" si="7"/>
        <v>0</v>
      </c>
    </row>
    <row r="233" spans="1:25" ht="45" x14ac:dyDescent="0.25">
      <c r="A233" s="32"/>
      <c r="B233" s="32"/>
      <c r="C233" s="32"/>
      <c r="D233" s="32">
        <v>5</v>
      </c>
      <c r="E233" s="32">
        <v>2</v>
      </c>
      <c r="F233" s="32">
        <v>7</v>
      </c>
      <c r="G233" s="32"/>
      <c r="H233" s="66" t="str">
        <f>'BID I'!B1122</f>
        <v>Belanja Barang Jasa yang diserahkan kepada masyarakat</v>
      </c>
      <c r="I233" s="32"/>
      <c r="J233" s="66"/>
      <c r="K233" s="32" t="s">
        <v>2994</v>
      </c>
      <c r="L233" s="497"/>
      <c r="M233" s="32"/>
      <c r="N233" s="32"/>
      <c r="O233" s="32"/>
      <c r="P233" s="32"/>
      <c r="Q233" s="32"/>
      <c r="R233" s="497"/>
      <c r="S233" s="32"/>
      <c r="T233" s="497"/>
      <c r="U233" s="32"/>
      <c r="V233" s="32"/>
      <c r="W233" s="497"/>
      <c r="X233" s="1750">
        <f t="shared" si="8"/>
        <v>0</v>
      </c>
      <c r="Y233" s="175">
        <f t="shared" si="7"/>
        <v>0</v>
      </c>
    </row>
    <row r="234" spans="1:25" x14ac:dyDescent="0.25">
      <c r="A234" s="32"/>
      <c r="B234" s="32"/>
      <c r="C234" s="32"/>
      <c r="D234" s="32"/>
      <c r="E234" s="32"/>
      <c r="F234" s="32"/>
      <c r="G234" s="32">
        <v>91</v>
      </c>
      <c r="H234" s="66" t="str">
        <f>'BID I'!B1123</f>
        <v>Belanja Uang Saku</v>
      </c>
      <c r="I234" s="174">
        <f>SUM('BID I'!F1124)</f>
        <v>16000000</v>
      </c>
      <c r="J234" s="66" t="s">
        <v>1682</v>
      </c>
      <c r="K234" s="32" t="s">
        <v>2994</v>
      </c>
      <c r="L234" s="497">
        <v>4000000</v>
      </c>
      <c r="M234" s="32"/>
      <c r="N234" s="32"/>
      <c r="O234" s="32"/>
      <c r="P234" s="32"/>
      <c r="Q234" s="32"/>
      <c r="R234" s="497">
        <v>4000000</v>
      </c>
      <c r="S234" s="32"/>
      <c r="T234" s="497">
        <v>4000000</v>
      </c>
      <c r="U234" s="32"/>
      <c r="V234" s="32"/>
      <c r="W234" s="497">
        <v>4000000</v>
      </c>
      <c r="X234" s="1750">
        <f t="shared" si="8"/>
        <v>16000000</v>
      </c>
      <c r="Y234" s="175">
        <f t="shared" ref="Y234:Y297" si="9">X234-I234</f>
        <v>0</v>
      </c>
    </row>
    <row r="235" spans="1:25" ht="60" x14ac:dyDescent="0.25">
      <c r="A235" s="1344">
        <v>1</v>
      </c>
      <c r="B235" s="1344">
        <v>4</v>
      </c>
      <c r="C235" s="1346" t="s">
        <v>2702</v>
      </c>
      <c r="D235" s="1344"/>
      <c r="E235" s="1344"/>
      <c r="F235" s="1344"/>
      <c r="G235" s="1344"/>
      <c r="H235" s="1345" t="str">
        <f>'BID I'!B1143</f>
        <v>: Penyelenggaraan Musyawarah Desa lainya (yang bersifat non reguler )</v>
      </c>
      <c r="I235" s="1347">
        <f>SUM(I236:I244)</f>
        <v>41412000</v>
      </c>
      <c r="J235" s="1345" t="s">
        <v>1682</v>
      </c>
      <c r="K235" s="1344" t="s">
        <v>2994</v>
      </c>
      <c r="L235" s="1344"/>
      <c r="M235" s="1344"/>
      <c r="N235" s="1344"/>
      <c r="O235" s="1344"/>
      <c r="P235" s="1344"/>
      <c r="Q235" s="1344"/>
      <c r="R235" s="1344"/>
      <c r="S235" s="1344"/>
      <c r="T235" s="1344"/>
      <c r="U235" s="1344"/>
      <c r="V235" s="1344"/>
      <c r="W235" s="1344"/>
      <c r="X235" s="1353">
        <f t="shared" si="8"/>
        <v>0</v>
      </c>
      <c r="Y235" s="175">
        <f t="shared" si="9"/>
        <v>-41412000</v>
      </c>
    </row>
    <row r="236" spans="1:25" x14ac:dyDescent="0.25">
      <c r="A236" s="32"/>
      <c r="B236" s="32"/>
      <c r="C236" s="32"/>
      <c r="D236" s="32">
        <v>5</v>
      </c>
      <c r="E236" s="32">
        <v>2</v>
      </c>
      <c r="F236" s="32"/>
      <c r="G236" s="32"/>
      <c r="H236" s="66" t="str">
        <f>'BID I'!B1149</f>
        <v>Belanja Barang Jasa</v>
      </c>
      <c r="I236" s="32"/>
      <c r="J236" s="66"/>
      <c r="K236" s="32" t="s">
        <v>2994</v>
      </c>
      <c r="L236" s="32"/>
      <c r="M236" s="32"/>
      <c r="N236" s="32"/>
      <c r="O236" s="32"/>
      <c r="P236" s="32"/>
      <c r="Q236" s="32"/>
      <c r="R236" s="32"/>
      <c r="S236" s="32"/>
      <c r="T236" s="32"/>
      <c r="U236" s="32"/>
      <c r="V236" s="32"/>
      <c r="W236" s="32"/>
      <c r="X236" s="1750">
        <f t="shared" si="8"/>
        <v>0</v>
      </c>
      <c r="Y236" s="175">
        <f t="shared" si="9"/>
        <v>0</v>
      </c>
    </row>
    <row r="237" spans="1:25" ht="30" x14ac:dyDescent="0.25">
      <c r="A237" s="32"/>
      <c r="B237" s="32"/>
      <c r="C237" s="32"/>
      <c r="D237" s="32"/>
      <c r="E237" s="32"/>
      <c r="F237" s="32">
        <v>1</v>
      </c>
      <c r="G237" s="32"/>
      <c r="H237" s="66" t="str">
        <f>'BID I'!B1150</f>
        <v>Belanja Barang Perlengkapan</v>
      </c>
      <c r="I237" s="32"/>
      <c r="J237" s="66"/>
      <c r="K237" s="32" t="s">
        <v>2994</v>
      </c>
      <c r="L237" s="32"/>
      <c r="M237" s="32"/>
      <c r="N237" s="32"/>
      <c r="O237" s="32"/>
      <c r="P237" s="32"/>
      <c r="Q237" s="32"/>
      <c r="R237" s="32"/>
      <c r="S237" s="32"/>
      <c r="T237" s="32"/>
      <c r="U237" s="32"/>
      <c r="V237" s="32"/>
      <c r="W237" s="32"/>
      <c r="X237" s="1750">
        <f t="shared" si="8"/>
        <v>0</v>
      </c>
      <c r="Y237" s="175">
        <f t="shared" si="9"/>
        <v>0</v>
      </c>
    </row>
    <row r="238" spans="1:25" ht="60" x14ac:dyDescent="0.25">
      <c r="A238" s="32"/>
      <c r="B238" s="32"/>
      <c r="C238" s="32"/>
      <c r="D238" s="32"/>
      <c r="E238" s="32"/>
      <c r="F238" s="32"/>
      <c r="G238" s="1340" t="s">
        <v>2706</v>
      </c>
      <c r="H238" s="66" t="str">
        <f>'BID I'!B1151</f>
        <v>Belanja perlengkapan cetak/pengadaan - belanja barang cetak dan pengadaan</v>
      </c>
      <c r="I238" s="174">
        <f>SUM('BID I'!F1152)</f>
        <v>360000</v>
      </c>
      <c r="J238" s="66" t="s">
        <v>1682</v>
      </c>
      <c r="K238" s="32" t="s">
        <v>2994</v>
      </c>
      <c r="L238" s="32"/>
      <c r="M238" s="32"/>
      <c r="N238" s="497">
        <v>90000</v>
      </c>
      <c r="O238" s="32"/>
      <c r="P238" s="32"/>
      <c r="Q238" s="32"/>
      <c r="R238" s="497">
        <v>90000</v>
      </c>
      <c r="S238" s="32"/>
      <c r="T238" s="32"/>
      <c r="U238" s="497">
        <v>90000</v>
      </c>
      <c r="V238" s="497">
        <v>90000</v>
      </c>
      <c r="W238" s="32"/>
      <c r="X238" s="1750">
        <f t="shared" si="8"/>
        <v>360000</v>
      </c>
      <c r="Y238" s="175">
        <f t="shared" si="9"/>
        <v>0</v>
      </c>
    </row>
    <row r="239" spans="1:25" ht="60" x14ac:dyDescent="0.25">
      <c r="A239" s="32"/>
      <c r="B239" s="32"/>
      <c r="C239" s="32"/>
      <c r="D239" s="32"/>
      <c r="E239" s="32"/>
      <c r="F239" s="32"/>
      <c r="G239" s="1340" t="s">
        <v>2705</v>
      </c>
      <c r="H239" s="66" t="str">
        <f>'BID I'!B1154</f>
        <v>Belanja perlengkapan barang konsumsi (makan/minum)- Belanja Barang Konsumsi</v>
      </c>
      <c r="I239" s="174">
        <f>'BID I'!F1155</f>
        <v>24000000</v>
      </c>
      <c r="J239" s="66" t="s">
        <v>1682</v>
      </c>
      <c r="K239" s="32" t="s">
        <v>2994</v>
      </c>
      <c r="L239" s="32"/>
      <c r="M239" s="32"/>
      <c r="N239" s="497">
        <v>6000000</v>
      </c>
      <c r="O239" s="32"/>
      <c r="P239" s="32"/>
      <c r="Q239" s="32"/>
      <c r="R239" s="497">
        <v>6000000</v>
      </c>
      <c r="S239" s="32"/>
      <c r="T239" s="32"/>
      <c r="U239" s="497">
        <v>6000000</v>
      </c>
      <c r="V239" s="497">
        <v>6000000</v>
      </c>
      <c r="W239" s="32"/>
      <c r="X239" s="1750">
        <f t="shared" si="8"/>
        <v>24000000</v>
      </c>
      <c r="Y239" s="175">
        <f t="shared" si="9"/>
        <v>0</v>
      </c>
    </row>
    <row r="240" spans="1:25" ht="30" x14ac:dyDescent="0.25">
      <c r="A240" s="32"/>
      <c r="B240" s="32"/>
      <c r="C240" s="32"/>
      <c r="D240" s="32"/>
      <c r="E240" s="32"/>
      <c r="F240" s="32"/>
      <c r="G240" s="32">
        <v>90</v>
      </c>
      <c r="H240" s="66" t="str">
        <f>'BID I'!B1157</f>
        <v>Belanja Upakara, Upacara Dan Aci- Aci</v>
      </c>
      <c r="I240" s="174">
        <f>SUM('BID I'!F1158:F1161)</f>
        <v>652000</v>
      </c>
      <c r="J240" s="66" t="s">
        <v>1682</v>
      </c>
      <c r="K240" s="32" t="s">
        <v>2994</v>
      </c>
      <c r="L240" s="32"/>
      <c r="M240" s="32"/>
      <c r="N240" s="497">
        <v>163000</v>
      </c>
      <c r="O240" s="32"/>
      <c r="P240" s="32"/>
      <c r="Q240" s="32"/>
      <c r="R240" s="497">
        <v>163000</v>
      </c>
      <c r="S240" s="32"/>
      <c r="T240" s="32"/>
      <c r="U240" s="497">
        <v>163000</v>
      </c>
      <c r="V240" s="497">
        <v>163000</v>
      </c>
      <c r="W240" s="32"/>
      <c r="X240" s="1750">
        <f t="shared" si="8"/>
        <v>652000</v>
      </c>
      <c r="Y240" s="175">
        <f t="shared" si="9"/>
        <v>0</v>
      </c>
    </row>
    <row r="241" spans="1:25" x14ac:dyDescent="0.25">
      <c r="A241" s="32"/>
      <c r="B241" s="32"/>
      <c r="C241" s="32"/>
      <c r="D241" s="32">
        <v>5</v>
      </c>
      <c r="E241" s="32">
        <v>2</v>
      </c>
      <c r="F241" s="32">
        <v>2</v>
      </c>
      <c r="G241" s="32"/>
      <c r="H241" s="66" t="str">
        <f>'BID I'!B1163</f>
        <v>Belanja  Jasa Honorarium</v>
      </c>
      <c r="I241" s="32"/>
      <c r="J241" s="66"/>
      <c r="K241" s="32" t="s">
        <v>2994</v>
      </c>
      <c r="L241" s="32"/>
      <c r="M241" s="32"/>
      <c r="N241" s="497"/>
      <c r="O241" s="32"/>
      <c r="P241" s="32"/>
      <c r="Q241" s="32"/>
      <c r="R241" s="497"/>
      <c r="S241" s="32"/>
      <c r="T241" s="32"/>
      <c r="U241" s="497"/>
      <c r="V241" s="497"/>
      <c r="W241" s="32"/>
      <c r="X241" s="1750">
        <f t="shared" si="8"/>
        <v>0</v>
      </c>
      <c r="Y241" s="175">
        <f t="shared" si="9"/>
        <v>0</v>
      </c>
    </row>
    <row r="242" spans="1:25" ht="30" x14ac:dyDescent="0.25">
      <c r="A242" s="32"/>
      <c r="B242" s="32"/>
      <c r="C242" s="32"/>
      <c r="D242" s="32"/>
      <c r="E242" s="32"/>
      <c r="F242" s="32"/>
      <c r="G242" s="1340" t="s">
        <v>2706</v>
      </c>
      <c r="H242" s="66" t="str">
        <f>'BID I'!B1164</f>
        <v>Belanja Jasa Honorarium Petugas</v>
      </c>
      <c r="I242" s="174">
        <f>SUM('BID I'!F1165)</f>
        <v>400000</v>
      </c>
      <c r="J242" s="66" t="s">
        <v>1682</v>
      </c>
      <c r="K242" s="32" t="s">
        <v>2994</v>
      </c>
      <c r="L242" s="32"/>
      <c r="M242" s="32"/>
      <c r="N242" s="497">
        <v>100000</v>
      </c>
      <c r="O242" s="32"/>
      <c r="P242" s="32"/>
      <c r="Q242" s="32"/>
      <c r="R242" s="497">
        <v>100000</v>
      </c>
      <c r="S242" s="32"/>
      <c r="T242" s="32"/>
      <c r="U242" s="497">
        <v>100000</v>
      </c>
      <c r="V242" s="497">
        <v>100000</v>
      </c>
      <c r="W242" s="32"/>
      <c r="X242" s="1750">
        <f t="shared" si="8"/>
        <v>400000</v>
      </c>
      <c r="Y242" s="175">
        <f t="shared" si="9"/>
        <v>0</v>
      </c>
    </row>
    <row r="243" spans="1:25" ht="45" x14ac:dyDescent="0.25">
      <c r="A243" s="32"/>
      <c r="B243" s="32"/>
      <c r="C243" s="32"/>
      <c r="D243" s="32">
        <v>5</v>
      </c>
      <c r="E243" s="32">
        <v>2</v>
      </c>
      <c r="F243" s="32">
        <v>7</v>
      </c>
      <c r="G243" s="32"/>
      <c r="H243" s="66" t="str">
        <f>'BID I'!B1167</f>
        <v>Belanja Barang Jasa yang diserahkan kepada masyarakat</v>
      </c>
      <c r="I243" s="32"/>
      <c r="J243" s="66"/>
      <c r="K243" s="32" t="s">
        <v>2994</v>
      </c>
      <c r="L243" s="32"/>
      <c r="M243" s="32"/>
      <c r="N243" s="497"/>
      <c r="O243" s="32"/>
      <c r="P243" s="32"/>
      <c r="Q243" s="32"/>
      <c r="R243" s="497"/>
      <c r="S243" s="32"/>
      <c r="T243" s="32"/>
      <c r="U243" s="497"/>
      <c r="V243" s="497"/>
      <c r="W243" s="32"/>
      <c r="X243" s="1750">
        <f t="shared" si="8"/>
        <v>0</v>
      </c>
      <c r="Y243" s="175">
        <f t="shared" si="9"/>
        <v>0</v>
      </c>
    </row>
    <row r="244" spans="1:25" x14ac:dyDescent="0.25">
      <c r="A244" s="32"/>
      <c r="B244" s="32"/>
      <c r="C244" s="32"/>
      <c r="D244" s="32"/>
      <c r="E244" s="32"/>
      <c r="F244" s="32"/>
      <c r="G244" s="32">
        <v>91</v>
      </c>
      <c r="H244" s="32" t="str">
        <f>'BID I'!B1168</f>
        <v>Belanja Uang Saku</v>
      </c>
      <c r="I244" s="174">
        <f>SUM('BID I'!F1169)</f>
        <v>16000000</v>
      </c>
      <c r="J244" s="66" t="s">
        <v>1682</v>
      </c>
      <c r="K244" s="32" t="s">
        <v>2994</v>
      </c>
      <c r="L244" s="32"/>
      <c r="M244" s="32"/>
      <c r="N244" s="497">
        <v>4000000</v>
      </c>
      <c r="O244" s="32"/>
      <c r="P244" s="32"/>
      <c r="Q244" s="32"/>
      <c r="R244" s="497">
        <v>4000000</v>
      </c>
      <c r="S244" s="32"/>
      <c r="T244" s="32"/>
      <c r="U244" s="497">
        <v>4000000</v>
      </c>
      <c r="V244" s="497">
        <v>4000000</v>
      </c>
      <c r="W244" s="32"/>
      <c r="X244" s="1750">
        <f t="shared" si="8"/>
        <v>16000000</v>
      </c>
      <c r="Y244" s="175">
        <f t="shared" si="9"/>
        <v>0</v>
      </c>
    </row>
    <row r="245" spans="1:25" ht="45" x14ac:dyDescent="0.25">
      <c r="A245" s="1344">
        <v>1</v>
      </c>
      <c r="B245" s="1344">
        <v>4</v>
      </c>
      <c r="C245" s="1346" t="s">
        <v>2703</v>
      </c>
      <c r="D245" s="1344"/>
      <c r="E245" s="1344"/>
      <c r="F245" s="1344"/>
      <c r="G245" s="1344"/>
      <c r="H245" s="1345" t="str">
        <f>'BID I'!B1219</f>
        <v>Penyusunan Dokumen Perencanaan Desa (RKP Desa 2025)</v>
      </c>
      <c r="I245" s="1347">
        <f>SUM(I246:I251)</f>
        <v>25930000</v>
      </c>
      <c r="J245" s="1345" t="s">
        <v>1682</v>
      </c>
      <c r="K245" s="1344" t="s">
        <v>2994</v>
      </c>
      <c r="L245" s="1344"/>
      <c r="M245" s="1344"/>
      <c r="N245" s="1344"/>
      <c r="O245" s="1344"/>
      <c r="P245" s="1344"/>
      <c r="Q245" s="1344"/>
      <c r="R245" s="1344"/>
      <c r="S245" s="1344"/>
      <c r="T245" s="1344"/>
      <c r="U245" s="1344"/>
      <c r="V245" s="1344"/>
      <c r="W245" s="1344"/>
      <c r="X245" s="1353">
        <f t="shared" si="8"/>
        <v>0</v>
      </c>
      <c r="Y245" s="175">
        <f t="shared" si="9"/>
        <v>-25930000</v>
      </c>
    </row>
    <row r="246" spans="1:25" x14ac:dyDescent="0.25">
      <c r="A246" s="32"/>
      <c r="B246" s="32"/>
      <c r="C246" s="32"/>
      <c r="D246" s="32">
        <v>5</v>
      </c>
      <c r="E246" s="32">
        <v>2</v>
      </c>
      <c r="F246" s="32"/>
      <c r="G246" s="32"/>
      <c r="H246" s="66" t="str">
        <f>'BID I'!B1225</f>
        <v>Belanja Barang Jasa</v>
      </c>
      <c r="I246" s="32"/>
      <c r="J246" s="66"/>
      <c r="K246" s="32" t="s">
        <v>2994</v>
      </c>
      <c r="L246" s="32"/>
      <c r="M246" s="32"/>
      <c r="N246" s="32"/>
      <c r="O246" s="32"/>
      <c r="P246" s="32"/>
      <c r="Q246" s="32"/>
      <c r="R246" s="32"/>
      <c r="S246" s="32"/>
      <c r="T246" s="32"/>
      <c r="U246" s="32"/>
      <c r="V246" s="32"/>
      <c r="W246" s="32"/>
      <c r="X246" s="1750">
        <f t="shared" si="8"/>
        <v>0</v>
      </c>
      <c r="Y246" s="175">
        <f t="shared" si="9"/>
        <v>0</v>
      </c>
    </row>
    <row r="247" spans="1:25" ht="30" x14ac:dyDescent="0.25">
      <c r="A247" s="32"/>
      <c r="B247" s="32"/>
      <c r="C247" s="32"/>
      <c r="D247" s="32"/>
      <c r="E247" s="32"/>
      <c r="F247" s="32">
        <v>1</v>
      </c>
      <c r="G247" s="32"/>
      <c r="H247" s="66" t="str">
        <f>'BID I'!B1226</f>
        <v>Belanja Barang Perlengkapan</v>
      </c>
      <c r="I247" s="32"/>
      <c r="J247" s="66"/>
      <c r="K247" s="32" t="s">
        <v>2994</v>
      </c>
      <c r="L247" s="32"/>
      <c r="M247" s="32"/>
      <c r="N247" s="32"/>
      <c r="O247" s="32"/>
      <c r="P247" s="32"/>
      <c r="Q247" s="32"/>
      <c r="R247" s="32"/>
      <c r="S247" s="32"/>
      <c r="T247" s="32"/>
      <c r="U247" s="32"/>
      <c r="V247" s="32"/>
      <c r="W247" s="32"/>
      <c r="X247" s="1750">
        <f t="shared" si="8"/>
        <v>0</v>
      </c>
      <c r="Y247" s="175">
        <f t="shared" si="9"/>
        <v>0</v>
      </c>
    </row>
    <row r="248" spans="1:25" ht="60" x14ac:dyDescent="0.25">
      <c r="A248" s="32"/>
      <c r="B248" s="32"/>
      <c r="C248" s="32"/>
      <c r="D248" s="32"/>
      <c r="E248" s="32"/>
      <c r="F248" s="32"/>
      <c r="G248" s="1340" t="s">
        <v>2706</v>
      </c>
      <c r="H248" s="66" t="str">
        <f>'BID I'!B1227</f>
        <v>Belanja perlengkapan cetak/pengadaan - belanja barang cetak dan pengadaan</v>
      </c>
      <c r="I248" s="174">
        <f>SUM('BID I'!F1228)</f>
        <v>1800000</v>
      </c>
      <c r="J248" s="66" t="s">
        <v>1682</v>
      </c>
      <c r="K248" s="32" t="s">
        <v>2994</v>
      </c>
      <c r="L248" s="32"/>
      <c r="M248" s="32"/>
      <c r="N248" s="32"/>
      <c r="O248" s="32"/>
      <c r="P248" s="32"/>
      <c r="Q248" s="32"/>
      <c r="R248" s="32"/>
      <c r="S248" s="32"/>
      <c r="T248" s="497">
        <v>1800000</v>
      </c>
      <c r="U248" s="32"/>
      <c r="V248" s="32"/>
      <c r="W248" s="32"/>
      <c r="X248" s="1750">
        <f t="shared" si="8"/>
        <v>1800000</v>
      </c>
      <c r="Y248" s="175">
        <f t="shared" si="9"/>
        <v>0</v>
      </c>
    </row>
    <row r="249" spans="1:25" ht="60" x14ac:dyDescent="0.25">
      <c r="A249" s="32"/>
      <c r="B249" s="32"/>
      <c r="C249" s="32"/>
      <c r="D249" s="32"/>
      <c r="E249" s="32"/>
      <c r="F249" s="32"/>
      <c r="G249" s="1340" t="s">
        <v>2705</v>
      </c>
      <c r="H249" s="66" t="str">
        <f>'BID I'!B1230</f>
        <v>Belanja perlengkapan barang konsumsi (makan/minum)- Belanja Barang Konsumsi</v>
      </c>
      <c r="I249" s="174">
        <f>SUM('BID I'!F1231)</f>
        <v>1980000</v>
      </c>
      <c r="J249" s="66" t="s">
        <v>1682</v>
      </c>
      <c r="K249" s="32" t="s">
        <v>2994</v>
      </c>
      <c r="L249" s="32"/>
      <c r="M249" s="32"/>
      <c r="N249" s="32"/>
      <c r="O249" s="32"/>
      <c r="P249" s="32"/>
      <c r="Q249" s="32"/>
      <c r="R249" s="32"/>
      <c r="S249" s="32"/>
      <c r="T249" s="497">
        <v>1980000</v>
      </c>
      <c r="U249" s="32"/>
      <c r="V249" s="32"/>
      <c r="W249" s="32"/>
      <c r="X249" s="1750">
        <f t="shared" si="8"/>
        <v>1980000</v>
      </c>
      <c r="Y249" s="175">
        <f t="shared" si="9"/>
        <v>0</v>
      </c>
    </row>
    <row r="250" spans="1:25" x14ac:dyDescent="0.25">
      <c r="A250" s="32"/>
      <c r="B250" s="32"/>
      <c r="C250" s="32"/>
      <c r="D250" s="32">
        <v>5</v>
      </c>
      <c r="E250" s="32">
        <v>2</v>
      </c>
      <c r="F250" s="32">
        <v>2</v>
      </c>
      <c r="G250" s="32"/>
      <c r="H250" s="66" t="str">
        <f>'BID I'!B1233</f>
        <v>Belanja Jasa Honorarium</v>
      </c>
      <c r="I250" s="32"/>
      <c r="J250" s="66"/>
      <c r="K250" s="32" t="s">
        <v>2994</v>
      </c>
      <c r="L250" s="32"/>
      <c r="M250" s="32"/>
      <c r="N250" s="32"/>
      <c r="O250" s="32"/>
      <c r="P250" s="32"/>
      <c r="Q250" s="32"/>
      <c r="R250" s="32"/>
      <c r="S250" s="32"/>
      <c r="T250" s="497"/>
      <c r="U250" s="32"/>
      <c r="V250" s="32"/>
      <c r="W250" s="32"/>
      <c r="X250" s="1750">
        <f t="shared" si="8"/>
        <v>0</v>
      </c>
      <c r="Y250" s="175">
        <f t="shared" si="9"/>
        <v>0</v>
      </c>
    </row>
    <row r="251" spans="1:25" ht="45" x14ac:dyDescent="0.25">
      <c r="A251" s="32"/>
      <c r="B251" s="32"/>
      <c r="C251" s="32"/>
      <c r="D251" s="32"/>
      <c r="E251" s="32"/>
      <c r="F251" s="32"/>
      <c r="G251" s="1340" t="s">
        <v>2688</v>
      </c>
      <c r="H251" s="66" t="str">
        <f>'BID I'!B1234</f>
        <v>Belanja Jasa Honorarium Tim yang melaksanakan kegiatan</v>
      </c>
      <c r="I251" s="174">
        <f>SUM('BID I'!F1236:F1243)</f>
        <v>22150000</v>
      </c>
      <c r="J251" s="66" t="s">
        <v>1682</v>
      </c>
      <c r="K251" s="32" t="s">
        <v>2994</v>
      </c>
      <c r="L251" s="32"/>
      <c r="M251" s="32"/>
      <c r="N251" s="32"/>
      <c r="O251" s="32"/>
      <c r="P251" s="32"/>
      <c r="Q251" s="32"/>
      <c r="R251" s="32"/>
      <c r="S251" s="32"/>
      <c r="T251" s="497">
        <v>22150000</v>
      </c>
      <c r="U251" s="32"/>
      <c r="V251" s="32"/>
      <c r="W251" s="32"/>
      <c r="X251" s="1750">
        <f t="shared" si="8"/>
        <v>22150000</v>
      </c>
      <c r="Y251" s="175">
        <f t="shared" si="9"/>
        <v>0</v>
      </c>
    </row>
    <row r="252" spans="1:25" ht="45" x14ac:dyDescent="0.25">
      <c r="A252" s="1344">
        <v>1</v>
      </c>
      <c r="B252" s="1344">
        <v>4</v>
      </c>
      <c r="C252" s="1346" t="s">
        <v>2704</v>
      </c>
      <c r="D252" s="1344"/>
      <c r="E252" s="1344"/>
      <c r="F252" s="1344"/>
      <c r="G252" s="1344"/>
      <c r="H252" s="1345" t="str">
        <f>'BID I'!B1260</f>
        <v>: Penyusunan dokumen keuangan Desa (APBDesa 2025 )</v>
      </c>
      <c r="I252" s="1347">
        <f>SUM(I253:I256)</f>
        <v>5175000</v>
      </c>
      <c r="J252" s="1345" t="s">
        <v>2627</v>
      </c>
      <c r="K252" s="1344" t="s">
        <v>2994</v>
      </c>
      <c r="L252" s="1344"/>
      <c r="M252" s="1344"/>
      <c r="N252" s="1344"/>
      <c r="O252" s="1344"/>
      <c r="P252" s="1344"/>
      <c r="Q252" s="1344"/>
      <c r="R252" s="1344"/>
      <c r="S252" s="1344"/>
      <c r="T252" s="1344"/>
      <c r="U252" s="1344"/>
      <c r="V252" s="1344"/>
      <c r="W252" s="1344"/>
      <c r="X252" s="1353">
        <f t="shared" si="8"/>
        <v>0</v>
      </c>
      <c r="Y252" s="175">
        <f t="shared" si="9"/>
        <v>-5175000</v>
      </c>
    </row>
    <row r="253" spans="1:25" x14ac:dyDescent="0.25">
      <c r="A253" s="32"/>
      <c r="B253" s="32"/>
      <c r="C253" s="32"/>
      <c r="D253" s="32">
        <v>5</v>
      </c>
      <c r="E253" s="32">
        <v>2</v>
      </c>
      <c r="F253" s="32"/>
      <c r="G253" s="32"/>
      <c r="H253" s="66" t="str">
        <f>'BID I'!B1266</f>
        <v>Belanja Barang Jasa :</v>
      </c>
      <c r="I253" s="32"/>
      <c r="J253" s="66"/>
      <c r="K253" s="32" t="s">
        <v>2994</v>
      </c>
      <c r="L253" s="32"/>
      <c r="M253" s="32"/>
      <c r="N253" s="32"/>
      <c r="O253" s="32"/>
      <c r="P253" s="32"/>
      <c r="Q253" s="32"/>
      <c r="R253" s="32"/>
      <c r="S253" s="32"/>
      <c r="T253" s="32"/>
      <c r="U253" s="32"/>
      <c r="V253" s="32"/>
      <c r="W253" s="32"/>
      <c r="X253" s="1750">
        <f t="shared" si="8"/>
        <v>0</v>
      </c>
      <c r="Y253" s="175">
        <f t="shared" si="9"/>
        <v>0</v>
      </c>
    </row>
    <row r="254" spans="1:25" ht="30" x14ac:dyDescent="0.25">
      <c r="A254" s="32"/>
      <c r="B254" s="32"/>
      <c r="C254" s="32"/>
      <c r="D254" s="32"/>
      <c r="E254" s="32"/>
      <c r="F254" s="32">
        <v>1</v>
      </c>
      <c r="G254" s="32"/>
      <c r="H254" s="66" t="str">
        <f>'BID I'!B1267</f>
        <v>Belanja Barang Perlengkapan</v>
      </c>
      <c r="I254" s="32"/>
      <c r="J254" s="66"/>
      <c r="K254" s="32" t="s">
        <v>2994</v>
      </c>
      <c r="L254" s="32"/>
      <c r="M254" s="32"/>
      <c r="N254" s="32"/>
      <c r="O254" s="32"/>
      <c r="P254" s="32"/>
      <c r="Q254" s="32"/>
      <c r="R254" s="32"/>
      <c r="S254" s="32"/>
      <c r="T254" s="32"/>
      <c r="U254" s="32"/>
      <c r="V254" s="32"/>
      <c r="W254" s="32"/>
      <c r="X254" s="1750">
        <f t="shared" si="8"/>
        <v>0</v>
      </c>
      <c r="Y254" s="175">
        <f t="shared" si="9"/>
        <v>0</v>
      </c>
    </row>
    <row r="255" spans="1:25" ht="60" x14ac:dyDescent="0.25">
      <c r="A255" s="32"/>
      <c r="B255" s="32"/>
      <c r="C255" s="32"/>
      <c r="D255" s="32"/>
      <c r="E255" s="32"/>
      <c r="F255" s="32"/>
      <c r="G255" s="1340" t="s">
        <v>2706</v>
      </c>
      <c r="H255" s="66" t="str">
        <f>'BID I'!B1268</f>
        <v>Belanja perlengkapan cetak/pengadaan - belanja barang cetak dan pengadaan</v>
      </c>
      <c r="I255" s="174">
        <f>SUM('BID I'!F1269:F1270)</f>
        <v>2475000</v>
      </c>
      <c r="J255" s="66" t="s">
        <v>2627</v>
      </c>
      <c r="K255" s="32" t="s">
        <v>2994</v>
      </c>
      <c r="L255" s="32"/>
      <c r="M255" s="32"/>
      <c r="N255" s="32"/>
      <c r="O255" s="32"/>
      <c r="P255" s="32"/>
      <c r="Q255" s="32"/>
      <c r="R255" s="32"/>
      <c r="S255" s="32"/>
      <c r="T255" s="32"/>
      <c r="U255" s="497">
        <v>2475000</v>
      </c>
      <c r="V255" s="32"/>
      <c r="W255" s="32"/>
      <c r="X255" s="1750">
        <f t="shared" si="8"/>
        <v>2475000</v>
      </c>
      <c r="Y255" s="175">
        <f t="shared" si="9"/>
        <v>0</v>
      </c>
    </row>
    <row r="256" spans="1:25" ht="60" x14ac:dyDescent="0.25">
      <c r="A256" s="32"/>
      <c r="B256" s="32"/>
      <c r="C256" s="32"/>
      <c r="D256" s="32"/>
      <c r="E256" s="32"/>
      <c r="F256" s="32"/>
      <c r="G256" s="1340" t="s">
        <v>2705</v>
      </c>
      <c r="H256" s="66" t="str">
        <f>'BID I'!B1272</f>
        <v>Belanja Perlengkapan barang konsumsi (makan/minum) - Belanja barang konsumsi</v>
      </c>
      <c r="I256" s="513">
        <f>SUM('BID I'!F1273)</f>
        <v>2700000</v>
      </c>
      <c r="J256" s="66" t="s">
        <v>2627</v>
      </c>
      <c r="K256" s="32" t="s">
        <v>2994</v>
      </c>
      <c r="L256" s="32"/>
      <c r="M256" s="32"/>
      <c r="N256" s="32"/>
      <c r="O256" s="32"/>
      <c r="P256" s="32"/>
      <c r="Q256" s="32"/>
      <c r="R256" s="32"/>
      <c r="S256" s="32"/>
      <c r="T256" s="32"/>
      <c r="U256" s="497">
        <v>2700000</v>
      </c>
      <c r="V256" s="32"/>
      <c r="W256" s="32"/>
      <c r="X256" s="1750">
        <f t="shared" si="8"/>
        <v>2700000</v>
      </c>
      <c r="Y256" s="175">
        <f t="shared" si="9"/>
        <v>0</v>
      </c>
    </row>
    <row r="257" spans="1:25" ht="45" x14ac:dyDescent="0.25">
      <c r="A257" s="1344">
        <v>1</v>
      </c>
      <c r="B257" s="1344">
        <v>4</v>
      </c>
      <c r="C257" s="1346" t="s">
        <v>2704</v>
      </c>
      <c r="D257" s="1344"/>
      <c r="E257" s="1344"/>
      <c r="F257" s="1344"/>
      <c r="G257" s="1344"/>
      <c r="H257" s="1345" t="str">
        <f>'BID I'!B1291</f>
        <v>: Penyusunan dokumen keuangan Desa (APBDesa Perubahan 2024)</v>
      </c>
      <c r="I257" s="1347">
        <f>SUM(I258:I261)</f>
        <v>4805000</v>
      </c>
      <c r="J257" s="1345" t="s">
        <v>1682</v>
      </c>
      <c r="K257" s="1344" t="s">
        <v>2994</v>
      </c>
      <c r="L257" s="1344"/>
      <c r="M257" s="1344"/>
      <c r="N257" s="1344"/>
      <c r="O257" s="1344"/>
      <c r="P257" s="1344"/>
      <c r="Q257" s="1344"/>
      <c r="R257" s="1344"/>
      <c r="S257" s="1344"/>
      <c r="T257" s="1344"/>
      <c r="U257" s="1344"/>
      <c r="V257" s="1344"/>
      <c r="W257" s="1344"/>
      <c r="X257" s="1353">
        <f t="shared" si="8"/>
        <v>0</v>
      </c>
      <c r="Y257" s="175">
        <f t="shared" si="9"/>
        <v>-4805000</v>
      </c>
    </row>
    <row r="258" spans="1:25" x14ac:dyDescent="0.25">
      <c r="A258" s="32"/>
      <c r="B258" s="32"/>
      <c r="C258" s="32"/>
      <c r="D258" s="32">
        <v>5</v>
      </c>
      <c r="E258" s="32">
        <v>2</v>
      </c>
      <c r="F258" s="32"/>
      <c r="G258" s="32"/>
      <c r="H258" s="66" t="str">
        <f>'BID I'!B1297</f>
        <v>Belanja Barang Jasa :</v>
      </c>
      <c r="I258" s="32"/>
      <c r="J258" s="66"/>
      <c r="K258" s="32" t="s">
        <v>2994</v>
      </c>
      <c r="L258" s="32"/>
      <c r="M258" s="32"/>
      <c r="N258" s="32"/>
      <c r="O258" s="32"/>
      <c r="P258" s="32"/>
      <c r="Q258" s="32"/>
      <c r="R258" s="32"/>
      <c r="S258" s="32"/>
      <c r="T258" s="32"/>
      <c r="U258" s="32"/>
      <c r="V258" s="32"/>
      <c r="W258" s="32"/>
      <c r="X258" s="1750">
        <f t="shared" si="8"/>
        <v>0</v>
      </c>
      <c r="Y258" s="175">
        <f t="shared" si="9"/>
        <v>0</v>
      </c>
    </row>
    <row r="259" spans="1:25" ht="30" x14ac:dyDescent="0.25">
      <c r="A259" s="32"/>
      <c r="B259" s="32"/>
      <c r="C259" s="32"/>
      <c r="D259" s="32"/>
      <c r="E259" s="32"/>
      <c r="F259" s="32"/>
      <c r="G259" s="32">
        <v>1</v>
      </c>
      <c r="H259" s="66" t="str">
        <f>'BID I'!B1298</f>
        <v>Belanja Barang Perlengkapan</v>
      </c>
      <c r="I259" s="32"/>
      <c r="J259" s="66"/>
      <c r="K259" s="32" t="s">
        <v>2994</v>
      </c>
      <c r="L259" s="32"/>
      <c r="M259" s="32"/>
      <c r="N259" s="32"/>
      <c r="O259" s="32"/>
      <c r="P259" s="32"/>
      <c r="Q259" s="32"/>
      <c r="R259" s="32"/>
      <c r="S259" s="32"/>
      <c r="T259" s="32"/>
      <c r="U259" s="32"/>
      <c r="V259" s="32"/>
      <c r="W259" s="32"/>
      <c r="X259" s="1750">
        <f t="shared" si="8"/>
        <v>0</v>
      </c>
      <c r="Y259" s="175">
        <f t="shared" si="9"/>
        <v>0</v>
      </c>
    </row>
    <row r="260" spans="1:25" ht="60" x14ac:dyDescent="0.25">
      <c r="A260" s="32"/>
      <c r="B260" s="32"/>
      <c r="C260" s="32"/>
      <c r="D260" s="32"/>
      <c r="E260" s="32"/>
      <c r="F260" s="32"/>
      <c r="G260" s="1340" t="s">
        <v>2706</v>
      </c>
      <c r="H260" s="66" t="str">
        <f>'BID I'!B1299</f>
        <v>Belanja perlengkapan cetak/pengadaan - belanja barang cetak dan pengadaan</v>
      </c>
      <c r="I260" s="174">
        <f>SUM('BID I'!F1300:F1301)</f>
        <v>3725000</v>
      </c>
      <c r="J260" s="66" t="s">
        <v>1682</v>
      </c>
      <c r="K260" s="32" t="s">
        <v>2994</v>
      </c>
      <c r="L260" s="32"/>
      <c r="M260" s="32"/>
      <c r="N260" s="32"/>
      <c r="O260" s="32"/>
      <c r="P260" s="32"/>
      <c r="Q260" s="32"/>
      <c r="R260" s="32"/>
      <c r="S260" s="32"/>
      <c r="T260" s="497">
        <v>3725000</v>
      </c>
      <c r="U260" s="32"/>
      <c r="V260" s="32"/>
      <c r="W260" s="32"/>
      <c r="X260" s="1750">
        <f t="shared" si="8"/>
        <v>3725000</v>
      </c>
      <c r="Y260" s="175">
        <f t="shared" si="9"/>
        <v>0</v>
      </c>
    </row>
    <row r="261" spans="1:25" ht="60" x14ac:dyDescent="0.25">
      <c r="A261" s="32"/>
      <c r="B261" s="32"/>
      <c r="C261" s="32"/>
      <c r="D261" s="32"/>
      <c r="E261" s="32"/>
      <c r="F261" s="32"/>
      <c r="G261" s="1340" t="s">
        <v>2705</v>
      </c>
      <c r="H261" s="66" t="str">
        <f>'BID I'!B1303</f>
        <v>Belanja Perlengkapan barang konsumsi (makan/minum) - Belanja barang konsumsi</v>
      </c>
      <c r="I261" s="513">
        <f>SUM('BID I'!F1304)</f>
        <v>1080000</v>
      </c>
      <c r="J261" s="66" t="s">
        <v>1682</v>
      </c>
      <c r="K261" s="32" t="s">
        <v>2994</v>
      </c>
      <c r="L261" s="32"/>
      <c r="M261" s="32"/>
      <c r="N261" s="32"/>
      <c r="O261" s="32"/>
      <c r="P261" s="32"/>
      <c r="Q261" s="32"/>
      <c r="R261" s="32"/>
      <c r="S261" s="32"/>
      <c r="T261" s="497">
        <v>1080000</v>
      </c>
      <c r="U261" s="32"/>
      <c r="V261" s="32"/>
      <c r="W261" s="32"/>
      <c r="X261" s="1750">
        <f t="shared" si="8"/>
        <v>1080000</v>
      </c>
      <c r="Y261" s="175">
        <f t="shared" si="9"/>
        <v>0</v>
      </c>
    </row>
    <row r="262" spans="1:25" ht="45" x14ac:dyDescent="0.25">
      <c r="A262" s="1344">
        <v>1</v>
      </c>
      <c r="B262" s="1344">
        <v>4</v>
      </c>
      <c r="C262" s="1346" t="s">
        <v>2704</v>
      </c>
      <c r="D262" s="1344"/>
      <c r="E262" s="1344"/>
      <c r="F262" s="1344"/>
      <c r="G262" s="1344"/>
      <c r="H262" s="1345" t="str">
        <f>'BID I'!B1321</f>
        <v>: Penyusunan dokumen keuangan Desa ( LPJ APBDesa 2023)</v>
      </c>
      <c r="I262" s="1349">
        <f>I265:I265</f>
        <v>1575000</v>
      </c>
      <c r="J262" s="1345" t="s">
        <v>2626</v>
      </c>
      <c r="K262" s="1344" t="s">
        <v>2994</v>
      </c>
      <c r="L262" s="1344"/>
      <c r="M262" s="1344"/>
      <c r="N262" s="1344"/>
      <c r="O262" s="1344"/>
      <c r="P262" s="1344"/>
      <c r="Q262" s="1344"/>
      <c r="R262" s="1344"/>
      <c r="S262" s="1344"/>
      <c r="T262" s="1344"/>
      <c r="U262" s="1344"/>
      <c r="V262" s="1344"/>
      <c r="W262" s="1344"/>
      <c r="X262" s="1353">
        <f t="shared" si="8"/>
        <v>0</v>
      </c>
      <c r="Y262" s="175">
        <f t="shared" si="9"/>
        <v>-1575000</v>
      </c>
    </row>
    <row r="263" spans="1:25" x14ac:dyDescent="0.25">
      <c r="A263" s="32"/>
      <c r="B263" s="32"/>
      <c r="C263" s="32"/>
      <c r="D263" s="32">
        <v>5</v>
      </c>
      <c r="E263" s="32">
        <v>2</v>
      </c>
      <c r="F263" s="32"/>
      <c r="G263" s="32"/>
      <c r="H263" s="66" t="str">
        <f>'BID I'!B1327</f>
        <v>Belanja Barang Jasa :</v>
      </c>
      <c r="I263" s="32"/>
      <c r="J263" s="66"/>
      <c r="K263" s="32" t="s">
        <v>2994</v>
      </c>
      <c r="L263" s="32"/>
      <c r="M263" s="32"/>
      <c r="N263" s="32"/>
      <c r="O263" s="32"/>
      <c r="P263" s="32"/>
      <c r="Q263" s="32"/>
      <c r="R263" s="32"/>
      <c r="S263" s="32"/>
      <c r="T263" s="32"/>
      <c r="U263" s="32"/>
      <c r="V263" s="32"/>
      <c r="W263" s="32"/>
      <c r="X263" s="1750">
        <f t="shared" si="8"/>
        <v>0</v>
      </c>
      <c r="Y263" s="175">
        <f t="shared" si="9"/>
        <v>0</v>
      </c>
    </row>
    <row r="264" spans="1:25" ht="30" x14ac:dyDescent="0.25">
      <c r="A264" s="32"/>
      <c r="B264" s="32"/>
      <c r="C264" s="32"/>
      <c r="D264" s="32"/>
      <c r="E264" s="32"/>
      <c r="F264" s="32">
        <v>1</v>
      </c>
      <c r="G264" s="32"/>
      <c r="H264" s="66" t="str">
        <f>'BID I'!B1328</f>
        <v>Belanja Barang Perlengkapan</v>
      </c>
      <c r="I264" s="32"/>
      <c r="J264" s="66"/>
      <c r="K264" s="32" t="s">
        <v>2994</v>
      </c>
      <c r="L264" s="32"/>
      <c r="M264" s="32"/>
      <c r="N264" s="32"/>
      <c r="O264" s="32"/>
      <c r="P264" s="32"/>
      <c r="Q264" s="32"/>
      <c r="R264" s="32"/>
      <c r="S264" s="32"/>
      <c r="T264" s="32"/>
      <c r="U264" s="32"/>
      <c r="V264" s="32"/>
      <c r="W264" s="32"/>
      <c r="X264" s="1750">
        <f t="shared" si="8"/>
        <v>0</v>
      </c>
      <c r="Y264" s="175">
        <f t="shared" si="9"/>
        <v>0</v>
      </c>
    </row>
    <row r="265" spans="1:25" ht="60" x14ac:dyDescent="0.25">
      <c r="A265" s="32"/>
      <c r="B265" s="32"/>
      <c r="C265" s="32"/>
      <c r="D265" s="32"/>
      <c r="E265" s="32"/>
      <c r="F265" s="32"/>
      <c r="G265" s="1340" t="s">
        <v>2706</v>
      </c>
      <c r="H265" s="66" t="str">
        <f>'BID I'!B1329</f>
        <v>Belanja perlengkapan cetak/pengadaan - belanja barang cetak dan pengadaan</v>
      </c>
      <c r="I265" s="174">
        <f>SUM('BID I'!F1330:F1331)</f>
        <v>1575000</v>
      </c>
      <c r="J265" s="66" t="s">
        <v>2626</v>
      </c>
      <c r="K265" s="32" t="s">
        <v>2994</v>
      </c>
      <c r="L265" s="32"/>
      <c r="M265" s="497">
        <v>1575000</v>
      </c>
      <c r="N265" s="32"/>
      <c r="O265" s="32"/>
      <c r="P265" s="32"/>
      <c r="Q265" s="32"/>
      <c r="R265" s="32"/>
      <c r="S265" s="32"/>
      <c r="T265" s="32"/>
      <c r="U265" s="32"/>
      <c r="V265" s="32"/>
      <c r="W265" s="32"/>
      <c r="X265" s="1750">
        <f t="shared" si="8"/>
        <v>1575000</v>
      </c>
      <c r="Y265" s="175">
        <f t="shared" si="9"/>
        <v>0</v>
      </c>
    </row>
    <row r="266" spans="1:25" ht="90" x14ac:dyDescent="0.25">
      <c r="A266" s="1344">
        <v>1</v>
      </c>
      <c r="B266" s="1344">
        <v>4</v>
      </c>
      <c r="C266" s="1346" t="s">
        <v>2708</v>
      </c>
      <c r="D266" s="1344"/>
      <c r="E266" s="1344"/>
      <c r="F266" s="1344"/>
      <c r="G266" s="1344"/>
      <c r="H266" s="1345" t="str">
        <f>'BID I'!B1349</f>
        <v>: Penyusunan laporan Kepala Desa/ Penyelenggaraan Pemerintah Desa (Laporan akhir tahun anggaran )</v>
      </c>
      <c r="I266" s="1349">
        <f>I269</f>
        <v>1625000</v>
      </c>
      <c r="J266" s="1345" t="s">
        <v>2628</v>
      </c>
      <c r="K266" s="1344" t="s">
        <v>2994</v>
      </c>
      <c r="L266" s="1344"/>
      <c r="M266" s="1344"/>
      <c r="N266" s="1344"/>
      <c r="O266" s="1344"/>
      <c r="P266" s="1344"/>
      <c r="Q266" s="1344"/>
      <c r="R266" s="1344"/>
      <c r="S266" s="1344"/>
      <c r="T266" s="1344"/>
      <c r="U266" s="1344"/>
      <c r="V266" s="1344"/>
      <c r="W266" s="1344"/>
      <c r="X266" s="1353">
        <f t="shared" si="8"/>
        <v>0</v>
      </c>
      <c r="Y266" s="175">
        <f t="shared" si="9"/>
        <v>-1625000</v>
      </c>
    </row>
    <row r="267" spans="1:25" x14ac:dyDescent="0.25">
      <c r="A267" s="32"/>
      <c r="B267" s="32"/>
      <c r="C267" s="32"/>
      <c r="D267" s="32">
        <v>5</v>
      </c>
      <c r="E267" s="32">
        <v>2</v>
      </c>
      <c r="F267" s="32"/>
      <c r="G267" s="32"/>
      <c r="H267" s="66" t="str">
        <f>'BID I'!B1355</f>
        <v>Belanja Barang Jasa :</v>
      </c>
      <c r="I267" s="32"/>
      <c r="J267" s="66"/>
      <c r="K267" s="32" t="s">
        <v>2994</v>
      </c>
      <c r="L267" s="32"/>
      <c r="M267" s="32"/>
      <c r="N267" s="32"/>
      <c r="O267" s="32"/>
      <c r="P267" s="32"/>
      <c r="Q267" s="32"/>
      <c r="R267" s="32"/>
      <c r="S267" s="32"/>
      <c r="T267" s="32"/>
      <c r="U267" s="32"/>
      <c r="V267" s="32"/>
      <c r="W267" s="32"/>
      <c r="X267" s="1750">
        <f t="shared" si="8"/>
        <v>0</v>
      </c>
      <c r="Y267" s="175">
        <f t="shared" si="9"/>
        <v>0</v>
      </c>
    </row>
    <row r="268" spans="1:25" ht="30" x14ac:dyDescent="0.25">
      <c r="A268" s="32"/>
      <c r="B268" s="32"/>
      <c r="C268" s="32"/>
      <c r="D268" s="32"/>
      <c r="E268" s="32"/>
      <c r="F268" s="32">
        <v>1</v>
      </c>
      <c r="G268" s="32"/>
      <c r="H268" s="66" t="str">
        <f>'BID I'!B1356</f>
        <v>Belanja Barang Perlengkapan</v>
      </c>
      <c r="I268" s="32"/>
      <c r="J268" s="66"/>
      <c r="K268" s="32" t="s">
        <v>2994</v>
      </c>
      <c r="L268" s="32"/>
      <c r="M268" s="32"/>
      <c r="N268" s="32"/>
      <c r="O268" s="32"/>
      <c r="P268" s="32"/>
      <c r="Q268" s="32"/>
      <c r="R268" s="32"/>
      <c r="S268" s="32"/>
      <c r="T268" s="32"/>
      <c r="U268" s="32"/>
      <c r="V268" s="32"/>
      <c r="W268" s="32"/>
      <c r="X268" s="1750">
        <f t="shared" si="8"/>
        <v>0</v>
      </c>
      <c r="Y268" s="175">
        <f t="shared" si="9"/>
        <v>0</v>
      </c>
    </row>
    <row r="269" spans="1:25" ht="60" x14ac:dyDescent="0.25">
      <c r="A269" s="32"/>
      <c r="B269" s="32"/>
      <c r="C269" s="32"/>
      <c r="D269" s="32"/>
      <c r="E269" s="32"/>
      <c r="F269" s="32"/>
      <c r="G269" s="1340" t="s">
        <v>2706</v>
      </c>
      <c r="H269" s="66" t="str">
        <f>'BID I'!B1357</f>
        <v>Belanja perlengkapan cetak/pengadaan - belanja barang cetak dan pengadaan</v>
      </c>
      <c r="I269" s="174">
        <f>'BID I'!F1358+'BID I'!F1359</f>
        <v>1625000</v>
      </c>
      <c r="J269" s="66" t="s">
        <v>2628</v>
      </c>
      <c r="K269" s="32" t="s">
        <v>2994</v>
      </c>
      <c r="L269" s="32"/>
      <c r="M269" s="497">
        <v>1625000</v>
      </c>
      <c r="N269" s="32"/>
      <c r="O269" s="32"/>
      <c r="P269" s="32"/>
      <c r="Q269" s="32"/>
      <c r="R269" s="32"/>
      <c r="S269" s="32"/>
      <c r="T269" s="32"/>
      <c r="U269" s="32"/>
      <c r="V269" s="32"/>
      <c r="W269" s="32"/>
      <c r="X269" s="1750">
        <f t="shared" si="8"/>
        <v>1625000</v>
      </c>
      <c r="Y269" s="175">
        <f t="shared" si="9"/>
        <v>0</v>
      </c>
    </row>
    <row r="270" spans="1:25" ht="75" x14ac:dyDescent="0.25">
      <c r="A270" s="1344">
        <v>1</v>
      </c>
      <c r="B270" s="1344">
        <v>4</v>
      </c>
      <c r="C270" s="1344">
        <v>11</v>
      </c>
      <c r="D270" s="1344"/>
      <c r="E270" s="1344"/>
      <c r="F270" s="1344"/>
      <c r="G270" s="1344"/>
      <c r="H270" s="1345" t="str">
        <f>'BID I'!B1377</f>
        <v xml:space="preserve">: Penyelenggaraan Lomba antar kewilayahan dan pengiriman kontingen dalam mengikuti Lomba Desa </v>
      </c>
      <c r="I270" s="1347">
        <f>SUM(I271:I281)</f>
        <v>110468445</v>
      </c>
      <c r="J270" s="1345" t="s">
        <v>1682</v>
      </c>
      <c r="K270" s="1345" t="s">
        <v>2992</v>
      </c>
      <c r="L270" s="1349"/>
      <c r="M270" s="1344"/>
      <c r="N270" s="1344"/>
      <c r="O270" s="1344"/>
      <c r="P270" s="1344"/>
      <c r="Q270" s="1344"/>
      <c r="R270" s="1344"/>
      <c r="S270" s="1344"/>
      <c r="T270" s="1344"/>
      <c r="U270" s="1344"/>
      <c r="V270" s="1344"/>
      <c r="W270" s="1344"/>
      <c r="X270" s="1353">
        <f t="shared" si="8"/>
        <v>0</v>
      </c>
      <c r="Y270" s="175">
        <f t="shared" si="9"/>
        <v>-110468445</v>
      </c>
    </row>
    <row r="271" spans="1:25" ht="30" x14ac:dyDescent="0.25">
      <c r="A271" s="32"/>
      <c r="B271" s="32"/>
      <c r="C271" s="32"/>
      <c r="D271" s="32">
        <v>5</v>
      </c>
      <c r="E271" s="32">
        <v>2</v>
      </c>
      <c r="F271" s="32"/>
      <c r="G271" s="32"/>
      <c r="H271" s="66" t="str">
        <f>'BID I'!B1383</f>
        <v>Belanja Barang Jasa</v>
      </c>
      <c r="I271" s="32"/>
      <c r="J271" s="66"/>
      <c r="K271" s="66" t="s">
        <v>2992</v>
      </c>
      <c r="L271" s="32"/>
      <c r="M271" s="32"/>
      <c r="N271" s="32"/>
      <c r="O271" s="32"/>
      <c r="P271" s="32"/>
      <c r="Q271" s="32"/>
      <c r="R271" s="32"/>
      <c r="S271" s="32"/>
      <c r="T271" s="32"/>
      <c r="U271" s="32"/>
      <c r="V271" s="32"/>
      <c r="W271" s="32"/>
      <c r="X271" s="1750">
        <f t="shared" si="8"/>
        <v>0</v>
      </c>
      <c r="Y271" s="175">
        <f t="shared" si="9"/>
        <v>0</v>
      </c>
    </row>
    <row r="272" spans="1:25" ht="30" x14ac:dyDescent="0.25">
      <c r="A272" s="32"/>
      <c r="B272" s="32"/>
      <c r="C272" s="32"/>
      <c r="D272" s="32"/>
      <c r="E272" s="32"/>
      <c r="F272" s="32">
        <v>1</v>
      </c>
      <c r="G272" s="32"/>
      <c r="H272" s="66" t="str">
        <f>'BID I'!B1384</f>
        <v>Belanja Barang Perlengkepan</v>
      </c>
      <c r="I272" s="32"/>
      <c r="J272" s="66"/>
      <c r="K272" s="66" t="s">
        <v>2992</v>
      </c>
      <c r="L272" s="32"/>
      <c r="M272" s="32"/>
      <c r="N272" s="32"/>
      <c r="O272" s="32"/>
      <c r="P272" s="32"/>
      <c r="Q272" s="32"/>
      <c r="R272" s="32"/>
      <c r="S272" s="32"/>
      <c r="T272" s="32"/>
      <c r="U272" s="32"/>
      <c r="V272" s="32"/>
      <c r="W272" s="32"/>
      <c r="X272" s="1750">
        <f t="shared" si="8"/>
        <v>0</v>
      </c>
      <c r="Y272" s="175">
        <f t="shared" si="9"/>
        <v>0</v>
      </c>
    </row>
    <row r="273" spans="1:25" ht="45" x14ac:dyDescent="0.25">
      <c r="A273" s="32"/>
      <c r="B273" s="32"/>
      <c r="C273" s="32"/>
      <c r="D273" s="32"/>
      <c r="E273" s="32"/>
      <c r="F273" s="32"/>
      <c r="G273" s="1340" t="s">
        <v>2688</v>
      </c>
      <c r="H273" s="66" t="str">
        <f>'BID I'!B1385</f>
        <v xml:space="preserve">Belanja Perlengkapan Alat Tulis Kantor dan Benda Pos </v>
      </c>
      <c r="I273" s="470">
        <f>SUM('BID I'!F1386:F1389)</f>
        <v>559100</v>
      </c>
      <c r="J273" s="66" t="s">
        <v>1682</v>
      </c>
      <c r="K273" s="66" t="s">
        <v>2992</v>
      </c>
      <c r="L273" s="32"/>
      <c r="M273" s="32"/>
      <c r="N273" s="32"/>
      <c r="O273" s="32"/>
      <c r="P273" s="32"/>
      <c r="Q273" s="32"/>
      <c r="R273" s="497">
        <v>559100</v>
      </c>
      <c r="S273" s="32"/>
      <c r="T273" s="32"/>
      <c r="U273" s="32"/>
      <c r="V273" s="32"/>
      <c r="W273" s="32"/>
      <c r="X273" s="1750">
        <f t="shared" si="8"/>
        <v>559100</v>
      </c>
      <c r="Y273" s="175">
        <f t="shared" si="9"/>
        <v>0</v>
      </c>
    </row>
    <row r="274" spans="1:25" ht="30" x14ac:dyDescent="0.25">
      <c r="A274" s="32"/>
      <c r="B274" s="32"/>
      <c r="C274" s="32"/>
      <c r="D274" s="32"/>
      <c r="E274" s="32"/>
      <c r="F274" s="32"/>
      <c r="G274" s="1340" t="s">
        <v>2706</v>
      </c>
      <c r="H274" s="66" t="str">
        <f>'BID I'!B1391</f>
        <v xml:space="preserve">Belanja Cetak dan Penggandaan </v>
      </c>
      <c r="I274" s="470">
        <f>SUM('BID I'!F1392:F1394)</f>
        <v>7860000</v>
      </c>
      <c r="J274" s="66" t="s">
        <v>1682</v>
      </c>
      <c r="K274" s="66" t="s">
        <v>2992</v>
      </c>
      <c r="L274" s="32"/>
      <c r="M274" s="32"/>
      <c r="N274" s="32"/>
      <c r="O274" s="32"/>
      <c r="P274" s="32"/>
      <c r="Q274" s="32"/>
      <c r="R274" s="497">
        <v>7860000</v>
      </c>
      <c r="S274" s="32"/>
      <c r="T274" s="32"/>
      <c r="U274" s="32"/>
      <c r="V274" s="32"/>
      <c r="W274" s="32"/>
      <c r="X274" s="1750">
        <f t="shared" si="8"/>
        <v>7860000</v>
      </c>
      <c r="Y274" s="175">
        <f t="shared" si="9"/>
        <v>0</v>
      </c>
    </row>
    <row r="275" spans="1:25" ht="30" x14ac:dyDescent="0.25">
      <c r="A275" s="32"/>
      <c r="B275" s="32"/>
      <c r="C275" s="32"/>
      <c r="D275" s="32"/>
      <c r="E275" s="32"/>
      <c r="F275" s="32"/>
      <c r="G275" s="1340" t="s">
        <v>2705</v>
      </c>
      <c r="H275" s="66" t="str">
        <f>'BID I'!B1395</f>
        <v>Belanja Perlengkapan Barang Konsumsi</v>
      </c>
      <c r="I275" s="513">
        <f>SUM('BID I'!F1396:F1403)</f>
        <v>16200000</v>
      </c>
      <c r="J275" s="66" t="s">
        <v>1682</v>
      </c>
      <c r="K275" s="66" t="s">
        <v>2992</v>
      </c>
      <c r="L275" s="32"/>
      <c r="M275" s="32"/>
      <c r="N275" s="32"/>
      <c r="O275" s="32"/>
      <c r="P275" s="32"/>
      <c r="Q275" s="32"/>
      <c r="R275" s="497">
        <v>16200000</v>
      </c>
      <c r="S275" s="32"/>
      <c r="T275" s="32"/>
      <c r="U275" s="32"/>
      <c r="V275" s="32"/>
      <c r="W275" s="32"/>
      <c r="X275" s="1750">
        <f t="shared" si="8"/>
        <v>16200000</v>
      </c>
      <c r="Y275" s="175">
        <f t="shared" si="9"/>
        <v>0</v>
      </c>
    </row>
    <row r="276" spans="1:25" ht="30" x14ac:dyDescent="0.25">
      <c r="A276" s="32"/>
      <c r="B276" s="32"/>
      <c r="C276" s="32"/>
      <c r="D276" s="32"/>
      <c r="E276" s="32"/>
      <c r="F276" s="32"/>
      <c r="G276" s="1340" t="s">
        <v>2708</v>
      </c>
      <c r="H276" s="66" t="str">
        <f>'BID I'!B1404</f>
        <v>Belanja Bahan/Material</v>
      </c>
      <c r="I276" s="513">
        <f>SUM('BID I'!F1405:F1413)</f>
        <v>31799345</v>
      </c>
      <c r="J276" s="66" t="s">
        <v>1682</v>
      </c>
      <c r="K276" s="66" t="s">
        <v>2992</v>
      </c>
      <c r="L276" s="32"/>
      <c r="M276" s="32"/>
      <c r="N276" s="32"/>
      <c r="O276" s="32"/>
      <c r="P276" s="32"/>
      <c r="Q276" s="32"/>
      <c r="R276" s="497">
        <v>31799345</v>
      </c>
      <c r="S276" s="32"/>
      <c r="T276" s="32"/>
      <c r="U276" s="32"/>
      <c r="V276" s="32"/>
      <c r="W276" s="32"/>
      <c r="X276" s="1750">
        <f t="shared" si="8"/>
        <v>31799345</v>
      </c>
      <c r="Y276" s="175">
        <f t="shared" si="9"/>
        <v>0</v>
      </c>
    </row>
    <row r="277" spans="1:25" ht="30" x14ac:dyDescent="0.25">
      <c r="A277" s="32"/>
      <c r="B277" s="32"/>
      <c r="C277" s="32"/>
      <c r="D277" s="32"/>
      <c r="E277" s="32"/>
      <c r="F277" s="32"/>
      <c r="G277" s="1340" t="s">
        <v>2707</v>
      </c>
      <c r="H277" s="66" t="str">
        <f>'BID I'!B1414</f>
        <v>Belanja Bendera/Umbul-umbul/Spanduk</v>
      </c>
      <c r="I277" s="470">
        <f>SUM('BID I'!F1415:F1416)</f>
        <v>1050000</v>
      </c>
      <c r="J277" s="66" t="s">
        <v>1682</v>
      </c>
      <c r="K277" s="66" t="s">
        <v>2992</v>
      </c>
      <c r="L277" s="32"/>
      <c r="M277" s="32"/>
      <c r="N277" s="32"/>
      <c r="O277" s="32"/>
      <c r="P277" s="32"/>
      <c r="Q277" s="32"/>
      <c r="R277" s="497">
        <v>1050000</v>
      </c>
      <c r="S277" s="32"/>
      <c r="T277" s="32"/>
      <c r="U277" s="32"/>
      <c r="V277" s="32"/>
      <c r="W277" s="32"/>
      <c r="X277" s="1750">
        <f t="shared" si="8"/>
        <v>1050000</v>
      </c>
      <c r="Y277" s="175">
        <f t="shared" si="9"/>
        <v>0</v>
      </c>
    </row>
    <row r="278" spans="1:25" ht="30" x14ac:dyDescent="0.25">
      <c r="A278" s="32"/>
      <c r="B278" s="32"/>
      <c r="C278" s="32"/>
      <c r="D278" s="32"/>
      <c r="E278" s="32"/>
      <c r="F278" s="32"/>
      <c r="G278" s="1340" t="s">
        <v>2709</v>
      </c>
      <c r="H278" s="66" t="str">
        <f>'BID I'!B1417</f>
        <v>Belanja Pakaian Dinas/Seragam/Atribut</v>
      </c>
      <c r="I278" s="470">
        <f>'BID I'!F1418</f>
        <v>34500000</v>
      </c>
      <c r="J278" s="66" t="s">
        <v>1682</v>
      </c>
      <c r="K278" s="66" t="s">
        <v>2992</v>
      </c>
      <c r="L278" s="32"/>
      <c r="M278" s="32"/>
      <c r="N278" s="32"/>
      <c r="O278" s="32"/>
      <c r="P278" s="32"/>
      <c r="Q278" s="32"/>
      <c r="R278" s="497">
        <v>34500000</v>
      </c>
      <c r="S278" s="32"/>
      <c r="T278" s="32"/>
      <c r="U278" s="32"/>
      <c r="V278" s="32"/>
      <c r="W278" s="32"/>
      <c r="X278" s="1750">
        <f t="shared" si="8"/>
        <v>34500000</v>
      </c>
      <c r="Y278" s="175">
        <f t="shared" si="9"/>
        <v>0</v>
      </c>
    </row>
    <row r="279" spans="1:25" ht="30" x14ac:dyDescent="0.25">
      <c r="A279" s="32"/>
      <c r="B279" s="32"/>
      <c r="C279" s="32"/>
      <c r="D279" s="32">
        <v>5</v>
      </c>
      <c r="E279" s="32">
        <v>2</v>
      </c>
      <c r="F279" s="32">
        <v>4</v>
      </c>
      <c r="G279" s="1340"/>
      <c r="H279" s="66" t="str">
        <f>'BID I'!B1420</f>
        <v>Belanja Jasa Sewa</v>
      </c>
      <c r="I279" s="470"/>
      <c r="J279" s="66"/>
      <c r="K279" s="66" t="s">
        <v>2992</v>
      </c>
      <c r="L279" s="32"/>
      <c r="M279" s="32"/>
      <c r="N279" s="32"/>
      <c r="O279" s="32"/>
      <c r="P279" s="32"/>
      <c r="Q279" s="32"/>
      <c r="R279" s="497"/>
      <c r="S279" s="32"/>
      <c r="T279" s="32"/>
      <c r="U279" s="32"/>
      <c r="V279" s="32"/>
      <c r="W279" s="32"/>
      <c r="X279" s="1750">
        <f t="shared" si="8"/>
        <v>0</v>
      </c>
      <c r="Y279" s="175">
        <f t="shared" si="9"/>
        <v>0</v>
      </c>
    </row>
    <row r="280" spans="1:25" ht="30" x14ac:dyDescent="0.25">
      <c r="A280" s="32"/>
      <c r="B280" s="32"/>
      <c r="C280" s="32"/>
      <c r="D280" s="32"/>
      <c r="E280" s="32"/>
      <c r="F280" s="32"/>
      <c r="G280" s="1340" t="s">
        <v>2688</v>
      </c>
      <c r="H280" s="66" t="str">
        <f>'BID I'!B1421</f>
        <v>Belanja Jasa Sewa Bangunan/Gedung/Ruang</v>
      </c>
      <c r="I280" s="470">
        <f>SUM('BID I'!F1422)</f>
        <v>5000000</v>
      </c>
      <c r="J280" s="66" t="s">
        <v>1682</v>
      </c>
      <c r="K280" s="66" t="s">
        <v>2992</v>
      </c>
      <c r="L280" s="32"/>
      <c r="M280" s="32"/>
      <c r="N280" s="32"/>
      <c r="O280" s="32"/>
      <c r="P280" s="32"/>
      <c r="Q280" s="32"/>
      <c r="R280" s="497">
        <v>5000000</v>
      </c>
      <c r="S280" s="32"/>
      <c r="T280" s="32"/>
      <c r="U280" s="32"/>
      <c r="V280" s="32"/>
      <c r="W280" s="32"/>
      <c r="X280" s="1750">
        <f t="shared" si="8"/>
        <v>5000000</v>
      </c>
      <c r="Y280" s="175">
        <f t="shared" si="9"/>
        <v>0</v>
      </c>
    </row>
    <row r="281" spans="1:25" ht="30" x14ac:dyDescent="0.25">
      <c r="A281" s="32"/>
      <c r="B281" s="32"/>
      <c r="C281" s="32"/>
      <c r="D281" s="32"/>
      <c r="E281" s="32"/>
      <c r="F281" s="32"/>
      <c r="G281" s="1340" t="s">
        <v>2702</v>
      </c>
      <c r="H281" s="66" t="str">
        <f>'BID I'!B1423</f>
        <v>Belanja Jasa Sewa Peralatan/Perlengkapan</v>
      </c>
      <c r="I281" s="470">
        <f>SUM('BID I'!F1424:F1426)</f>
        <v>13500000</v>
      </c>
      <c r="J281" s="66" t="s">
        <v>1682</v>
      </c>
      <c r="K281" s="66" t="s">
        <v>2992</v>
      </c>
      <c r="L281" s="32"/>
      <c r="M281" s="32"/>
      <c r="N281" s="32"/>
      <c r="O281" s="32"/>
      <c r="P281" s="32"/>
      <c r="Q281" s="32"/>
      <c r="R281" s="497">
        <v>13500000</v>
      </c>
      <c r="S281" s="32"/>
      <c r="T281" s="32"/>
      <c r="U281" s="32"/>
      <c r="V281" s="32"/>
      <c r="W281" s="32"/>
      <c r="X281" s="1750">
        <f t="shared" si="8"/>
        <v>13500000</v>
      </c>
      <c r="Y281" s="175">
        <f t="shared" si="9"/>
        <v>0</v>
      </c>
    </row>
    <row r="282" spans="1:25" ht="30" x14ac:dyDescent="0.25">
      <c r="A282" s="1342">
        <v>2</v>
      </c>
      <c r="B282" s="1342"/>
      <c r="C282" s="1342"/>
      <c r="D282" s="1342"/>
      <c r="E282" s="1342"/>
      <c r="F282" s="1342"/>
      <c r="G282" s="1342"/>
      <c r="H282" s="1343" t="str">
        <f>'BID II'!B7</f>
        <v>Pelaksanaan Pembangunan Desa</v>
      </c>
      <c r="I282" s="1351">
        <f>I284+I301+I309+I318+I323+I329+I335+I341+I346+I371+I360+I378+I385+I395+I407+I418+I435+I447+I453+I463+I476+I485+I504+I517+I530+I537+I547+I564+I571+I580+I588+I596+I643+I647+I653+I660+I666+I672+I707+I717+I727+I733+I602+I607+I613+I619+I625+I631+I637</f>
        <v>3355644206.27</v>
      </c>
      <c r="J282" s="1343"/>
      <c r="K282" s="1356"/>
      <c r="L282" s="1342"/>
      <c r="M282" s="1342"/>
      <c r="N282" s="1342"/>
      <c r="O282" s="1342"/>
      <c r="P282" s="1342"/>
      <c r="Q282" s="1342"/>
      <c r="R282" s="1342"/>
      <c r="S282" s="1342"/>
      <c r="T282" s="1342"/>
      <c r="U282" s="1342"/>
      <c r="V282" s="1342"/>
      <c r="W282" s="1342"/>
      <c r="X282" s="1799">
        <f t="shared" si="8"/>
        <v>0</v>
      </c>
      <c r="Y282" s="175">
        <f t="shared" si="9"/>
        <v>-3355644206.27</v>
      </c>
    </row>
    <row r="283" spans="1:25" x14ac:dyDescent="0.25">
      <c r="A283" s="1344"/>
      <c r="B283" s="1344"/>
      <c r="C283" s="1344"/>
      <c r="D283" s="1344"/>
      <c r="E283" s="1344"/>
      <c r="F283" s="1344"/>
      <c r="G283" s="1344"/>
      <c r="H283" s="1345" t="str">
        <f>'BID II'!B8</f>
        <v>Pendidikan</v>
      </c>
      <c r="I283" s="1344"/>
      <c r="J283" s="1345"/>
      <c r="K283" s="1349"/>
      <c r="L283" s="1349"/>
      <c r="M283" s="1344"/>
      <c r="N283" s="1344"/>
      <c r="O283" s="1344"/>
      <c r="P283" s="1344"/>
      <c r="Q283" s="1344"/>
      <c r="R283" s="1344"/>
      <c r="S283" s="1344"/>
      <c r="T283" s="1344"/>
      <c r="U283" s="1344"/>
      <c r="V283" s="1344"/>
      <c r="W283" s="1344"/>
      <c r="X283" s="1353">
        <f t="shared" si="8"/>
        <v>0</v>
      </c>
      <c r="Y283" s="175">
        <f t="shared" si="9"/>
        <v>0</v>
      </c>
    </row>
    <row r="284" spans="1:25" ht="90" x14ac:dyDescent="0.25">
      <c r="A284" s="1344">
        <v>2</v>
      </c>
      <c r="B284" s="1344">
        <v>1</v>
      </c>
      <c r="C284" s="1346" t="s">
        <v>2688</v>
      </c>
      <c r="D284" s="1344"/>
      <c r="E284" s="1344"/>
      <c r="F284" s="1344"/>
      <c r="G284" s="1344"/>
      <c r="H284" s="1345" t="str">
        <f>'BID II'!B9</f>
        <v>Penyelenggaraan PAUD/TK/TKA/ Madrasah Non Formal Milik Desa (Pengelolaan Taman Kanak - kanak  TK Kumara Sari VI )</v>
      </c>
      <c r="I284" s="1347">
        <f>SUM(I285:I300)</f>
        <v>237334529.18000001</v>
      </c>
      <c r="J284" s="1345"/>
      <c r="K284" s="1347" t="s">
        <v>3031</v>
      </c>
      <c r="L284" s="1349"/>
      <c r="M284" s="1344"/>
      <c r="N284" s="1344"/>
      <c r="O284" s="1344"/>
      <c r="P284" s="1344"/>
      <c r="Q284" s="1344"/>
      <c r="R284" s="1344"/>
      <c r="S284" s="1344"/>
      <c r="T284" s="1344"/>
      <c r="U284" s="1344"/>
      <c r="V284" s="1344"/>
      <c r="W284" s="1344"/>
      <c r="X284" s="1353">
        <f t="shared" si="8"/>
        <v>0</v>
      </c>
      <c r="Y284" s="175">
        <f t="shared" si="9"/>
        <v>-237334529.18000001</v>
      </c>
    </row>
    <row r="285" spans="1:25" x14ac:dyDescent="0.25">
      <c r="A285" s="32"/>
      <c r="B285" s="32"/>
      <c r="C285" s="32"/>
      <c r="D285" s="32">
        <v>5</v>
      </c>
      <c r="E285" s="32">
        <v>2</v>
      </c>
      <c r="F285" s="32"/>
      <c r="G285" s="32"/>
      <c r="H285" s="66" t="str">
        <f>'BID II'!B14</f>
        <v>Belanja Barang Jasa :</v>
      </c>
      <c r="I285" s="32"/>
      <c r="J285" s="66"/>
      <c r="K285" s="497" t="s">
        <v>3031</v>
      </c>
      <c r="L285" s="32"/>
      <c r="M285" s="32"/>
      <c r="N285" s="32"/>
      <c r="O285" s="32"/>
      <c r="P285" s="32"/>
      <c r="Q285" s="32"/>
      <c r="R285" s="32"/>
      <c r="S285" s="32"/>
      <c r="T285" s="32"/>
      <c r="U285" s="32"/>
      <c r="V285" s="32"/>
      <c r="W285" s="32"/>
      <c r="X285" s="1750">
        <f t="shared" si="8"/>
        <v>0</v>
      </c>
      <c r="Y285" s="175">
        <f t="shared" si="9"/>
        <v>0</v>
      </c>
    </row>
    <row r="286" spans="1:25" ht="30" x14ac:dyDescent="0.25">
      <c r="A286" s="32"/>
      <c r="B286" s="32"/>
      <c r="C286" s="32"/>
      <c r="D286" s="32"/>
      <c r="E286" s="32"/>
      <c r="F286" s="32">
        <v>1</v>
      </c>
      <c r="G286" s="32"/>
      <c r="H286" s="66" t="str">
        <f>'BID II'!B15</f>
        <v>Belanja Barang Perlengkapan</v>
      </c>
      <c r="I286" s="32"/>
      <c r="J286" s="66"/>
      <c r="K286" s="497" t="s">
        <v>3031</v>
      </c>
      <c r="L286" s="32"/>
      <c r="M286" s="32"/>
      <c r="N286" s="32"/>
      <c r="O286" s="32"/>
      <c r="P286" s="32"/>
      <c r="Q286" s="32"/>
      <c r="R286" s="32"/>
      <c r="S286" s="32"/>
      <c r="T286" s="32"/>
      <c r="U286" s="32"/>
      <c r="V286" s="32"/>
      <c r="W286" s="32"/>
      <c r="X286" s="1750">
        <f t="shared" si="8"/>
        <v>0</v>
      </c>
      <c r="Y286" s="175">
        <f t="shared" si="9"/>
        <v>0</v>
      </c>
    </row>
    <row r="287" spans="1:25" ht="45" x14ac:dyDescent="0.25">
      <c r="A287" s="32"/>
      <c r="B287" s="32"/>
      <c r="C287" s="32"/>
      <c r="D287" s="32"/>
      <c r="E287" s="32"/>
      <c r="F287" s="32"/>
      <c r="G287" s="1340" t="s">
        <v>2688</v>
      </c>
      <c r="H287" s="66" t="str">
        <f>'BID II'!B16</f>
        <v>Belanja perlengkapan alat tulis kantor dan Benda Pos</v>
      </c>
      <c r="I287" s="513">
        <f>SUM('BID II'!F18:F45)</f>
        <v>11461360</v>
      </c>
      <c r="J287" s="66" t="s">
        <v>2387</v>
      </c>
      <c r="K287" s="497" t="s">
        <v>3031</v>
      </c>
      <c r="L287" s="497">
        <v>955113</v>
      </c>
      <c r="M287" s="497">
        <v>955113</v>
      </c>
      <c r="N287" s="497">
        <v>955113</v>
      </c>
      <c r="O287" s="497">
        <v>955113</v>
      </c>
      <c r="P287" s="497">
        <v>955113</v>
      </c>
      <c r="Q287" s="497">
        <v>955113</v>
      </c>
      <c r="R287" s="497">
        <v>955113</v>
      </c>
      <c r="S287" s="497">
        <v>955113</v>
      </c>
      <c r="T287" s="497">
        <v>955113</v>
      </c>
      <c r="U287" s="497">
        <v>955113</v>
      </c>
      <c r="V287" s="497">
        <v>955113</v>
      </c>
      <c r="W287" s="497">
        <v>955117</v>
      </c>
      <c r="X287" s="1750">
        <f t="shared" si="8"/>
        <v>11461360</v>
      </c>
      <c r="Y287" s="175">
        <f t="shared" si="9"/>
        <v>0</v>
      </c>
    </row>
    <row r="288" spans="1:25" ht="45" x14ac:dyDescent="0.25">
      <c r="A288" s="32"/>
      <c r="B288" s="32"/>
      <c r="C288" s="32"/>
      <c r="D288" s="32"/>
      <c r="E288" s="32"/>
      <c r="F288" s="32"/>
      <c r="G288" s="1340" t="s">
        <v>2688</v>
      </c>
      <c r="H288" s="66" t="str">
        <f>'BID II'!B16</f>
        <v>Belanja perlengkapan alat tulis kantor dan Benda Pos</v>
      </c>
      <c r="I288" s="513">
        <f>SUM('BID II'!F46:F73)</f>
        <v>56795000</v>
      </c>
      <c r="J288" s="66" t="s">
        <v>2624</v>
      </c>
      <c r="K288" s="497" t="s">
        <v>3031</v>
      </c>
      <c r="L288" s="497">
        <v>4732916</v>
      </c>
      <c r="M288" s="497">
        <v>4732916</v>
      </c>
      <c r="N288" s="497">
        <v>4732916</v>
      </c>
      <c r="O288" s="497">
        <v>4732916</v>
      </c>
      <c r="P288" s="497">
        <v>4732916</v>
      </c>
      <c r="Q288" s="497">
        <v>4732916</v>
      </c>
      <c r="R288" s="497">
        <v>4732916</v>
      </c>
      <c r="S288" s="497">
        <v>4732916</v>
      </c>
      <c r="T288" s="497">
        <v>4732916</v>
      </c>
      <c r="U288" s="497">
        <v>4732916</v>
      </c>
      <c r="V288" s="497">
        <v>4732916</v>
      </c>
      <c r="W288" s="497">
        <v>4732924</v>
      </c>
      <c r="X288" s="1750">
        <f t="shared" ref="X288:X351" si="10">SUM(L288:W288)</f>
        <v>56795000</v>
      </c>
      <c r="Y288" s="175">
        <f t="shared" si="9"/>
        <v>0</v>
      </c>
    </row>
    <row r="289" spans="1:25" ht="45" x14ac:dyDescent="0.25">
      <c r="A289" s="32"/>
      <c r="B289" s="32"/>
      <c r="C289" s="32"/>
      <c r="D289" s="32"/>
      <c r="E289" s="32"/>
      <c r="F289" s="32"/>
      <c r="G289" s="1340" t="s">
        <v>2702</v>
      </c>
      <c r="H289" s="66" t="str">
        <f>'BID II'!B74</f>
        <v xml:space="preserve">Belanja Perlengkapan Alat Listrik </v>
      </c>
      <c r="I289" s="513">
        <f>'BID II'!F75</f>
        <v>1280000</v>
      </c>
      <c r="J289" s="66" t="s">
        <v>2624</v>
      </c>
      <c r="K289" s="497" t="s">
        <v>3031</v>
      </c>
      <c r="L289" s="32"/>
      <c r="M289" s="32"/>
      <c r="N289" s="32"/>
      <c r="O289" s="32"/>
      <c r="P289" s="497">
        <v>1280000</v>
      </c>
      <c r="Q289" s="32"/>
      <c r="R289" s="32"/>
      <c r="S289" s="32"/>
      <c r="T289" s="32"/>
      <c r="U289" s="32"/>
      <c r="V289" s="32"/>
      <c r="W289" s="32"/>
      <c r="X289" s="1750">
        <f t="shared" si="10"/>
        <v>1280000</v>
      </c>
      <c r="Y289" s="175">
        <f t="shared" si="9"/>
        <v>0</v>
      </c>
    </row>
    <row r="290" spans="1:25" ht="60" x14ac:dyDescent="0.25">
      <c r="A290" s="32"/>
      <c r="B290" s="32"/>
      <c r="C290" s="32"/>
      <c r="D290" s="32"/>
      <c r="E290" s="32"/>
      <c r="F290" s="32"/>
      <c r="G290" s="1340" t="s">
        <v>2703</v>
      </c>
      <c r="H290" s="66" t="str">
        <f>'BID II'!B77</f>
        <v xml:space="preserve">Belanja perlengkapan alat alat rumah tangga/peralatan dan Bahan kebersihan </v>
      </c>
      <c r="I290" s="174">
        <f>SUM('BID II'!F78:F98)</f>
        <v>4061100</v>
      </c>
      <c r="J290" s="66" t="s">
        <v>2624</v>
      </c>
      <c r="K290" s="497" t="s">
        <v>3031</v>
      </c>
      <c r="L290" s="497">
        <v>338425</v>
      </c>
      <c r="M290" s="497">
        <v>338425</v>
      </c>
      <c r="N290" s="497">
        <v>338425</v>
      </c>
      <c r="O290" s="497">
        <v>338425</v>
      </c>
      <c r="P290" s="497">
        <v>338425</v>
      </c>
      <c r="Q290" s="497">
        <v>338425</v>
      </c>
      <c r="R290" s="497">
        <v>338425</v>
      </c>
      <c r="S290" s="497">
        <v>338425</v>
      </c>
      <c r="T290" s="497">
        <v>338425</v>
      </c>
      <c r="U290" s="497">
        <v>338425</v>
      </c>
      <c r="V290" s="497">
        <v>338425</v>
      </c>
      <c r="W290" s="497">
        <v>338425</v>
      </c>
      <c r="X290" s="1750">
        <f t="shared" si="10"/>
        <v>4061100</v>
      </c>
      <c r="Y290" s="175">
        <f t="shared" si="9"/>
        <v>0</v>
      </c>
    </row>
    <row r="291" spans="1:25" ht="45" x14ac:dyDescent="0.25">
      <c r="A291" s="32"/>
      <c r="B291" s="32"/>
      <c r="C291" s="32"/>
      <c r="D291" s="32"/>
      <c r="E291" s="32"/>
      <c r="F291" s="32"/>
      <c r="G291" s="1340" t="s">
        <v>2704</v>
      </c>
      <c r="H291" s="66" t="str">
        <f>'BID II'!B99</f>
        <v>Belanja Bahan Bakar Minyak</v>
      </c>
      <c r="I291" s="174">
        <f>'BID II'!F100</f>
        <v>1200000</v>
      </c>
      <c r="J291" s="66" t="s">
        <v>2624</v>
      </c>
      <c r="K291" s="497" t="s">
        <v>3031</v>
      </c>
      <c r="L291" s="497">
        <v>100000</v>
      </c>
      <c r="M291" s="497">
        <v>100000</v>
      </c>
      <c r="N291" s="497">
        <v>100000</v>
      </c>
      <c r="O291" s="497">
        <v>100000</v>
      </c>
      <c r="P291" s="497">
        <v>100000</v>
      </c>
      <c r="Q291" s="497">
        <v>100000</v>
      </c>
      <c r="R291" s="497">
        <v>100000</v>
      </c>
      <c r="S291" s="497">
        <v>100000</v>
      </c>
      <c r="T291" s="497">
        <v>100000</v>
      </c>
      <c r="U291" s="497">
        <v>100000</v>
      </c>
      <c r="V291" s="497">
        <v>100000</v>
      </c>
      <c r="W291" s="497">
        <v>100000</v>
      </c>
      <c r="X291" s="1750">
        <f t="shared" si="10"/>
        <v>1200000</v>
      </c>
      <c r="Y291" s="175">
        <f t="shared" si="9"/>
        <v>0</v>
      </c>
    </row>
    <row r="292" spans="1:25" ht="60" x14ac:dyDescent="0.25">
      <c r="A292" s="32"/>
      <c r="B292" s="32"/>
      <c r="C292" s="32"/>
      <c r="D292" s="32"/>
      <c r="E292" s="32"/>
      <c r="F292" s="32"/>
      <c r="G292" s="1340" t="s">
        <v>2705</v>
      </c>
      <c r="H292" s="66" t="str">
        <f>'BID II'!B101</f>
        <v>Belanja perlengkapan barang konsumsi (makan/ minum) Belanja Barang konsumsi</v>
      </c>
      <c r="I292" s="513">
        <f>'BID II'!F102</f>
        <v>180000</v>
      </c>
      <c r="J292" s="66" t="s">
        <v>2624</v>
      </c>
      <c r="K292" s="497" t="s">
        <v>3031</v>
      </c>
      <c r="L292" s="32"/>
      <c r="M292" s="32"/>
      <c r="N292" s="32"/>
      <c r="O292" s="32"/>
      <c r="P292" s="497">
        <v>180000</v>
      </c>
      <c r="Q292" s="32"/>
      <c r="R292" s="32"/>
      <c r="S292" s="32"/>
      <c r="T292" s="32"/>
      <c r="U292" s="32"/>
      <c r="V292" s="32"/>
      <c r="W292" s="32"/>
      <c r="X292" s="1750">
        <f t="shared" si="10"/>
        <v>180000</v>
      </c>
      <c r="Y292" s="175">
        <f t="shared" si="9"/>
        <v>0</v>
      </c>
    </row>
    <row r="293" spans="1:25" ht="45" x14ac:dyDescent="0.25">
      <c r="A293" s="32"/>
      <c r="B293" s="32"/>
      <c r="C293" s="32"/>
      <c r="D293" s="32"/>
      <c r="E293" s="32"/>
      <c r="F293" s="32"/>
      <c r="G293" s="1340" t="s">
        <v>2708</v>
      </c>
      <c r="H293" s="66" t="str">
        <f>'BID II'!B104</f>
        <v>Belanja Bahan / Material</v>
      </c>
      <c r="I293" s="513">
        <f>SUM('BID II'!F105:F106)</f>
        <v>4250000</v>
      </c>
      <c r="J293" s="66" t="s">
        <v>2624</v>
      </c>
      <c r="K293" s="497" t="s">
        <v>3031</v>
      </c>
      <c r="L293" s="32"/>
      <c r="M293" s="32"/>
      <c r="N293" s="32"/>
      <c r="O293" s="32"/>
      <c r="P293" s="32"/>
      <c r="Q293" s="32"/>
      <c r="R293" s="32"/>
      <c r="S293" s="497">
        <v>4250000</v>
      </c>
      <c r="T293" s="32"/>
      <c r="U293" s="32"/>
      <c r="V293" s="32"/>
      <c r="W293" s="32"/>
      <c r="X293" s="1750">
        <f t="shared" si="10"/>
        <v>4250000</v>
      </c>
      <c r="Y293" s="175">
        <f t="shared" si="9"/>
        <v>0</v>
      </c>
    </row>
    <row r="294" spans="1:25" ht="45" x14ac:dyDescent="0.25">
      <c r="A294" s="32"/>
      <c r="B294" s="32"/>
      <c r="C294" s="32"/>
      <c r="D294" s="32"/>
      <c r="E294" s="32"/>
      <c r="F294" s="32"/>
      <c r="G294" s="1340" t="s">
        <v>2707</v>
      </c>
      <c r="H294" s="66" t="str">
        <f>'BID II'!B108</f>
        <v>Belanja bendera/ umbul umbul/ spanduk</v>
      </c>
      <c r="I294" s="174">
        <f>'BID II'!F109</f>
        <v>300000</v>
      </c>
      <c r="J294" s="66" t="s">
        <v>2624</v>
      </c>
      <c r="K294" s="497" t="s">
        <v>3031</v>
      </c>
      <c r="L294" s="32"/>
      <c r="M294" s="32"/>
      <c r="N294" s="32"/>
      <c r="O294" s="32"/>
      <c r="P294" s="32"/>
      <c r="Q294" s="32"/>
      <c r="R294" s="32"/>
      <c r="S294" s="497">
        <v>300000</v>
      </c>
      <c r="T294" s="32"/>
      <c r="U294" s="32"/>
      <c r="V294" s="32"/>
      <c r="W294" s="32"/>
      <c r="X294" s="1750">
        <f t="shared" si="10"/>
        <v>300000</v>
      </c>
      <c r="Y294" s="175">
        <f t="shared" si="9"/>
        <v>0</v>
      </c>
    </row>
    <row r="295" spans="1:25" ht="45" x14ac:dyDescent="0.25">
      <c r="A295" s="32"/>
      <c r="B295" s="32"/>
      <c r="C295" s="32"/>
      <c r="D295" s="32"/>
      <c r="E295" s="32"/>
      <c r="F295" s="32"/>
      <c r="G295" s="1340" t="s">
        <v>2709</v>
      </c>
      <c r="H295" s="66" t="str">
        <f>'BID II'!B111</f>
        <v>Belanja Pakaian Dinas/ Seragam/ Atribut</v>
      </c>
      <c r="I295" s="174">
        <f>'BID II'!F112</f>
        <v>3750000</v>
      </c>
      <c r="J295" s="66" t="s">
        <v>2624</v>
      </c>
      <c r="K295" s="497" t="s">
        <v>3031</v>
      </c>
      <c r="L295" s="32"/>
      <c r="M295" s="32"/>
      <c r="N295" s="32"/>
      <c r="O295" s="32"/>
      <c r="P295" s="32"/>
      <c r="Q295" s="32"/>
      <c r="R295" s="32"/>
      <c r="S295" s="497">
        <v>3750000</v>
      </c>
      <c r="T295" s="32"/>
      <c r="U295" s="32"/>
      <c r="V295" s="32"/>
      <c r="W295" s="32"/>
      <c r="X295" s="1750">
        <f t="shared" si="10"/>
        <v>3750000</v>
      </c>
      <c r="Y295" s="175">
        <f t="shared" si="9"/>
        <v>0</v>
      </c>
    </row>
    <row r="296" spans="1:25" ht="30" x14ac:dyDescent="0.25">
      <c r="A296" s="32"/>
      <c r="B296" s="32"/>
      <c r="C296" s="32"/>
      <c r="D296" s="32"/>
      <c r="E296" s="32"/>
      <c r="F296" s="32"/>
      <c r="G296" s="32">
        <v>90</v>
      </c>
      <c r="H296" s="66" t="str">
        <f>'BID II'!B114</f>
        <v>Belanja Upakara, Upacara Dan Aci</v>
      </c>
      <c r="I296" s="174">
        <f>SUM('BID II'!F115:F123)</f>
        <v>14857069.18</v>
      </c>
      <c r="J296" s="66" t="s">
        <v>2628</v>
      </c>
      <c r="K296" s="497" t="s">
        <v>3031</v>
      </c>
      <c r="L296" s="497">
        <v>1238089</v>
      </c>
      <c r="M296" s="497">
        <v>1238089</v>
      </c>
      <c r="N296" s="497">
        <v>1238089</v>
      </c>
      <c r="O296" s="497">
        <v>1238089</v>
      </c>
      <c r="P296" s="497">
        <v>1238089</v>
      </c>
      <c r="Q296" s="497">
        <v>1238089</v>
      </c>
      <c r="R296" s="497">
        <v>1238089</v>
      </c>
      <c r="S296" s="497">
        <v>1238089</v>
      </c>
      <c r="T296" s="497">
        <v>1238089</v>
      </c>
      <c r="U296" s="497">
        <v>1238089</v>
      </c>
      <c r="V296" s="497">
        <v>1238089</v>
      </c>
      <c r="W296" s="497">
        <v>1238090.18</v>
      </c>
      <c r="X296" s="1750">
        <f t="shared" si="10"/>
        <v>14857069.18</v>
      </c>
      <c r="Y296" s="175">
        <f t="shared" si="9"/>
        <v>0</v>
      </c>
    </row>
    <row r="297" spans="1:25" x14ac:dyDescent="0.25">
      <c r="A297" s="32"/>
      <c r="B297" s="32"/>
      <c r="C297" s="32"/>
      <c r="D297" s="32">
        <v>5</v>
      </c>
      <c r="E297" s="32">
        <v>2</v>
      </c>
      <c r="F297" s="32">
        <v>2</v>
      </c>
      <c r="G297" s="32"/>
      <c r="H297" s="66" t="str">
        <f>'BID II'!B125</f>
        <v>Belanja jasa honorarium</v>
      </c>
      <c r="I297" s="32"/>
      <c r="J297" s="66"/>
      <c r="K297" s="497" t="s">
        <v>3031</v>
      </c>
      <c r="L297" s="32"/>
      <c r="M297" s="32"/>
      <c r="N297" s="32"/>
      <c r="O297" s="32"/>
      <c r="P297" s="32"/>
      <c r="Q297" s="32"/>
      <c r="R297" s="32"/>
      <c r="S297" s="32"/>
      <c r="T297" s="32"/>
      <c r="U297" s="32"/>
      <c r="V297" s="32"/>
      <c r="W297" s="32"/>
      <c r="X297" s="1750">
        <f t="shared" si="10"/>
        <v>0</v>
      </c>
      <c r="Y297" s="175">
        <f t="shared" si="9"/>
        <v>0</v>
      </c>
    </row>
    <row r="298" spans="1:25" ht="45" x14ac:dyDescent="0.25">
      <c r="A298" s="32"/>
      <c r="B298" s="32"/>
      <c r="C298" s="32"/>
      <c r="D298" s="32"/>
      <c r="E298" s="32"/>
      <c r="F298" s="32"/>
      <c r="G298" s="1340" t="s">
        <v>2704</v>
      </c>
      <c r="H298" s="66" t="str">
        <f>'BID II'!B126</f>
        <v>Belanja jasa honorarium Ahli/Profesi/Konsultan/Narasumber</v>
      </c>
      <c r="I298" s="513">
        <f>SUM('BID II'!F127:F133)</f>
        <v>120000000</v>
      </c>
      <c r="J298" s="66" t="s">
        <v>2639</v>
      </c>
      <c r="K298" s="497" t="s">
        <v>3031</v>
      </c>
      <c r="L298" s="497">
        <v>10000000</v>
      </c>
      <c r="M298" s="497">
        <v>10000000</v>
      </c>
      <c r="N298" s="497">
        <v>10000000</v>
      </c>
      <c r="O298" s="497">
        <v>10000000</v>
      </c>
      <c r="P298" s="497">
        <v>10000000</v>
      </c>
      <c r="Q298" s="497">
        <v>10000000</v>
      </c>
      <c r="R298" s="497">
        <v>10000000</v>
      </c>
      <c r="S298" s="497">
        <v>10000000</v>
      </c>
      <c r="T298" s="497">
        <v>10000000</v>
      </c>
      <c r="U298" s="497">
        <v>10000000</v>
      </c>
      <c r="V298" s="497">
        <v>10000000</v>
      </c>
      <c r="W298" s="497">
        <v>10000000</v>
      </c>
      <c r="X298" s="1750">
        <f t="shared" si="10"/>
        <v>120000000</v>
      </c>
      <c r="Y298" s="175">
        <f t="shared" ref="Y298:Y361" si="11">X298-I298</f>
        <v>0</v>
      </c>
    </row>
    <row r="299" spans="1:25" ht="45" x14ac:dyDescent="0.25">
      <c r="A299" s="32"/>
      <c r="B299" s="32"/>
      <c r="C299" s="32"/>
      <c r="D299" s="32"/>
      <c r="E299" s="32"/>
      <c r="F299" s="32"/>
      <c r="G299" s="1340" t="s">
        <v>2704</v>
      </c>
      <c r="H299" s="66" t="str">
        <f>'BID II'!B126</f>
        <v>Belanja jasa honorarium Ahli/Profesi/Konsultan/Narasumber</v>
      </c>
      <c r="I299" s="513">
        <f>'BID II'!F135+'BID II'!F136</f>
        <v>5400000</v>
      </c>
      <c r="J299" s="66" t="s">
        <v>2624</v>
      </c>
      <c r="K299" s="497" t="s">
        <v>3031</v>
      </c>
      <c r="L299" s="497">
        <v>450000</v>
      </c>
      <c r="M299" s="497">
        <v>450000</v>
      </c>
      <c r="N299" s="497">
        <v>450000</v>
      </c>
      <c r="O299" s="497">
        <v>450000</v>
      </c>
      <c r="P299" s="497">
        <v>450000</v>
      </c>
      <c r="Q299" s="497">
        <v>450000</v>
      </c>
      <c r="R299" s="497">
        <v>450000</v>
      </c>
      <c r="S299" s="497">
        <v>450000</v>
      </c>
      <c r="T299" s="497">
        <v>450000</v>
      </c>
      <c r="U299" s="497">
        <v>450000</v>
      </c>
      <c r="V299" s="497">
        <v>450000</v>
      </c>
      <c r="W299" s="497">
        <v>450000</v>
      </c>
      <c r="X299" s="1750">
        <f t="shared" si="10"/>
        <v>5400000</v>
      </c>
      <c r="Y299" s="175">
        <f t="shared" si="11"/>
        <v>0</v>
      </c>
    </row>
    <row r="300" spans="1:25" ht="30" x14ac:dyDescent="0.25">
      <c r="A300" s="32"/>
      <c r="B300" s="32"/>
      <c r="C300" s="32"/>
      <c r="D300" s="32">
        <v>5</v>
      </c>
      <c r="E300" s="32">
        <v>2</v>
      </c>
      <c r="F300" s="32">
        <v>5</v>
      </c>
      <c r="G300" s="1340" t="s">
        <v>2688</v>
      </c>
      <c r="H300" s="66" t="str">
        <f>'BID II'!B138</f>
        <v>Belanja Operasional perkantoran</v>
      </c>
      <c r="I300" s="513">
        <f>SUM('BID II'!F139:F141)</f>
        <v>13800000</v>
      </c>
      <c r="J300" s="66" t="s">
        <v>2628</v>
      </c>
      <c r="K300" s="497" t="s">
        <v>3031</v>
      </c>
      <c r="L300" s="497">
        <v>1150000</v>
      </c>
      <c r="M300" s="497">
        <v>1150000</v>
      </c>
      <c r="N300" s="497">
        <v>1150000</v>
      </c>
      <c r="O300" s="497">
        <v>1150000</v>
      </c>
      <c r="P300" s="497">
        <v>1150000</v>
      </c>
      <c r="Q300" s="497">
        <v>1150000</v>
      </c>
      <c r="R300" s="497">
        <v>1150000</v>
      </c>
      <c r="S300" s="497">
        <v>1150000</v>
      </c>
      <c r="T300" s="497">
        <v>1150000</v>
      </c>
      <c r="U300" s="497">
        <v>1150000</v>
      </c>
      <c r="V300" s="497">
        <v>1150000</v>
      </c>
      <c r="W300" s="497">
        <v>1150000</v>
      </c>
      <c r="X300" s="1750">
        <f t="shared" si="10"/>
        <v>13800000</v>
      </c>
      <c r="Y300" s="175">
        <f t="shared" si="11"/>
        <v>0</v>
      </c>
    </row>
    <row r="301" spans="1:25" ht="90" x14ac:dyDescent="0.25">
      <c r="A301" s="1344">
        <v>2</v>
      </c>
      <c r="B301" s="1344">
        <v>1</v>
      </c>
      <c r="C301" s="1346" t="s">
        <v>2703</v>
      </c>
      <c r="D301" s="1344"/>
      <c r="E301" s="1344"/>
      <c r="F301" s="1344"/>
      <c r="G301" s="1344"/>
      <c r="H301" s="1345" t="str">
        <f>'BID II'!B157</f>
        <v>: Penyuluhan dan Pelatihan Pendidikan Bagi Masyarakat ( Pelatihan Bahasa Bali Untuk Anak-Anak 7-12 Th )</v>
      </c>
      <c r="I301" s="1347">
        <f>SUM(I302:I308)</f>
        <v>9015000</v>
      </c>
      <c r="J301" s="1345" t="s">
        <v>2621</v>
      </c>
      <c r="K301" s="1347" t="s">
        <v>3031</v>
      </c>
      <c r="L301" s="1344"/>
      <c r="M301" s="1344"/>
      <c r="N301" s="1344"/>
      <c r="O301" s="1344"/>
      <c r="P301" s="1344"/>
      <c r="Q301" s="1344"/>
      <c r="R301" s="1344"/>
      <c r="S301" s="1344"/>
      <c r="T301" s="1344"/>
      <c r="U301" s="1344"/>
      <c r="V301" s="1344"/>
      <c r="W301" s="1344"/>
      <c r="X301" s="1353">
        <f t="shared" si="10"/>
        <v>0</v>
      </c>
      <c r="Y301" s="175">
        <f t="shared" si="11"/>
        <v>-9015000</v>
      </c>
    </row>
    <row r="302" spans="1:25" x14ac:dyDescent="0.25">
      <c r="A302" s="32"/>
      <c r="B302" s="32"/>
      <c r="C302" s="32"/>
      <c r="D302" s="32">
        <v>5</v>
      </c>
      <c r="E302" s="32">
        <v>2</v>
      </c>
      <c r="F302" s="32"/>
      <c r="G302" s="32"/>
      <c r="H302" s="66" t="str">
        <f>'BID II'!B164</f>
        <v>Belanja Barang Jasa</v>
      </c>
      <c r="I302" s="32"/>
      <c r="J302" s="66"/>
      <c r="K302" s="497" t="s">
        <v>3031</v>
      </c>
      <c r="L302" s="32"/>
      <c r="M302" s="32"/>
      <c r="N302" s="32"/>
      <c r="O302" s="32"/>
      <c r="P302" s="32"/>
      <c r="Q302" s="32"/>
      <c r="R302" s="32"/>
      <c r="S302" s="32"/>
      <c r="T302" s="32"/>
      <c r="U302" s="32"/>
      <c r="V302" s="32"/>
      <c r="W302" s="32"/>
      <c r="X302" s="1750">
        <f t="shared" si="10"/>
        <v>0</v>
      </c>
      <c r="Y302" s="175">
        <f t="shared" si="11"/>
        <v>0</v>
      </c>
    </row>
    <row r="303" spans="1:25" ht="30" x14ac:dyDescent="0.25">
      <c r="A303" s="32"/>
      <c r="B303" s="32"/>
      <c r="C303" s="32"/>
      <c r="D303" s="32"/>
      <c r="E303" s="32"/>
      <c r="F303" s="32">
        <v>1</v>
      </c>
      <c r="G303" s="32"/>
      <c r="H303" s="66" t="str">
        <f>'BID II'!B165</f>
        <v>Belanja Barang Perlengkapan</v>
      </c>
      <c r="I303" s="32"/>
      <c r="J303" s="66"/>
      <c r="K303" s="497" t="s">
        <v>3031</v>
      </c>
      <c r="L303" s="32"/>
      <c r="M303" s="32"/>
      <c r="N303" s="32"/>
      <c r="O303" s="32"/>
      <c r="P303" s="32"/>
      <c r="Q303" s="32"/>
      <c r="R303" s="32"/>
      <c r="S303" s="32"/>
      <c r="T303" s="32"/>
      <c r="U303" s="32"/>
      <c r="V303" s="32"/>
      <c r="W303" s="32"/>
      <c r="X303" s="1750">
        <f t="shared" si="10"/>
        <v>0</v>
      </c>
      <c r="Y303" s="175">
        <f t="shared" si="11"/>
        <v>0</v>
      </c>
    </row>
    <row r="304" spans="1:25" ht="30" x14ac:dyDescent="0.25">
      <c r="A304" s="32"/>
      <c r="B304" s="32"/>
      <c r="C304" s="32"/>
      <c r="D304" s="32"/>
      <c r="E304" s="32"/>
      <c r="F304" s="32"/>
      <c r="G304" s="1340" t="s">
        <v>2688</v>
      </c>
      <c r="H304" s="66" t="str">
        <f>'BID II'!B166</f>
        <v>Belanja Alat Tulis Kantor dan Benda Pos</v>
      </c>
      <c r="I304" s="174">
        <f>SUM('BID II'!F167)</f>
        <v>300000</v>
      </c>
      <c r="J304" s="66" t="s">
        <v>2621</v>
      </c>
      <c r="K304" s="497" t="s">
        <v>3031</v>
      </c>
      <c r="L304" s="32"/>
      <c r="M304" s="32"/>
      <c r="N304" s="32"/>
      <c r="O304" s="32"/>
      <c r="P304" s="497">
        <v>300000</v>
      </c>
      <c r="Q304" s="32"/>
      <c r="R304" s="32"/>
      <c r="S304" s="32"/>
      <c r="T304" s="32"/>
      <c r="U304" s="32"/>
      <c r="V304" s="32"/>
      <c r="W304" s="32"/>
      <c r="X304" s="1750">
        <f t="shared" si="10"/>
        <v>300000</v>
      </c>
      <c r="Y304" s="175">
        <f t="shared" si="11"/>
        <v>0</v>
      </c>
    </row>
    <row r="305" spans="1:25" ht="30" x14ac:dyDescent="0.25">
      <c r="A305" s="32"/>
      <c r="B305" s="32"/>
      <c r="C305" s="32"/>
      <c r="D305" s="32"/>
      <c r="E305" s="32"/>
      <c r="F305" s="32"/>
      <c r="G305" s="1340" t="s">
        <v>2705</v>
      </c>
      <c r="H305" s="66" t="str">
        <f>'BID II'!B168</f>
        <v>Belanja Barang Perlengkapan Konsumsi</v>
      </c>
      <c r="I305" s="174">
        <f>'BID II'!F169</f>
        <v>5625000</v>
      </c>
      <c r="J305" s="66" t="s">
        <v>2621</v>
      </c>
      <c r="K305" s="497" t="s">
        <v>3031</v>
      </c>
      <c r="L305" s="32"/>
      <c r="M305" s="32"/>
      <c r="N305" s="32"/>
      <c r="O305" s="32"/>
      <c r="P305" s="497">
        <v>5625000</v>
      </c>
      <c r="Q305" s="32"/>
      <c r="R305" s="32"/>
      <c r="S305" s="32"/>
      <c r="T305" s="32"/>
      <c r="U305" s="32"/>
      <c r="V305" s="32"/>
      <c r="W305" s="32"/>
      <c r="X305" s="1750">
        <f t="shared" si="10"/>
        <v>5625000</v>
      </c>
      <c r="Y305" s="175">
        <f t="shared" si="11"/>
        <v>0</v>
      </c>
    </row>
    <row r="306" spans="1:25" ht="30" x14ac:dyDescent="0.25">
      <c r="A306" s="32"/>
      <c r="B306" s="32"/>
      <c r="C306" s="32"/>
      <c r="D306" s="32"/>
      <c r="E306" s="32"/>
      <c r="F306" s="32"/>
      <c r="G306" s="1340" t="s">
        <v>2707</v>
      </c>
      <c r="H306" s="66" t="str">
        <f>'BID II'!B170</f>
        <v>Belanja Bendera/ Umbul-umbul/ Spanduk</v>
      </c>
      <c r="I306" s="174">
        <f>'BID II'!F171</f>
        <v>90000</v>
      </c>
      <c r="J306" s="66" t="s">
        <v>2621</v>
      </c>
      <c r="K306" s="497" t="s">
        <v>3031</v>
      </c>
      <c r="L306" s="32"/>
      <c r="M306" s="32"/>
      <c r="N306" s="32"/>
      <c r="O306" s="32"/>
      <c r="P306" s="497">
        <v>90000</v>
      </c>
      <c r="Q306" s="32"/>
      <c r="R306" s="32"/>
      <c r="S306" s="32"/>
      <c r="T306" s="32"/>
      <c r="U306" s="32"/>
      <c r="V306" s="32"/>
      <c r="W306" s="32"/>
      <c r="X306" s="1750">
        <f t="shared" si="10"/>
        <v>90000</v>
      </c>
      <c r="Y306" s="175">
        <f t="shared" si="11"/>
        <v>0</v>
      </c>
    </row>
    <row r="307" spans="1:25" x14ac:dyDescent="0.25">
      <c r="A307" s="32"/>
      <c r="B307" s="32"/>
      <c r="C307" s="32"/>
      <c r="D307" s="32">
        <v>5</v>
      </c>
      <c r="E307" s="32">
        <v>2</v>
      </c>
      <c r="F307" s="32">
        <v>2</v>
      </c>
      <c r="G307" s="32"/>
      <c r="H307" s="66" t="str">
        <f>'BID II'!B172</f>
        <v>Belanja Honorarium</v>
      </c>
      <c r="I307" s="32"/>
      <c r="J307" s="66"/>
      <c r="K307" s="497" t="s">
        <v>3031</v>
      </c>
      <c r="L307" s="32"/>
      <c r="M307" s="32"/>
      <c r="N307" s="32"/>
      <c r="O307" s="32"/>
      <c r="P307" s="497"/>
      <c r="Q307" s="32"/>
      <c r="R307" s="32"/>
      <c r="S307" s="32"/>
      <c r="T307" s="32"/>
      <c r="U307" s="32"/>
      <c r="V307" s="32"/>
      <c r="W307" s="32"/>
      <c r="X307" s="1750">
        <f t="shared" si="10"/>
        <v>0</v>
      </c>
      <c r="Y307" s="175">
        <f t="shared" si="11"/>
        <v>0</v>
      </c>
    </row>
    <row r="308" spans="1:25" ht="45" x14ac:dyDescent="0.25">
      <c r="A308" s="32"/>
      <c r="B308" s="32"/>
      <c r="C308" s="32"/>
      <c r="D308" s="32"/>
      <c r="E308" s="32"/>
      <c r="F308" s="32"/>
      <c r="G308" s="1340" t="s">
        <v>2688</v>
      </c>
      <c r="H308" s="66" t="str">
        <f>'BID II'!B173</f>
        <v>Belanja Jasa Honorarium Tim Yang Melaksanakan Kegiatan</v>
      </c>
      <c r="I308" s="174">
        <f>'BID II'!F174</f>
        <v>3000000</v>
      </c>
      <c r="J308" s="66" t="s">
        <v>2621</v>
      </c>
      <c r="K308" s="497" t="s">
        <v>3031</v>
      </c>
      <c r="L308" s="32"/>
      <c r="M308" s="32"/>
      <c r="N308" s="32"/>
      <c r="O308" s="32"/>
      <c r="P308" s="497">
        <v>3000000</v>
      </c>
      <c r="Q308" s="32"/>
      <c r="R308" s="32"/>
      <c r="S308" s="32"/>
      <c r="T308" s="32"/>
      <c r="U308" s="32"/>
      <c r="V308" s="32"/>
      <c r="W308" s="32"/>
      <c r="X308" s="1750">
        <f t="shared" si="10"/>
        <v>3000000</v>
      </c>
      <c r="Y308" s="175">
        <f t="shared" si="11"/>
        <v>0</v>
      </c>
    </row>
    <row r="309" spans="1:25" ht="90" x14ac:dyDescent="0.25">
      <c r="A309" s="1344">
        <v>2</v>
      </c>
      <c r="B309" s="1344">
        <v>1</v>
      </c>
      <c r="C309" s="1346" t="s">
        <v>2703</v>
      </c>
      <c r="D309" s="1344"/>
      <c r="E309" s="1344"/>
      <c r="F309" s="1344"/>
      <c r="G309" s="1344"/>
      <c r="H309" s="1345" t="str">
        <f>'BID II'!B189</f>
        <v>: Penyuluhan dan Pelatihan Pendidikan Bagi Masyarakat ( Pembinaan dan Penyelenggaraan Bunda Literasi )</v>
      </c>
      <c r="I309" s="1347">
        <f>SUM(I310:I317)</f>
        <v>14178000</v>
      </c>
      <c r="J309" s="1345" t="s">
        <v>2625</v>
      </c>
      <c r="K309" s="1347" t="s">
        <v>3031</v>
      </c>
      <c r="L309" s="1344"/>
      <c r="M309" s="1344"/>
      <c r="N309" s="1344"/>
      <c r="O309" s="1344"/>
      <c r="P309" s="1344"/>
      <c r="Q309" s="1344"/>
      <c r="R309" s="1344"/>
      <c r="S309" s="1344"/>
      <c r="T309" s="1344"/>
      <c r="U309" s="1344"/>
      <c r="V309" s="1344"/>
      <c r="W309" s="1344"/>
      <c r="X309" s="1353">
        <f t="shared" si="10"/>
        <v>0</v>
      </c>
      <c r="Y309" s="175">
        <f t="shared" si="11"/>
        <v>-14178000</v>
      </c>
    </row>
    <row r="310" spans="1:25" x14ac:dyDescent="0.25">
      <c r="A310" s="32"/>
      <c r="B310" s="32"/>
      <c r="C310" s="32"/>
      <c r="D310" s="32">
        <v>5</v>
      </c>
      <c r="E310" s="32">
        <v>2</v>
      </c>
      <c r="F310" s="32"/>
      <c r="G310" s="32"/>
      <c r="H310" s="66" t="str">
        <f>'BID II'!B196</f>
        <v>Belanja Barang Jasa</v>
      </c>
      <c r="I310" s="32"/>
      <c r="J310" s="66"/>
      <c r="K310" s="497" t="s">
        <v>3031</v>
      </c>
      <c r="L310" s="32"/>
      <c r="M310" s="32"/>
      <c r="N310" s="32"/>
      <c r="O310" s="32"/>
      <c r="P310" s="32"/>
      <c r="Q310" s="32"/>
      <c r="R310" s="32"/>
      <c r="S310" s="32"/>
      <c r="T310" s="32"/>
      <c r="U310" s="32"/>
      <c r="V310" s="32"/>
      <c r="W310" s="32"/>
      <c r="X310" s="1750">
        <f t="shared" si="10"/>
        <v>0</v>
      </c>
      <c r="Y310" s="175">
        <f t="shared" si="11"/>
        <v>0</v>
      </c>
    </row>
    <row r="311" spans="1:25" ht="30" x14ac:dyDescent="0.25">
      <c r="A311" s="32"/>
      <c r="B311" s="32"/>
      <c r="C311" s="32"/>
      <c r="D311" s="32"/>
      <c r="E311" s="32"/>
      <c r="F311" s="32">
        <v>1</v>
      </c>
      <c r="G311" s="32"/>
      <c r="H311" s="66" t="str">
        <f>'BID II'!B197</f>
        <v>Belanja Barang Perlengkapan</v>
      </c>
      <c r="I311" s="32"/>
      <c r="J311" s="66"/>
      <c r="K311" s="497" t="s">
        <v>3031</v>
      </c>
      <c r="L311" s="32"/>
      <c r="M311" s="32"/>
      <c r="N311" s="32"/>
      <c r="O311" s="32"/>
      <c r="P311" s="32"/>
      <c r="Q311" s="32"/>
      <c r="R311" s="32"/>
      <c r="S311" s="32"/>
      <c r="T311" s="32"/>
      <c r="U311" s="32"/>
      <c r="V311" s="32"/>
      <c r="W311" s="32"/>
      <c r="X311" s="1750">
        <f t="shared" si="10"/>
        <v>0</v>
      </c>
      <c r="Y311" s="175">
        <f t="shared" si="11"/>
        <v>0</v>
      </c>
    </row>
    <row r="312" spans="1:25" ht="30" x14ac:dyDescent="0.25">
      <c r="A312" s="32"/>
      <c r="B312" s="32"/>
      <c r="C312" s="32"/>
      <c r="D312" s="32"/>
      <c r="E312" s="32"/>
      <c r="F312" s="32"/>
      <c r="G312" s="1340" t="s">
        <v>2688</v>
      </c>
      <c r="H312" s="66" t="str">
        <f>'BID II'!B198</f>
        <v>Belanja Alat Tulis Kantor dan Benda Pos</v>
      </c>
      <c r="I312" s="174">
        <f>SUM('BID II'!F199:F200)</f>
        <v>63000</v>
      </c>
      <c r="J312" s="66" t="s">
        <v>2625</v>
      </c>
      <c r="K312" s="497" t="s">
        <v>3031</v>
      </c>
      <c r="L312" s="32"/>
      <c r="M312" s="32"/>
      <c r="N312" s="32"/>
      <c r="O312" s="32"/>
      <c r="P312" s="32"/>
      <c r="Q312" s="32"/>
      <c r="R312" s="32"/>
      <c r="S312" s="32"/>
      <c r="T312" s="497">
        <v>63000</v>
      </c>
      <c r="U312" s="32"/>
      <c r="V312" s="32"/>
      <c r="W312" s="32"/>
      <c r="X312" s="1750">
        <f t="shared" si="10"/>
        <v>63000</v>
      </c>
      <c r="Y312" s="175">
        <f t="shared" si="11"/>
        <v>0</v>
      </c>
    </row>
    <row r="313" spans="1:25" ht="30" x14ac:dyDescent="0.25">
      <c r="A313" s="32"/>
      <c r="B313" s="32"/>
      <c r="C313" s="32"/>
      <c r="D313" s="32"/>
      <c r="E313" s="32"/>
      <c r="F313" s="32"/>
      <c r="G313" s="1340" t="s">
        <v>2705</v>
      </c>
      <c r="H313" s="66" t="str">
        <f>'BID II'!B168</f>
        <v>Belanja Barang Perlengkapan Konsumsi</v>
      </c>
      <c r="I313" s="174">
        <f>'BID II'!F202+'BID II'!F203</f>
        <v>2835000</v>
      </c>
      <c r="J313" s="66" t="s">
        <v>2625</v>
      </c>
      <c r="K313" s="497" t="s">
        <v>3031</v>
      </c>
      <c r="L313" s="32"/>
      <c r="M313" s="32"/>
      <c r="N313" s="32"/>
      <c r="O313" s="32"/>
      <c r="P313" s="32"/>
      <c r="Q313" s="32"/>
      <c r="R313" s="32"/>
      <c r="S313" s="32"/>
      <c r="T313" s="497">
        <v>2835000</v>
      </c>
      <c r="U313" s="32"/>
      <c r="V313" s="32"/>
      <c r="W313" s="32"/>
      <c r="X313" s="1750">
        <f t="shared" si="10"/>
        <v>2835000</v>
      </c>
      <c r="Y313" s="175">
        <f t="shared" si="11"/>
        <v>0</v>
      </c>
    </row>
    <row r="314" spans="1:25" x14ac:dyDescent="0.25">
      <c r="A314" s="32"/>
      <c r="B314" s="32"/>
      <c r="C314" s="32"/>
      <c r="D314" s="32"/>
      <c r="E314" s="32"/>
      <c r="F314" s="32"/>
      <c r="G314" s="1340" t="s">
        <v>2708</v>
      </c>
      <c r="H314" s="32" t="str">
        <f>'BID II'!B204</f>
        <v>Belanja Bahan Material</v>
      </c>
      <c r="I314" s="174">
        <f>SUM('BID II'!F205+'BID II'!F206)</f>
        <v>10500000</v>
      </c>
      <c r="J314" s="66" t="s">
        <v>2625</v>
      </c>
      <c r="K314" s="497" t="s">
        <v>3031</v>
      </c>
      <c r="L314" s="32"/>
      <c r="M314" s="32"/>
      <c r="N314" s="32"/>
      <c r="O314" s="32"/>
      <c r="P314" s="32"/>
      <c r="Q314" s="32"/>
      <c r="R314" s="32"/>
      <c r="S314" s="32"/>
      <c r="T314" s="497">
        <v>10500000</v>
      </c>
      <c r="U314" s="32"/>
      <c r="V314" s="32"/>
      <c r="W314" s="32"/>
      <c r="X314" s="1750">
        <f t="shared" si="10"/>
        <v>10500000</v>
      </c>
      <c r="Y314" s="175">
        <f t="shared" si="11"/>
        <v>0</v>
      </c>
    </row>
    <row r="315" spans="1:25" ht="30" x14ac:dyDescent="0.25">
      <c r="A315" s="32"/>
      <c r="B315" s="32"/>
      <c r="C315" s="32"/>
      <c r="D315" s="32"/>
      <c r="E315" s="32"/>
      <c r="F315" s="32"/>
      <c r="G315" s="1340" t="s">
        <v>2707</v>
      </c>
      <c r="H315" s="66" t="str">
        <f>'BID II'!B207</f>
        <v>Belanja Bendera/ Umbul-umbul/ Spanduk</v>
      </c>
      <c r="I315" s="174">
        <f>'BID II'!F208</f>
        <v>180000</v>
      </c>
      <c r="J315" s="66" t="s">
        <v>2625</v>
      </c>
      <c r="K315" s="497" t="s">
        <v>3031</v>
      </c>
      <c r="L315" s="32"/>
      <c r="M315" s="32"/>
      <c r="N315" s="32"/>
      <c r="O315" s="32"/>
      <c r="P315" s="32"/>
      <c r="Q315" s="32"/>
      <c r="R315" s="32"/>
      <c r="S315" s="32"/>
      <c r="T315" s="497">
        <v>180000</v>
      </c>
      <c r="U315" s="32"/>
      <c r="V315" s="32"/>
      <c r="W315" s="32"/>
      <c r="X315" s="1750">
        <f t="shared" si="10"/>
        <v>180000</v>
      </c>
      <c r="Y315" s="175">
        <f t="shared" si="11"/>
        <v>0</v>
      </c>
    </row>
    <row r="316" spans="1:25" x14ac:dyDescent="0.25">
      <c r="A316" s="32"/>
      <c r="B316" s="32"/>
      <c r="C316" s="32"/>
      <c r="D316" s="32">
        <v>5</v>
      </c>
      <c r="E316" s="32">
        <v>2</v>
      </c>
      <c r="F316" s="32">
        <v>2</v>
      </c>
      <c r="G316" s="32"/>
      <c r="H316" s="66" t="str">
        <f>'BID II'!B209</f>
        <v>Belanja Honorarium</v>
      </c>
      <c r="I316" s="32"/>
      <c r="J316" s="66"/>
      <c r="K316" s="497" t="s">
        <v>3031</v>
      </c>
      <c r="L316" s="32"/>
      <c r="M316" s="32"/>
      <c r="N316" s="32"/>
      <c r="O316" s="32"/>
      <c r="P316" s="32"/>
      <c r="Q316" s="32"/>
      <c r="R316" s="32"/>
      <c r="S316" s="32"/>
      <c r="T316" s="497"/>
      <c r="U316" s="32"/>
      <c r="V316" s="32"/>
      <c r="W316" s="32"/>
      <c r="X316" s="1750">
        <f t="shared" si="10"/>
        <v>0</v>
      </c>
      <c r="Y316" s="175">
        <f t="shared" si="11"/>
        <v>0</v>
      </c>
    </row>
    <row r="317" spans="1:25" ht="45" x14ac:dyDescent="0.25">
      <c r="A317" s="32"/>
      <c r="B317" s="32"/>
      <c r="C317" s="32"/>
      <c r="D317" s="32"/>
      <c r="E317" s="32"/>
      <c r="F317" s="32"/>
      <c r="G317" s="1340" t="s">
        <v>2688</v>
      </c>
      <c r="H317" s="66" t="str">
        <f>'BID II'!B210</f>
        <v>Belanja Jasa Honorarium Tim Yang Melaksanakan Kegiatan</v>
      </c>
      <c r="I317" s="174">
        <f>SUM('BID II'!F211)</f>
        <v>600000</v>
      </c>
      <c r="J317" s="66" t="s">
        <v>2625</v>
      </c>
      <c r="K317" s="497" t="s">
        <v>3031</v>
      </c>
      <c r="L317" s="32"/>
      <c r="M317" s="32"/>
      <c r="N317" s="32"/>
      <c r="O317" s="32"/>
      <c r="P317" s="32"/>
      <c r="Q317" s="32"/>
      <c r="R317" s="32"/>
      <c r="S317" s="32"/>
      <c r="T317" s="497">
        <v>600000</v>
      </c>
      <c r="U317" s="32"/>
      <c r="V317" s="32"/>
      <c r="W317" s="32"/>
      <c r="X317" s="1750">
        <f t="shared" si="10"/>
        <v>600000</v>
      </c>
      <c r="Y317" s="175">
        <f t="shared" si="11"/>
        <v>0</v>
      </c>
    </row>
    <row r="318" spans="1:25" ht="45" x14ac:dyDescent="0.25">
      <c r="A318" s="1344">
        <v>2</v>
      </c>
      <c r="B318" s="1344">
        <v>1</v>
      </c>
      <c r="C318" s="1346" t="s">
        <v>2706</v>
      </c>
      <c r="D318" s="1344"/>
      <c r="E318" s="1344"/>
      <c r="F318" s="1344"/>
      <c r="G318" s="1344"/>
      <c r="H318" s="1345" t="str">
        <f>'BID II'!B226</f>
        <v>Pemeliharaan Sarana dan Prasarana TK Milik Desa (Pemagaran)</v>
      </c>
      <c r="I318" s="1347">
        <f>SUM(I319:I322)</f>
        <v>15269700</v>
      </c>
      <c r="J318" s="1345" t="s">
        <v>2387</v>
      </c>
      <c r="K318" s="1796" t="s">
        <v>3030</v>
      </c>
      <c r="L318" s="1344"/>
      <c r="M318" s="1344"/>
      <c r="N318" s="1344"/>
      <c r="O318" s="1344"/>
      <c r="P318" s="1344"/>
      <c r="Q318" s="1344"/>
      <c r="R318" s="1344"/>
      <c r="S318" s="1344"/>
      <c r="T318" s="1344"/>
      <c r="U318" s="1344"/>
      <c r="V318" s="1344"/>
      <c r="W318" s="1344"/>
      <c r="X318" s="1353">
        <f t="shared" si="10"/>
        <v>0</v>
      </c>
      <c r="Y318" s="175">
        <f t="shared" si="11"/>
        <v>-15269700</v>
      </c>
    </row>
    <row r="319" spans="1:25" ht="30" x14ac:dyDescent="0.25">
      <c r="A319" s="32"/>
      <c r="B319" s="32"/>
      <c r="C319" s="32"/>
      <c r="D319" s="32">
        <v>5</v>
      </c>
      <c r="E319" s="32">
        <v>3</v>
      </c>
      <c r="F319" s="32"/>
      <c r="G319" s="32"/>
      <c r="H319" s="66" t="str">
        <f>'BID II'!B233</f>
        <v>Belanja Modal</v>
      </c>
      <c r="I319" s="32"/>
      <c r="J319" s="66"/>
      <c r="K319" s="1797" t="s">
        <v>3030</v>
      </c>
      <c r="L319" s="32"/>
      <c r="M319" s="32"/>
      <c r="N319" s="32"/>
      <c r="O319" s="32"/>
      <c r="P319" s="32"/>
      <c r="Q319" s="32"/>
      <c r="R319" s="32"/>
      <c r="S319" s="32"/>
      <c r="T319" s="32"/>
      <c r="U319" s="32"/>
      <c r="V319" s="32"/>
      <c r="W319" s="32"/>
      <c r="X319" s="1750">
        <f t="shared" si="10"/>
        <v>0</v>
      </c>
      <c r="Y319" s="175">
        <f t="shared" si="11"/>
        <v>0</v>
      </c>
    </row>
    <row r="320" spans="1:25" ht="30" x14ac:dyDescent="0.25">
      <c r="A320" s="32"/>
      <c r="B320" s="32"/>
      <c r="C320" s="32"/>
      <c r="D320" s="32"/>
      <c r="E320" s="32"/>
      <c r="F320" s="32">
        <v>4</v>
      </c>
      <c r="G320" s="32"/>
      <c r="H320" s="66" t="str">
        <f>'BID II'!B234</f>
        <v>Belanja modal Gedung, Bangunan, Tanaman</v>
      </c>
      <c r="I320" s="32"/>
      <c r="J320" s="66"/>
      <c r="K320" s="1797" t="s">
        <v>3030</v>
      </c>
      <c r="L320" s="32"/>
      <c r="M320" s="32"/>
      <c r="N320" s="32"/>
      <c r="O320" s="32"/>
      <c r="P320" s="32"/>
      <c r="Q320" s="32"/>
      <c r="R320" s="32"/>
      <c r="S320" s="32"/>
      <c r="T320" s="32"/>
      <c r="U320" s="32"/>
      <c r="V320" s="32"/>
      <c r="W320" s="32"/>
      <c r="X320" s="1750">
        <f t="shared" si="10"/>
        <v>0</v>
      </c>
      <c r="Y320" s="175">
        <f t="shared" si="11"/>
        <v>0</v>
      </c>
    </row>
    <row r="321" spans="1:25" ht="45" x14ac:dyDescent="0.25">
      <c r="A321" s="32"/>
      <c r="B321" s="32"/>
      <c r="C321" s="32"/>
      <c r="D321" s="32"/>
      <c r="E321" s="32"/>
      <c r="F321" s="32"/>
      <c r="G321" s="1340" t="s">
        <v>2688</v>
      </c>
      <c r="H321" s="66" t="str">
        <f>'BID II'!B235</f>
        <v>Belanja modal honor tim yang melaksanakan kegiatan</v>
      </c>
      <c r="I321" s="174">
        <f>'BID II'!F239</f>
        <v>750000</v>
      </c>
      <c r="J321" s="66" t="s">
        <v>2387</v>
      </c>
      <c r="K321" s="1797" t="s">
        <v>3030</v>
      </c>
      <c r="L321" s="32"/>
      <c r="M321" s="32"/>
      <c r="N321" s="32"/>
      <c r="O321" s="32"/>
      <c r="P321" s="32"/>
      <c r="Q321" s="32"/>
      <c r="R321" s="497">
        <v>750000</v>
      </c>
      <c r="S321" s="32"/>
      <c r="T321" s="32"/>
      <c r="U321" s="32"/>
      <c r="V321" s="32"/>
      <c r="W321" s="32"/>
      <c r="X321" s="1750">
        <f t="shared" si="10"/>
        <v>750000</v>
      </c>
      <c r="Y321" s="175">
        <f t="shared" si="11"/>
        <v>0</v>
      </c>
    </row>
    <row r="322" spans="1:25" ht="30" x14ac:dyDescent="0.25">
      <c r="A322" s="32"/>
      <c r="B322" s="32"/>
      <c r="C322" s="32"/>
      <c r="D322" s="32"/>
      <c r="E322" s="32"/>
      <c r="F322" s="32"/>
      <c r="G322" s="1340" t="s">
        <v>2703</v>
      </c>
      <c r="H322" s="32" t="str">
        <f>'BID II'!B240</f>
        <v>Belanja modal bahan baku</v>
      </c>
      <c r="I322" s="174">
        <f>'BID II'!F242</f>
        <v>14519700</v>
      </c>
      <c r="J322" s="66" t="s">
        <v>2387</v>
      </c>
      <c r="K322" s="1797" t="s">
        <v>3030</v>
      </c>
      <c r="L322" s="32"/>
      <c r="M322" s="32"/>
      <c r="N322" s="32"/>
      <c r="O322" s="32"/>
      <c r="P322" s="32"/>
      <c r="Q322" s="32"/>
      <c r="R322" s="497">
        <v>14519700</v>
      </c>
      <c r="S322" s="32"/>
      <c r="T322" s="32"/>
      <c r="U322" s="32"/>
      <c r="V322" s="32"/>
      <c r="W322" s="32"/>
      <c r="X322" s="1750">
        <f t="shared" si="10"/>
        <v>14519700</v>
      </c>
      <c r="Y322" s="175">
        <f t="shared" si="11"/>
        <v>0</v>
      </c>
    </row>
    <row r="323" spans="1:25" ht="45" x14ac:dyDescent="0.25">
      <c r="A323" s="1344">
        <v>2</v>
      </c>
      <c r="B323" s="1344">
        <v>1</v>
      </c>
      <c r="C323" s="1346" t="s">
        <v>2706</v>
      </c>
      <c r="D323" s="1344"/>
      <c r="E323" s="1344"/>
      <c r="F323" s="1344"/>
      <c r="G323" s="1344"/>
      <c r="H323" s="1345" t="str">
        <f>'BID II'!B258</f>
        <v>Pemeliharaan Sarana dan Prasarana TK Milik Desa (Cat Tembok Dalam)</v>
      </c>
      <c r="I323" s="1347">
        <f>SUM(I324:I328)</f>
        <v>5532000</v>
      </c>
      <c r="J323" s="1345" t="s">
        <v>2387</v>
      </c>
      <c r="K323" s="1796" t="s">
        <v>3030</v>
      </c>
      <c r="L323" s="1344"/>
      <c r="M323" s="1344"/>
      <c r="N323" s="1344"/>
      <c r="O323" s="1344"/>
      <c r="P323" s="1344"/>
      <c r="Q323" s="1344"/>
      <c r="R323" s="1344"/>
      <c r="S323" s="1344"/>
      <c r="T323" s="1344"/>
      <c r="U323" s="1344"/>
      <c r="V323" s="1344"/>
      <c r="W323" s="1344"/>
      <c r="X323" s="1353">
        <f t="shared" si="10"/>
        <v>0</v>
      </c>
      <c r="Y323" s="175">
        <f t="shared" si="11"/>
        <v>-5532000</v>
      </c>
    </row>
    <row r="324" spans="1:25" ht="30" x14ac:dyDescent="0.25">
      <c r="A324" s="32"/>
      <c r="B324" s="32"/>
      <c r="C324" s="32"/>
      <c r="D324" s="32">
        <v>5</v>
      </c>
      <c r="E324" s="32">
        <v>3</v>
      </c>
      <c r="F324" s="32"/>
      <c r="G324" s="32"/>
      <c r="H324" s="32" t="str">
        <f>'BID II'!B265</f>
        <v>Belanja Modal</v>
      </c>
      <c r="I324" s="32"/>
      <c r="J324" s="66"/>
      <c r="K324" s="1797" t="s">
        <v>3030</v>
      </c>
      <c r="L324" s="32"/>
      <c r="M324" s="32"/>
      <c r="N324" s="32"/>
      <c r="O324" s="32"/>
      <c r="P324" s="32"/>
      <c r="Q324" s="32"/>
      <c r="R324" s="32"/>
      <c r="S324" s="32"/>
      <c r="T324" s="32"/>
      <c r="U324" s="32"/>
      <c r="V324" s="32"/>
      <c r="W324" s="32"/>
      <c r="X324" s="1750">
        <f t="shared" si="10"/>
        <v>0</v>
      </c>
      <c r="Y324" s="175">
        <f t="shared" si="11"/>
        <v>0</v>
      </c>
    </row>
    <row r="325" spans="1:25" ht="30" x14ac:dyDescent="0.25">
      <c r="A325" s="32"/>
      <c r="B325" s="32"/>
      <c r="C325" s="32"/>
      <c r="D325" s="32"/>
      <c r="E325" s="32"/>
      <c r="F325" s="32">
        <v>4</v>
      </c>
      <c r="G325" s="32"/>
      <c r="H325" s="66" t="str">
        <f>'BID II'!B266</f>
        <v>Belanja modal Gedung, Bangunan, Tanaman</v>
      </c>
      <c r="I325" s="32"/>
      <c r="J325" s="66"/>
      <c r="K325" s="1797" t="s">
        <v>3030</v>
      </c>
      <c r="L325" s="32"/>
      <c r="M325" s="32"/>
      <c r="N325" s="32"/>
      <c r="O325" s="32"/>
      <c r="P325" s="32"/>
      <c r="Q325" s="32"/>
      <c r="R325" s="32"/>
      <c r="S325" s="32"/>
      <c r="T325" s="32"/>
      <c r="U325" s="32"/>
      <c r="V325" s="32"/>
      <c r="W325" s="32"/>
      <c r="X325" s="1750">
        <f t="shared" si="10"/>
        <v>0</v>
      </c>
      <c r="Y325" s="175">
        <f t="shared" si="11"/>
        <v>0</v>
      </c>
    </row>
    <row r="326" spans="1:25" ht="45" x14ac:dyDescent="0.25">
      <c r="A326" s="32"/>
      <c r="B326" s="32"/>
      <c r="C326" s="32"/>
      <c r="D326" s="32"/>
      <c r="E326" s="32"/>
      <c r="F326" s="32"/>
      <c r="G326" s="1340" t="s">
        <v>2688</v>
      </c>
      <c r="H326" s="66" t="str">
        <f>'BID II'!B267</f>
        <v>Belanja modal honor tim yang melaksanakan kegiatan</v>
      </c>
      <c r="I326" s="174">
        <f>SUM('BID II'!F269)</f>
        <v>108000</v>
      </c>
      <c r="J326" s="66" t="s">
        <v>2387</v>
      </c>
      <c r="K326" s="1797" t="s">
        <v>3030</v>
      </c>
      <c r="L326" s="32"/>
      <c r="M326" s="32"/>
      <c r="N326" s="32"/>
      <c r="O326" s="32"/>
      <c r="P326" s="32"/>
      <c r="Q326" s="32"/>
      <c r="R326" s="174">
        <v>108000</v>
      </c>
      <c r="S326" s="32"/>
      <c r="T326" s="32"/>
      <c r="U326" s="32"/>
      <c r="V326" s="32"/>
      <c r="W326" s="32"/>
      <c r="X326" s="1750">
        <f t="shared" si="10"/>
        <v>108000</v>
      </c>
      <c r="Y326" s="175">
        <f t="shared" si="11"/>
        <v>0</v>
      </c>
    </row>
    <row r="327" spans="1:25" ht="30" x14ac:dyDescent="0.25">
      <c r="A327" s="32"/>
      <c r="B327" s="32"/>
      <c r="C327" s="32"/>
      <c r="D327" s="32"/>
      <c r="E327" s="32"/>
      <c r="F327" s="32"/>
      <c r="G327" s="1340" t="s">
        <v>2702</v>
      </c>
      <c r="H327" s="66" t="str">
        <f>'BID II'!B270</f>
        <v>Belanja modal upah tenaga kerja</v>
      </c>
      <c r="I327" s="174">
        <f>'BID II'!F274</f>
        <v>1222000</v>
      </c>
      <c r="J327" s="66" t="s">
        <v>2387</v>
      </c>
      <c r="K327" s="1797" t="s">
        <v>3030</v>
      </c>
      <c r="L327" s="32"/>
      <c r="M327" s="32"/>
      <c r="N327" s="32"/>
      <c r="O327" s="32"/>
      <c r="P327" s="32"/>
      <c r="Q327" s="32"/>
      <c r="R327" s="174">
        <v>1222000</v>
      </c>
      <c r="S327" s="32"/>
      <c r="T327" s="32"/>
      <c r="U327" s="32"/>
      <c r="V327" s="32"/>
      <c r="W327" s="32"/>
      <c r="X327" s="1750">
        <f t="shared" si="10"/>
        <v>1222000</v>
      </c>
      <c r="Y327" s="175">
        <f t="shared" si="11"/>
        <v>0</v>
      </c>
    </row>
    <row r="328" spans="1:25" ht="30" x14ac:dyDescent="0.25">
      <c r="A328" s="32"/>
      <c r="B328" s="32"/>
      <c r="C328" s="32"/>
      <c r="D328" s="32"/>
      <c r="E328" s="32"/>
      <c r="F328" s="32"/>
      <c r="G328" s="1340" t="s">
        <v>2703</v>
      </c>
      <c r="H328" s="66" t="str">
        <f>'BID II'!B275</f>
        <v>Belanja modal bahan baku</v>
      </c>
      <c r="I328" s="174">
        <f>'BID II'!F280</f>
        <v>4202000</v>
      </c>
      <c r="J328" s="66" t="s">
        <v>2387</v>
      </c>
      <c r="K328" s="1797" t="s">
        <v>3030</v>
      </c>
      <c r="L328" s="32"/>
      <c r="M328" s="32"/>
      <c r="N328" s="32"/>
      <c r="O328" s="32"/>
      <c r="P328" s="32"/>
      <c r="Q328" s="32"/>
      <c r="R328" s="174">
        <v>4202000</v>
      </c>
      <c r="S328" s="32"/>
      <c r="T328" s="32"/>
      <c r="U328" s="32"/>
      <c r="V328" s="32"/>
      <c r="W328" s="32"/>
      <c r="X328" s="1750">
        <f t="shared" si="10"/>
        <v>4202000</v>
      </c>
      <c r="Y328" s="175">
        <f t="shared" si="11"/>
        <v>0</v>
      </c>
    </row>
    <row r="329" spans="1:25" ht="45" x14ac:dyDescent="0.25">
      <c r="A329" s="1344">
        <v>2</v>
      </c>
      <c r="B329" s="1344">
        <v>1</v>
      </c>
      <c r="C329" s="1346" t="s">
        <v>2706</v>
      </c>
      <c r="D329" s="1344"/>
      <c r="E329" s="1344"/>
      <c r="F329" s="1344"/>
      <c r="G329" s="1344"/>
      <c r="H329" s="1345" t="str">
        <f>'BID II'!B295</f>
        <v>Pemeliharaan Sarana dan Prasarana TK Milik Desa (Lapis Water Proofig)</v>
      </c>
      <c r="I329" s="1347">
        <f>SUM(I330:I334)</f>
        <v>21546000</v>
      </c>
      <c r="J329" s="1345" t="s">
        <v>2387</v>
      </c>
      <c r="K329" s="1796" t="s">
        <v>3030</v>
      </c>
      <c r="L329" s="1344"/>
      <c r="M329" s="1344"/>
      <c r="N329" s="1344"/>
      <c r="O329" s="1344"/>
      <c r="P329" s="1344"/>
      <c r="Q329" s="1344"/>
      <c r="R329" s="1344"/>
      <c r="S329" s="1344"/>
      <c r="T329" s="1344"/>
      <c r="U329" s="1344"/>
      <c r="V329" s="1344"/>
      <c r="W329" s="1344"/>
      <c r="X329" s="1353">
        <f t="shared" si="10"/>
        <v>0</v>
      </c>
      <c r="Y329" s="175">
        <f t="shared" si="11"/>
        <v>-21546000</v>
      </c>
    </row>
    <row r="330" spans="1:25" ht="30" x14ac:dyDescent="0.25">
      <c r="A330" s="32"/>
      <c r="B330" s="32"/>
      <c r="C330" s="32"/>
      <c r="D330" s="32">
        <v>5</v>
      </c>
      <c r="E330" s="32">
        <v>3</v>
      </c>
      <c r="F330" s="32"/>
      <c r="G330" s="32"/>
      <c r="H330" s="66" t="str">
        <f>'BID II'!B302</f>
        <v>Belanja Modal</v>
      </c>
      <c r="I330" s="32"/>
      <c r="J330" s="66"/>
      <c r="K330" s="1797" t="s">
        <v>3030</v>
      </c>
      <c r="L330" s="32"/>
      <c r="M330" s="32"/>
      <c r="N330" s="32"/>
      <c r="O330" s="32"/>
      <c r="P330" s="32"/>
      <c r="Q330" s="32"/>
      <c r="R330" s="32"/>
      <c r="S330" s="32"/>
      <c r="T330" s="32"/>
      <c r="U330" s="32"/>
      <c r="V330" s="32"/>
      <c r="W330" s="32"/>
      <c r="X330" s="1750">
        <f t="shared" si="10"/>
        <v>0</v>
      </c>
      <c r="Y330" s="175">
        <f t="shared" si="11"/>
        <v>0</v>
      </c>
    </row>
    <row r="331" spans="1:25" ht="30" x14ac:dyDescent="0.25">
      <c r="A331" s="32"/>
      <c r="B331" s="32"/>
      <c r="C331" s="32"/>
      <c r="D331" s="32"/>
      <c r="E331" s="32"/>
      <c r="F331" s="32">
        <v>4</v>
      </c>
      <c r="G331" s="32"/>
      <c r="H331" s="66" t="str">
        <f>'BID II'!B303</f>
        <v>Belanja modal Gedung, Bangunan, Tanaman</v>
      </c>
      <c r="I331" s="32"/>
      <c r="J331" s="66"/>
      <c r="K331" s="1797" t="s">
        <v>3030</v>
      </c>
      <c r="L331" s="32"/>
      <c r="M331" s="32"/>
      <c r="N331" s="32"/>
      <c r="O331" s="32"/>
      <c r="P331" s="32"/>
      <c r="Q331" s="32"/>
      <c r="R331" s="32"/>
      <c r="S331" s="32"/>
      <c r="T331" s="32"/>
      <c r="U331" s="32"/>
      <c r="V331" s="32"/>
      <c r="W331" s="32"/>
      <c r="X331" s="1750">
        <f t="shared" si="10"/>
        <v>0</v>
      </c>
      <c r="Y331" s="175">
        <f t="shared" si="11"/>
        <v>0</v>
      </c>
    </row>
    <row r="332" spans="1:25" ht="45" x14ac:dyDescent="0.25">
      <c r="A332" s="32"/>
      <c r="B332" s="32"/>
      <c r="C332" s="32"/>
      <c r="D332" s="32"/>
      <c r="E332" s="32"/>
      <c r="F332" s="32"/>
      <c r="G332" s="1340" t="s">
        <v>2688</v>
      </c>
      <c r="H332" s="66" t="str">
        <f>'BID II'!B304</f>
        <v>Belanja modal honor tim yang melaksanakan kegiatan</v>
      </c>
      <c r="I332" s="174">
        <f>'BID II'!F306</f>
        <v>422000</v>
      </c>
      <c r="J332" s="66" t="s">
        <v>2387</v>
      </c>
      <c r="K332" s="1797" t="s">
        <v>3030</v>
      </c>
      <c r="L332" s="32"/>
      <c r="M332" s="32"/>
      <c r="N332" s="32"/>
      <c r="O332" s="32"/>
      <c r="P332" s="32"/>
      <c r="Q332" s="32"/>
      <c r="R332" s="497">
        <v>422000</v>
      </c>
      <c r="S332" s="32"/>
      <c r="T332" s="32"/>
      <c r="U332" s="32"/>
      <c r="V332" s="32"/>
      <c r="W332" s="32"/>
      <c r="X332" s="1750">
        <f t="shared" si="10"/>
        <v>422000</v>
      </c>
      <c r="Y332" s="175">
        <f t="shared" si="11"/>
        <v>0</v>
      </c>
    </row>
    <row r="333" spans="1:25" ht="30" x14ac:dyDescent="0.25">
      <c r="A333" s="32"/>
      <c r="B333" s="32"/>
      <c r="C333" s="32"/>
      <c r="D333" s="32"/>
      <c r="E333" s="32"/>
      <c r="F333" s="32"/>
      <c r="G333" s="1340" t="s">
        <v>2702</v>
      </c>
      <c r="H333" s="66" t="str">
        <f>'BID II'!B307</f>
        <v>Belanja modal upah tenaga kerja</v>
      </c>
      <c r="I333" s="174">
        <f>'BID II'!F311</f>
        <v>1898000</v>
      </c>
      <c r="J333" s="66" t="s">
        <v>2387</v>
      </c>
      <c r="K333" s="1797" t="s">
        <v>3030</v>
      </c>
      <c r="L333" s="32"/>
      <c r="M333" s="32"/>
      <c r="N333" s="32"/>
      <c r="O333" s="32"/>
      <c r="P333" s="32"/>
      <c r="Q333" s="32"/>
      <c r="R333" s="497">
        <v>1898000</v>
      </c>
      <c r="S333" s="32"/>
      <c r="T333" s="32"/>
      <c r="U333" s="32"/>
      <c r="V333" s="32"/>
      <c r="W333" s="32"/>
      <c r="X333" s="1750">
        <f t="shared" si="10"/>
        <v>1898000</v>
      </c>
      <c r="Y333" s="175">
        <f t="shared" si="11"/>
        <v>0</v>
      </c>
    </row>
    <row r="334" spans="1:25" ht="30" x14ac:dyDescent="0.25">
      <c r="A334" s="32"/>
      <c r="B334" s="32"/>
      <c r="C334" s="32"/>
      <c r="D334" s="32"/>
      <c r="E334" s="32"/>
      <c r="F334" s="32"/>
      <c r="G334" s="1340" t="s">
        <v>2703</v>
      </c>
      <c r="H334" s="66" t="str">
        <f>'BID II'!B312</f>
        <v>Belanja modal bahan baku</v>
      </c>
      <c r="I334" s="174">
        <f>'BID II'!F316</f>
        <v>19226000</v>
      </c>
      <c r="J334" s="66" t="s">
        <v>2387</v>
      </c>
      <c r="K334" s="1797" t="s">
        <v>3030</v>
      </c>
      <c r="L334" s="32"/>
      <c r="M334" s="32"/>
      <c r="N334" s="32"/>
      <c r="O334" s="32"/>
      <c r="P334" s="32"/>
      <c r="Q334" s="32"/>
      <c r="R334" s="497">
        <v>19226000</v>
      </c>
      <c r="S334" s="32"/>
      <c r="T334" s="32"/>
      <c r="U334" s="32"/>
      <c r="V334" s="32"/>
      <c r="W334" s="32"/>
      <c r="X334" s="1750">
        <f t="shared" si="10"/>
        <v>19226000</v>
      </c>
      <c r="Y334" s="175">
        <f t="shared" si="11"/>
        <v>0</v>
      </c>
    </row>
    <row r="335" spans="1:25" ht="45" x14ac:dyDescent="0.25">
      <c r="A335" s="1344">
        <v>2</v>
      </c>
      <c r="B335" s="1344">
        <v>1</v>
      </c>
      <c r="C335" s="1346" t="s">
        <v>2706</v>
      </c>
      <c r="D335" s="1344"/>
      <c r="E335" s="1344"/>
      <c r="F335" s="1344"/>
      <c r="G335" s="1344"/>
      <c r="H335" s="1345" t="str">
        <f>'BID II'!B331</f>
        <v>Pemeliharaan Sarana dan Prasarana TK Milik Desa (Cat Plafon)</v>
      </c>
      <c r="I335" s="1347">
        <f>SUM(I336:I340)</f>
        <v>11123000</v>
      </c>
      <c r="J335" s="1345" t="s">
        <v>2625</v>
      </c>
      <c r="K335" s="1796" t="s">
        <v>3030</v>
      </c>
      <c r="L335" s="1344"/>
      <c r="M335" s="1344"/>
      <c r="N335" s="1344"/>
      <c r="O335" s="1344"/>
      <c r="P335" s="1344"/>
      <c r="Q335" s="1344"/>
      <c r="R335" s="1344"/>
      <c r="S335" s="1344"/>
      <c r="T335" s="1344"/>
      <c r="U335" s="1344"/>
      <c r="V335" s="1344"/>
      <c r="W335" s="1344"/>
      <c r="X335" s="1353">
        <f t="shared" si="10"/>
        <v>0</v>
      </c>
      <c r="Y335" s="175">
        <f t="shared" si="11"/>
        <v>-11123000</v>
      </c>
    </row>
    <row r="336" spans="1:25" ht="30" x14ac:dyDescent="0.25">
      <c r="A336" s="32"/>
      <c r="B336" s="32"/>
      <c r="C336" s="32"/>
      <c r="D336" s="32">
        <v>5</v>
      </c>
      <c r="E336" s="32">
        <v>3</v>
      </c>
      <c r="F336" s="32"/>
      <c r="G336" s="32"/>
      <c r="H336" s="66" t="str">
        <f>'BID II'!B338</f>
        <v>Belanja Modal</v>
      </c>
      <c r="I336" s="32"/>
      <c r="J336" s="66"/>
      <c r="K336" s="1797" t="s">
        <v>3030</v>
      </c>
      <c r="L336" s="32"/>
      <c r="M336" s="32"/>
      <c r="N336" s="32"/>
      <c r="O336" s="32"/>
      <c r="P336" s="32"/>
      <c r="Q336" s="32"/>
      <c r="R336" s="32"/>
      <c r="S336" s="32"/>
      <c r="T336" s="32"/>
      <c r="U336" s="32"/>
      <c r="V336" s="32"/>
      <c r="W336" s="32"/>
      <c r="X336" s="1750">
        <f t="shared" si="10"/>
        <v>0</v>
      </c>
      <c r="Y336" s="175">
        <f t="shared" si="11"/>
        <v>0</v>
      </c>
    </row>
    <row r="337" spans="1:25" ht="30" x14ac:dyDescent="0.25">
      <c r="A337" s="32"/>
      <c r="B337" s="32"/>
      <c r="C337" s="32"/>
      <c r="D337" s="32"/>
      <c r="E337" s="32"/>
      <c r="F337" s="32">
        <v>4</v>
      </c>
      <c r="G337" s="32"/>
      <c r="H337" s="66" t="str">
        <f>'BID II'!B339</f>
        <v>Belanja modal Gedung, Bangunan, Tanaman</v>
      </c>
      <c r="I337" s="32"/>
      <c r="J337" s="66"/>
      <c r="K337" s="1797" t="s">
        <v>3030</v>
      </c>
      <c r="L337" s="32"/>
      <c r="M337" s="32"/>
      <c r="N337" s="32"/>
      <c r="O337" s="32"/>
      <c r="P337" s="32"/>
      <c r="Q337" s="32"/>
      <c r="R337" s="32"/>
      <c r="S337" s="32"/>
      <c r="T337" s="32"/>
      <c r="U337" s="32"/>
      <c r="V337" s="32"/>
      <c r="W337" s="32"/>
      <c r="X337" s="1750">
        <f t="shared" si="10"/>
        <v>0</v>
      </c>
      <c r="Y337" s="175">
        <f t="shared" si="11"/>
        <v>0</v>
      </c>
    </row>
    <row r="338" spans="1:25" ht="45" x14ac:dyDescent="0.25">
      <c r="A338" s="32"/>
      <c r="B338" s="32"/>
      <c r="C338" s="32"/>
      <c r="D338" s="32"/>
      <c r="E338" s="32"/>
      <c r="F338" s="32"/>
      <c r="G338" s="1340" t="s">
        <v>2688</v>
      </c>
      <c r="H338" s="66" t="str">
        <f>'BID II'!B340</f>
        <v>Belanja modal honor tim yang melaksanakan kegiatan</v>
      </c>
      <c r="I338" s="174">
        <f>'BID II'!F342</f>
        <v>218000</v>
      </c>
      <c r="J338" s="66" t="s">
        <v>2625</v>
      </c>
      <c r="K338" s="1797" t="s">
        <v>3030</v>
      </c>
      <c r="L338" s="32"/>
      <c r="M338" s="32"/>
      <c r="N338" s="32"/>
      <c r="O338" s="32"/>
      <c r="P338" s="32"/>
      <c r="Q338" s="32"/>
      <c r="R338" s="497">
        <v>218000</v>
      </c>
      <c r="S338" s="32"/>
      <c r="T338" s="32"/>
      <c r="U338" s="32"/>
      <c r="V338" s="32"/>
      <c r="W338" s="32"/>
      <c r="X338" s="1750">
        <f t="shared" si="10"/>
        <v>218000</v>
      </c>
      <c r="Y338" s="175">
        <f t="shared" si="11"/>
        <v>0</v>
      </c>
    </row>
    <row r="339" spans="1:25" ht="30" x14ac:dyDescent="0.25">
      <c r="A339" s="32"/>
      <c r="B339" s="32"/>
      <c r="C339" s="32"/>
      <c r="D339" s="32"/>
      <c r="E339" s="32"/>
      <c r="F339" s="32"/>
      <c r="G339" s="1340" t="s">
        <v>2702</v>
      </c>
      <c r="H339" s="1352" t="str">
        <f>'BID II'!B343</f>
        <v>Belanja modal upah tenaga kerja</v>
      </c>
      <c r="I339" s="174">
        <f>'BID II'!F347</f>
        <v>2028000</v>
      </c>
      <c r="J339" s="66" t="s">
        <v>2625</v>
      </c>
      <c r="K339" s="1797" t="s">
        <v>3030</v>
      </c>
      <c r="L339" s="32"/>
      <c r="M339" s="32"/>
      <c r="N339" s="32"/>
      <c r="O339" s="32"/>
      <c r="P339" s="32"/>
      <c r="Q339" s="32"/>
      <c r="R339" s="497">
        <v>2028000</v>
      </c>
      <c r="S339" s="32"/>
      <c r="T339" s="32"/>
      <c r="U339" s="32"/>
      <c r="V339" s="32"/>
      <c r="W339" s="32"/>
      <c r="X339" s="1750">
        <f t="shared" si="10"/>
        <v>2028000</v>
      </c>
      <c r="Y339" s="175">
        <f t="shared" si="11"/>
        <v>0</v>
      </c>
    </row>
    <row r="340" spans="1:25" ht="30" x14ac:dyDescent="0.25">
      <c r="A340" s="32"/>
      <c r="B340" s="32"/>
      <c r="C340" s="32"/>
      <c r="D340" s="32"/>
      <c r="E340" s="32"/>
      <c r="F340" s="32"/>
      <c r="G340" s="1340" t="s">
        <v>2703</v>
      </c>
      <c r="H340" s="66" t="str">
        <f>'BID II'!B348</f>
        <v>Belanja modal bahan baku</v>
      </c>
      <c r="I340" s="174">
        <f>'BID II'!F354</f>
        <v>8877000</v>
      </c>
      <c r="J340" s="66" t="s">
        <v>2625</v>
      </c>
      <c r="K340" s="1797" t="s">
        <v>3030</v>
      </c>
      <c r="L340" s="32"/>
      <c r="M340" s="32"/>
      <c r="N340" s="32"/>
      <c r="O340" s="32"/>
      <c r="P340" s="32"/>
      <c r="Q340" s="32"/>
      <c r="R340" s="497">
        <v>8877000</v>
      </c>
      <c r="S340" s="32"/>
      <c r="T340" s="32"/>
      <c r="U340" s="32"/>
      <c r="V340" s="32"/>
      <c r="W340" s="32"/>
      <c r="X340" s="1750">
        <f t="shared" si="10"/>
        <v>8877000</v>
      </c>
      <c r="Y340" s="175">
        <f t="shared" si="11"/>
        <v>0</v>
      </c>
    </row>
    <row r="341" spans="1:25" ht="45" x14ac:dyDescent="0.25">
      <c r="A341" s="1344">
        <v>2</v>
      </c>
      <c r="B341" s="1344">
        <v>1</v>
      </c>
      <c r="C341" s="1346" t="s">
        <v>2706</v>
      </c>
      <c r="D341" s="1344"/>
      <c r="E341" s="1344"/>
      <c r="F341" s="1344"/>
      <c r="G341" s="1344"/>
      <c r="H341" s="1345" t="str">
        <f>'BID II'!B370</f>
        <v>Pemeliharaan Sarana dan Prasarana TK Milik Desa (Mural)</v>
      </c>
      <c r="I341" s="1347">
        <f>SUM(I342:I345)</f>
        <v>80557200</v>
      </c>
      <c r="J341" s="1345" t="s">
        <v>2620</v>
      </c>
      <c r="K341" s="1796" t="s">
        <v>3030</v>
      </c>
      <c r="L341" s="1344"/>
      <c r="M341" s="1344"/>
      <c r="N341" s="1344"/>
      <c r="O341" s="1344"/>
      <c r="P341" s="1344"/>
      <c r="Q341" s="1344"/>
      <c r="R341" s="1344"/>
      <c r="S341" s="1344"/>
      <c r="T341" s="1344"/>
      <c r="U341" s="1344"/>
      <c r="V341" s="1344"/>
      <c r="W341" s="1344"/>
      <c r="X341" s="1353">
        <f t="shared" si="10"/>
        <v>0</v>
      </c>
      <c r="Y341" s="175">
        <f t="shared" si="11"/>
        <v>-80557200</v>
      </c>
    </row>
    <row r="342" spans="1:25" ht="30" x14ac:dyDescent="0.25">
      <c r="A342" s="32"/>
      <c r="B342" s="32"/>
      <c r="C342" s="32"/>
      <c r="D342" s="32">
        <v>5</v>
      </c>
      <c r="E342" s="32">
        <v>3</v>
      </c>
      <c r="F342" s="32"/>
      <c r="G342" s="32"/>
      <c r="H342" s="66" t="str">
        <f>'BID II'!B377</f>
        <v>Belanja Modal</v>
      </c>
      <c r="I342" s="32"/>
      <c r="J342" s="66"/>
      <c r="K342" s="1797" t="s">
        <v>3030</v>
      </c>
      <c r="L342" s="32"/>
      <c r="M342" s="32"/>
      <c r="N342" s="32"/>
      <c r="O342" s="32"/>
      <c r="P342" s="32"/>
      <c r="Q342" s="32"/>
      <c r="R342" s="32"/>
      <c r="S342" s="32"/>
      <c r="T342" s="32"/>
      <c r="U342" s="32"/>
      <c r="V342" s="32"/>
      <c r="W342" s="32"/>
      <c r="X342" s="1750">
        <f t="shared" si="10"/>
        <v>0</v>
      </c>
      <c r="Y342" s="175">
        <f t="shared" si="11"/>
        <v>0</v>
      </c>
    </row>
    <row r="343" spans="1:25" ht="30" x14ac:dyDescent="0.25">
      <c r="A343" s="32"/>
      <c r="B343" s="32"/>
      <c r="C343" s="32"/>
      <c r="D343" s="32"/>
      <c r="E343" s="32"/>
      <c r="F343" s="32">
        <v>4</v>
      </c>
      <c r="G343" s="32"/>
      <c r="H343" s="66" t="str">
        <f>'BID II'!B378</f>
        <v>Belanja modal Gedung, Bangunan, Tanaman</v>
      </c>
      <c r="I343" s="32"/>
      <c r="J343" s="66"/>
      <c r="K343" s="1797" t="s">
        <v>3030</v>
      </c>
      <c r="L343" s="32"/>
      <c r="M343" s="32"/>
      <c r="N343" s="32"/>
      <c r="O343" s="32"/>
      <c r="P343" s="32"/>
      <c r="Q343" s="32"/>
      <c r="R343" s="32"/>
      <c r="S343" s="32"/>
      <c r="T343" s="32"/>
      <c r="U343" s="32"/>
      <c r="V343" s="32"/>
      <c r="W343" s="32"/>
      <c r="X343" s="1750">
        <f t="shared" si="10"/>
        <v>0</v>
      </c>
      <c r="Y343" s="175">
        <f t="shared" si="11"/>
        <v>0</v>
      </c>
    </row>
    <row r="344" spans="1:25" ht="45" x14ac:dyDescent="0.25">
      <c r="A344" s="32"/>
      <c r="B344" s="32"/>
      <c r="C344" s="32"/>
      <c r="D344" s="32"/>
      <c r="E344" s="32"/>
      <c r="F344" s="32"/>
      <c r="G344" s="1340" t="s">
        <v>2688</v>
      </c>
      <c r="H344" s="66" t="str">
        <f>'BID II'!B379</f>
        <v>Belanja modal honor tim yang melaksanakan kegiatan</v>
      </c>
      <c r="I344" s="174">
        <f>'BID II'!F381</f>
        <v>1500000</v>
      </c>
      <c r="J344" s="66" t="s">
        <v>2620</v>
      </c>
      <c r="K344" s="1797" t="s">
        <v>3030</v>
      </c>
      <c r="L344" s="32"/>
      <c r="M344" s="32"/>
      <c r="N344" s="32"/>
      <c r="O344" s="32"/>
      <c r="P344" s="32"/>
      <c r="Q344" s="32"/>
      <c r="R344" s="497">
        <v>1500000</v>
      </c>
      <c r="S344" s="32"/>
      <c r="T344" s="32"/>
      <c r="U344" s="32"/>
      <c r="V344" s="32"/>
      <c r="W344" s="32"/>
      <c r="X344" s="1750">
        <f t="shared" si="10"/>
        <v>1500000</v>
      </c>
      <c r="Y344" s="175">
        <f t="shared" si="11"/>
        <v>0</v>
      </c>
    </row>
    <row r="345" spans="1:25" ht="30" x14ac:dyDescent="0.25">
      <c r="A345" s="32"/>
      <c r="B345" s="32"/>
      <c r="C345" s="32"/>
      <c r="D345" s="32"/>
      <c r="E345" s="32"/>
      <c r="F345" s="32"/>
      <c r="G345" s="1340" t="s">
        <v>2703</v>
      </c>
      <c r="H345" s="66" t="str">
        <f>'BID II'!B382</f>
        <v>Belanja modal bahan baku</v>
      </c>
      <c r="I345" s="174">
        <f>'BID II'!F385</f>
        <v>79057200</v>
      </c>
      <c r="J345" s="66" t="s">
        <v>2620</v>
      </c>
      <c r="K345" s="1797" t="s">
        <v>3030</v>
      </c>
      <c r="L345" s="32"/>
      <c r="M345" s="32"/>
      <c r="N345" s="32"/>
      <c r="O345" s="32"/>
      <c r="P345" s="32"/>
      <c r="Q345" s="32"/>
      <c r="R345" s="497">
        <v>79057200</v>
      </c>
      <c r="S345" s="32"/>
      <c r="T345" s="32"/>
      <c r="U345" s="32"/>
      <c r="V345" s="32"/>
      <c r="W345" s="32"/>
      <c r="X345" s="1750">
        <f t="shared" si="10"/>
        <v>79057200</v>
      </c>
      <c r="Y345" s="175">
        <f t="shared" si="11"/>
        <v>0</v>
      </c>
    </row>
    <row r="346" spans="1:25" ht="105" x14ac:dyDescent="0.25">
      <c r="A346" s="1344">
        <v>2</v>
      </c>
      <c r="B346" s="1344">
        <v>1</v>
      </c>
      <c r="C346" s="1346" t="s">
        <v>2708</v>
      </c>
      <c r="D346" s="1344"/>
      <c r="E346" s="1344"/>
      <c r="F346" s="1344"/>
      <c r="G346" s="1346"/>
      <c r="H346" s="1345" t="str">
        <f>'BID II'!B400</f>
        <v>:Peningkatan Sarana Prasarana Perpustakaan/Taman Bacaan Desa/ Sanggar Belajar Milik Desa (Perpustakaan Desa, Digital dan keliling)</v>
      </c>
      <c r="I346" s="1349">
        <f>SUM(I347:I359)</f>
        <v>196621400</v>
      </c>
      <c r="J346" s="1345" t="s">
        <v>2620</v>
      </c>
      <c r="K346" s="1796" t="s">
        <v>3030</v>
      </c>
      <c r="L346" s="1344"/>
      <c r="M346" s="1344"/>
      <c r="N346" s="1344"/>
      <c r="O346" s="1344"/>
      <c r="P346" s="1344"/>
      <c r="Q346" s="1344"/>
      <c r="R346" s="1344"/>
      <c r="S346" s="1344"/>
      <c r="T346" s="1344"/>
      <c r="U346" s="1344"/>
      <c r="V346" s="1344"/>
      <c r="W346" s="1344"/>
      <c r="X346" s="1353">
        <f t="shared" si="10"/>
        <v>0</v>
      </c>
      <c r="Y346" s="175">
        <f t="shared" si="11"/>
        <v>-196621400</v>
      </c>
    </row>
    <row r="347" spans="1:25" ht="30" x14ac:dyDescent="0.25">
      <c r="A347" s="32"/>
      <c r="B347" s="32"/>
      <c r="C347" s="32"/>
      <c r="D347" s="32">
        <v>5</v>
      </c>
      <c r="E347" s="32">
        <v>2</v>
      </c>
      <c r="F347" s="32"/>
      <c r="G347" s="1340"/>
      <c r="H347" s="66" t="str">
        <f>'BID II'!B407</f>
        <v>Belanja Barang Jasa</v>
      </c>
      <c r="I347" s="174"/>
      <c r="J347" s="66"/>
      <c r="K347" s="1797" t="s">
        <v>3030</v>
      </c>
      <c r="L347" s="32"/>
      <c r="M347" s="32"/>
      <c r="N347" s="32"/>
      <c r="O347" s="32"/>
      <c r="P347" s="32"/>
      <c r="Q347" s="32"/>
      <c r="R347" s="32"/>
      <c r="S347" s="32"/>
      <c r="T347" s="32"/>
      <c r="U347" s="32"/>
      <c r="V347" s="32"/>
      <c r="W347" s="32"/>
      <c r="X347" s="1750">
        <f t="shared" si="10"/>
        <v>0</v>
      </c>
      <c r="Y347" s="175">
        <f t="shared" si="11"/>
        <v>0</v>
      </c>
    </row>
    <row r="348" spans="1:25" ht="30" x14ac:dyDescent="0.25">
      <c r="A348" s="32"/>
      <c r="B348" s="32"/>
      <c r="C348" s="32"/>
      <c r="D348" s="32"/>
      <c r="E348" s="32"/>
      <c r="F348" s="32">
        <v>1</v>
      </c>
      <c r="G348" s="1340"/>
      <c r="H348" s="66" t="str">
        <f>'BID II'!B408</f>
        <v>Belanja Barang Perlengkapan</v>
      </c>
      <c r="I348" s="174"/>
      <c r="J348" s="66"/>
      <c r="K348" s="1797" t="s">
        <v>3030</v>
      </c>
      <c r="L348" s="32"/>
      <c r="M348" s="32"/>
      <c r="N348" s="32"/>
      <c r="O348" s="32"/>
      <c r="P348" s="32"/>
      <c r="Q348" s="32"/>
      <c r="R348" s="32"/>
      <c r="S348" s="32"/>
      <c r="T348" s="32"/>
      <c r="U348" s="32"/>
      <c r="V348" s="32"/>
      <c r="W348" s="32"/>
      <c r="X348" s="1750">
        <f t="shared" si="10"/>
        <v>0</v>
      </c>
      <c r="Y348" s="175">
        <f t="shared" si="11"/>
        <v>0</v>
      </c>
    </row>
    <row r="349" spans="1:25" ht="30" x14ac:dyDescent="0.25">
      <c r="A349" s="32"/>
      <c r="B349" s="32"/>
      <c r="C349" s="32"/>
      <c r="D349" s="32"/>
      <c r="E349" s="32"/>
      <c r="F349" s="32"/>
      <c r="G349" s="1340" t="s">
        <v>2688</v>
      </c>
      <c r="H349" s="66" t="str">
        <f>'BID II'!B409</f>
        <v>Belanja Alat Tulis Kantor dan Benda Pos</v>
      </c>
      <c r="I349" s="174">
        <f>SUM('BID II'!F410)</f>
        <v>20000000</v>
      </c>
      <c r="J349" s="66" t="s">
        <v>2620</v>
      </c>
      <c r="K349" s="1797" t="s">
        <v>3030</v>
      </c>
      <c r="L349" s="32"/>
      <c r="M349" s="32"/>
      <c r="N349" s="32"/>
      <c r="O349" s="32"/>
      <c r="P349" s="32"/>
      <c r="Q349" s="32"/>
      <c r="R349" s="497">
        <v>20000000</v>
      </c>
      <c r="S349" s="32"/>
      <c r="T349" s="32"/>
      <c r="U349" s="32"/>
      <c r="V349" s="32"/>
      <c r="W349" s="32"/>
      <c r="X349" s="1750">
        <f t="shared" si="10"/>
        <v>20000000</v>
      </c>
      <c r="Y349" s="175">
        <f t="shared" si="11"/>
        <v>0</v>
      </c>
    </row>
    <row r="350" spans="1:25" ht="30" x14ac:dyDescent="0.25">
      <c r="A350" s="32"/>
      <c r="B350" s="32"/>
      <c r="C350" s="32"/>
      <c r="D350" s="32"/>
      <c r="E350" s="32"/>
      <c r="F350" s="32"/>
      <c r="G350" s="1340" t="s">
        <v>2704</v>
      </c>
      <c r="H350" s="66" t="str">
        <f>'BID II'!B411</f>
        <v>Belanja Bahan Bakar Kendaraan Bermotor</v>
      </c>
      <c r="I350" s="174">
        <f>'BID II'!F412</f>
        <v>5000000</v>
      </c>
      <c r="J350" s="66" t="s">
        <v>2620</v>
      </c>
      <c r="K350" s="1797" t="s">
        <v>3030</v>
      </c>
      <c r="L350" s="32"/>
      <c r="M350" s="32"/>
      <c r="N350" s="32"/>
      <c r="O350" s="32"/>
      <c r="P350" s="32"/>
      <c r="Q350" s="32"/>
      <c r="R350" s="497">
        <v>5000000</v>
      </c>
      <c r="S350" s="32"/>
      <c r="T350" s="32"/>
      <c r="U350" s="32"/>
      <c r="V350" s="32"/>
      <c r="W350" s="32"/>
      <c r="X350" s="1750">
        <f t="shared" si="10"/>
        <v>5000000</v>
      </c>
      <c r="Y350" s="175">
        <f t="shared" si="11"/>
        <v>0</v>
      </c>
    </row>
    <row r="351" spans="1:25" ht="30" x14ac:dyDescent="0.25">
      <c r="A351" s="32"/>
      <c r="B351" s="32"/>
      <c r="C351" s="32"/>
      <c r="D351" s="32">
        <v>5</v>
      </c>
      <c r="E351" s="32">
        <v>2</v>
      </c>
      <c r="F351" s="32">
        <v>6</v>
      </c>
      <c r="G351" s="1340"/>
      <c r="H351" s="66" t="str">
        <f>'BID II'!B413</f>
        <v>Belanja Pemeliharaan</v>
      </c>
      <c r="I351" s="174"/>
      <c r="J351" s="66"/>
      <c r="K351" s="1797" t="s">
        <v>3030</v>
      </c>
      <c r="L351" s="32"/>
      <c r="M351" s="32"/>
      <c r="N351" s="32"/>
      <c r="O351" s="32"/>
      <c r="P351" s="32"/>
      <c r="Q351" s="32"/>
      <c r="R351" s="497"/>
      <c r="S351" s="32"/>
      <c r="T351" s="32"/>
      <c r="U351" s="32"/>
      <c r="V351" s="32"/>
      <c r="W351" s="32"/>
      <c r="X351" s="1750">
        <f t="shared" si="10"/>
        <v>0</v>
      </c>
      <c r="Y351" s="175">
        <f t="shared" si="11"/>
        <v>0</v>
      </c>
    </row>
    <row r="352" spans="1:25" ht="30" x14ac:dyDescent="0.25">
      <c r="A352" s="32"/>
      <c r="B352" s="32"/>
      <c r="C352" s="32"/>
      <c r="D352" s="32"/>
      <c r="E352" s="32"/>
      <c r="F352" s="32"/>
      <c r="G352" s="1340" t="s">
        <v>2702</v>
      </c>
      <c r="H352" s="66" t="str">
        <f>'BID II'!B414</f>
        <v>Belanja Pemeliharaan Kendaraan Bermotor</v>
      </c>
      <c r="I352" s="174">
        <f>'BID II'!F415</f>
        <v>2000000</v>
      </c>
      <c r="J352" s="66" t="s">
        <v>2620</v>
      </c>
      <c r="K352" s="1797" t="s">
        <v>3030</v>
      </c>
      <c r="L352" s="32"/>
      <c r="M352" s="32"/>
      <c r="N352" s="32"/>
      <c r="O352" s="32"/>
      <c r="P352" s="32"/>
      <c r="Q352" s="32"/>
      <c r="R352" s="497">
        <v>2000000</v>
      </c>
      <c r="S352" s="32"/>
      <c r="T352" s="32"/>
      <c r="U352" s="32"/>
      <c r="V352" s="32"/>
      <c r="W352" s="32"/>
      <c r="X352" s="1750">
        <f t="shared" ref="X352:X415" si="12">SUM(L352:W352)</f>
        <v>2000000</v>
      </c>
      <c r="Y352" s="175">
        <f t="shared" si="11"/>
        <v>0</v>
      </c>
    </row>
    <row r="353" spans="1:25" ht="30" x14ac:dyDescent="0.25">
      <c r="A353" s="32"/>
      <c r="B353" s="32"/>
      <c r="C353" s="32"/>
      <c r="D353" s="32">
        <v>5</v>
      </c>
      <c r="E353" s="32">
        <v>2</v>
      </c>
      <c r="F353" s="32">
        <v>2</v>
      </c>
      <c r="G353" s="1340"/>
      <c r="H353" s="66" t="str">
        <f>'BID II'!B416</f>
        <v>Belanja Jasa Honorarium</v>
      </c>
      <c r="I353" s="174"/>
      <c r="J353" s="66"/>
      <c r="K353" s="1797" t="s">
        <v>3030</v>
      </c>
      <c r="L353" s="32"/>
      <c r="M353" s="32"/>
      <c r="N353" s="32"/>
      <c r="O353" s="32"/>
      <c r="P353" s="32"/>
      <c r="Q353" s="32"/>
      <c r="R353" s="497"/>
      <c r="S353" s="32"/>
      <c r="T353" s="32"/>
      <c r="U353" s="32"/>
      <c r="V353" s="32"/>
      <c r="W353" s="32"/>
      <c r="X353" s="1750">
        <f t="shared" si="12"/>
        <v>0</v>
      </c>
      <c r="Y353" s="175">
        <f t="shared" si="11"/>
        <v>0</v>
      </c>
    </row>
    <row r="354" spans="1:25" ht="45" x14ac:dyDescent="0.25">
      <c r="A354" s="32"/>
      <c r="B354" s="32"/>
      <c r="C354" s="32"/>
      <c r="D354" s="32"/>
      <c r="E354" s="32"/>
      <c r="F354" s="32"/>
      <c r="G354" s="1340" t="s">
        <v>2688</v>
      </c>
      <c r="H354" s="66" t="str">
        <f>'BID II'!B417</f>
        <v>Belanja Jasa Honorarium Tim yang Melaksanakan Kegiatan</v>
      </c>
      <c r="I354" s="174">
        <f>SUM('BID II'!F418:F420)</f>
        <v>1150000</v>
      </c>
      <c r="J354" s="66" t="s">
        <v>2620</v>
      </c>
      <c r="K354" s="1797" t="s">
        <v>3030</v>
      </c>
      <c r="L354" s="32"/>
      <c r="M354" s="32"/>
      <c r="N354" s="32"/>
      <c r="O354" s="32"/>
      <c r="P354" s="32"/>
      <c r="Q354" s="32"/>
      <c r="R354" s="497">
        <v>1150000</v>
      </c>
      <c r="S354" s="32"/>
      <c r="T354" s="32"/>
      <c r="U354" s="32"/>
      <c r="V354" s="32"/>
      <c r="W354" s="32"/>
      <c r="X354" s="1750">
        <f t="shared" si="12"/>
        <v>1150000</v>
      </c>
      <c r="Y354" s="175">
        <f t="shared" si="11"/>
        <v>0</v>
      </c>
    </row>
    <row r="355" spans="1:25" ht="30" x14ac:dyDescent="0.25">
      <c r="A355" s="32"/>
      <c r="B355" s="32"/>
      <c r="C355" s="32"/>
      <c r="D355" s="32">
        <v>5</v>
      </c>
      <c r="E355" s="32">
        <v>3</v>
      </c>
      <c r="F355" s="32"/>
      <c r="G355" s="1340"/>
      <c r="H355" s="66" t="str">
        <f>'BID II'!B421</f>
        <v>Belanja Modal</v>
      </c>
      <c r="I355" s="174"/>
      <c r="J355" s="66"/>
      <c r="K355" s="1797" t="s">
        <v>3030</v>
      </c>
      <c r="L355" s="32"/>
      <c r="M355" s="32"/>
      <c r="N355" s="32"/>
      <c r="O355" s="32"/>
      <c r="P355" s="32"/>
      <c r="Q355" s="32"/>
      <c r="R355" s="497"/>
      <c r="S355" s="32"/>
      <c r="T355" s="32"/>
      <c r="U355" s="32"/>
      <c r="V355" s="32"/>
      <c r="W355" s="32"/>
      <c r="X355" s="1750">
        <f t="shared" si="12"/>
        <v>0</v>
      </c>
      <c r="Y355" s="175">
        <f t="shared" si="11"/>
        <v>0</v>
      </c>
    </row>
    <row r="356" spans="1:25" ht="30" x14ac:dyDescent="0.25">
      <c r="A356" s="32"/>
      <c r="B356" s="32"/>
      <c r="C356" s="32"/>
      <c r="D356" s="32"/>
      <c r="E356" s="32"/>
      <c r="F356" s="32">
        <v>2</v>
      </c>
      <c r="G356" s="1340"/>
      <c r="H356" s="66" t="str">
        <f>'BID II'!B422</f>
        <v>Belanja Modal Peralatan, Mesin, dan Alat Berat</v>
      </c>
      <c r="I356" s="174"/>
      <c r="J356" s="66"/>
      <c r="K356" s="1797" t="s">
        <v>3030</v>
      </c>
      <c r="L356" s="32"/>
      <c r="M356" s="32"/>
      <c r="N356" s="32"/>
      <c r="O356" s="32"/>
      <c r="P356" s="32"/>
      <c r="Q356" s="32"/>
      <c r="R356" s="497"/>
      <c r="S356" s="32"/>
      <c r="T356" s="32"/>
      <c r="U356" s="32"/>
      <c r="V356" s="32"/>
      <c r="W356" s="32"/>
      <c r="X356" s="1750">
        <f t="shared" si="12"/>
        <v>0</v>
      </c>
      <c r="Y356" s="175">
        <f t="shared" si="11"/>
        <v>0</v>
      </c>
    </row>
    <row r="357" spans="1:25" ht="30" x14ac:dyDescent="0.25">
      <c r="A357" s="32"/>
      <c r="B357" s="32"/>
      <c r="C357" s="32"/>
      <c r="D357" s="32"/>
      <c r="E357" s="32"/>
      <c r="F357" s="32"/>
      <c r="G357" s="1340" t="s">
        <v>2702</v>
      </c>
      <c r="H357" s="66" t="str">
        <f>'BID II'!B423</f>
        <v>Belanja Modal Peralatan Elektronik dan Alat Studio</v>
      </c>
      <c r="I357" s="174">
        <f>SUM('BID II'!F424:F426)</f>
        <v>119750000</v>
      </c>
      <c r="J357" s="66" t="s">
        <v>2620</v>
      </c>
      <c r="K357" s="1797" t="s">
        <v>3030</v>
      </c>
      <c r="L357" s="32"/>
      <c r="M357" s="32"/>
      <c r="N357" s="32"/>
      <c r="O357" s="32"/>
      <c r="P357" s="32"/>
      <c r="Q357" s="32"/>
      <c r="R357" s="497"/>
      <c r="S357" s="32"/>
      <c r="T357" s="497">
        <v>119750000</v>
      </c>
      <c r="U357" s="32"/>
      <c r="V357" s="32"/>
      <c r="W357" s="32"/>
      <c r="X357" s="1750">
        <f t="shared" si="12"/>
        <v>119750000</v>
      </c>
      <c r="Y357" s="175">
        <f t="shared" si="11"/>
        <v>0</v>
      </c>
    </row>
    <row r="358" spans="1:25" ht="30" x14ac:dyDescent="0.25">
      <c r="A358" s="32"/>
      <c r="B358" s="32"/>
      <c r="C358" s="32"/>
      <c r="D358" s="32">
        <v>5</v>
      </c>
      <c r="E358" s="32">
        <v>3</v>
      </c>
      <c r="F358" s="32">
        <v>3</v>
      </c>
      <c r="G358" s="1340"/>
      <c r="H358" s="66" t="str">
        <f>'BID II'!B427</f>
        <v>Belanja Modal Kendaraan</v>
      </c>
      <c r="I358" s="174"/>
      <c r="J358" s="66"/>
      <c r="K358" s="1797" t="s">
        <v>3030</v>
      </c>
      <c r="L358" s="32"/>
      <c r="M358" s="32"/>
      <c r="N358" s="32"/>
      <c r="O358" s="32"/>
      <c r="P358" s="32"/>
      <c r="Q358" s="32"/>
      <c r="R358" s="497"/>
      <c r="S358" s="32"/>
      <c r="T358" s="32"/>
      <c r="U358" s="32"/>
      <c r="V358" s="32"/>
      <c r="W358" s="32"/>
      <c r="X358" s="1750">
        <f t="shared" si="12"/>
        <v>0</v>
      </c>
      <c r="Y358" s="175">
        <f t="shared" si="11"/>
        <v>0</v>
      </c>
    </row>
    <row r="359" spans="1:25" ht="30" x14ac:dyDescent="0.25">
      <c r="A359" s="32"/>
      <c r="B359" s="32"/>
      <c r="C359" s="32"/>
      <c r="D359" s="32"/>
      <c r="E359" s="32"/>
      <c r="F359" s="32"/>
      <c r="G359" s="1340" t="s">
        <v>2702</v>
      </c>
      <c r="H359" s="66" t="str">
        <f>'BID II'!B428</f>
        <v>Belanja Modal Kendaraan Darat Bermotor</v>
      </c>
      <c r="I359" s="174">
        <f>SUM('BID II'!F429:F430)</f>
        <v>48721400</v>
      </c>
      <c r="J359" s="66" t="s">
        <v>2620</v>
      </c>
      <c r="K359" s="1797" t="s">
        <v>3030</v>
      </c>
      <c r="L359" s="32"/>
      <c r="M359" s="32"/>
      <c r="N359" s="32"/>
      <c r="O359" s="32"/>
      <c r="P359" s="32"/>
      <c r="Q359" s="32"/>
      <c r="R359" s="497">
        <v>48721400</v>
      </c>
      <c r="S359" s="32"/>
      <c r="T359" s="32"/>
      <c r="U359" s="32"/>
      <c r="V359" s="32"/>
      <c r="W359" s="32"/>
      <c r="X359" s="1750">
        <f t="shared" si="12"/>
        <v>48721400</v>
      </c>
      <c r="Y359" s="175">
        <f t="shared" si="11"/>
        <v>0</v>
      </c>
    </row>
    <row r="360" spans="1:25" ht="45" x14ac:dyDescent="0.25">
      <c r="A360" s="1344">
        <v>2</v>
      </c>
      <c r="B360" s="1344">
        <v>2</v>
      </c>
      <c r="C360" s="1346" t="s">
        <v>2702</v>
      </c>
      <c r="D360" s="1344"/>
      <c r="E360" s="1344"/>
      <c r="F360" s="1344"/>
      <c r="G360" s="1344"/>
      <c r="H360" s="1345" t="str">
        <f>'BID II'!B444</f>
        <v>: Penyelenggaraan Posyandu (Pemberian PMT)</v>
      </c>
      <c r="I360" s="1347">
        <f>SUM(I361:I370)</f>
        <v>266295500</v>
      </c>
      <c r="J360" s="1345"/>
      <c r="K360" s="1796" t="s">
        <v>3030</v>
      </c>
      <c r="L360" s="1344"/>
      <c r="M360" s="1344"/>
      <c r="N360" s="1344"/>
      <c r="O360" s="1344"/>
      <c r="P360" s="1344"/>
      <c r="Q360" s="1344"/>
      <c r="R360" s="1344"/>
      <c r="S360" s="1344"/>
      <c r="T360" s="1344"/>
      <c r="U360" s="1344"/>
      <c r="V360" s="1344"/>
      <c r="W360" s="1344"/>
      <c r="X360" s="1353">
        <f t="shared" si="12"/>
        <v>0</v>
      </c>
      <c r="Y360" s="175">
        <f t="shared" si="11"/>
        <v>-266295500</v>
      </c>
    </row>
    <row r="361" spans="1:25" ht="30" x14ac:dyDescent="0.25">
      <c r="A361" s="32"/>
      <c r="B361" s="32"/>
      <c r="C361" s="32"/>
      <c r="D361" s="32">
        <v>5</v>
      </c>
      <c r="E361" s="32">
        <v>2</v>
      </c>
      <c r="F361" s="32"/>
      <c r="G361" s="32"/>
      <c r="H361" s="66" t="str">
        <f>'BID II'!B449</f>
        <v>Belanja Barang dan Jasa</v>
      </c>
      <c r="I361" s="32"/>
      <c r="J361" s="66"/>
      <c r="K361" s="1797" t="s">
        <v>3030</v>
      </c>
      <c r="L361" s="32"/>
      <c r="M361" s="32"/>
      <c r="N361" s="32"/>
      <c r="O361" s="32"/>
      <c r="P361" s="32"/>
      <c r="Q361" s="32"/>
      <c r="R361" s="32"/>
      <c r="S361" s="32"/>
      <c r="T361" s="32"/>
      <c r="U361" s="32"/>
      <c r="V361" s="32"/>
      <c r="W361" s="32"/>
      <c r="X361" s="1750">
        <f t="shared" si="12"/>
        <v>0</v>
      </c>
      <c r="Y361" s="175">
        <f t="shared" si="11"/>
        <v>0</v>
      </c>
    </row>
    <row r="362" spans="1:25" ht="30" x14ac:dyDescent="0.25">
      <c r="A362" s="32"/>
      <c r="B362" s="32"/>
      <c r="C362" s="32"/>
      <c r="D362" s="32"/>
      <c r="E362" s="32"/>
      <c r="F362" s="32">
        <v>1</v>
      </c>
      <c r="G362" s="32"/>
      <c r="H362" s="66" t="str">
        <f>'BID II'!B450</f>
        <v>Belanaja Barang Pelengkapan</v>
      </c>
      <c r="I362" s="32"/>
      <c r="J362" s="66"/>
      <c r="K362" s="1797" t="s">
        <v>3030</v>
      </c>
      <c r="L362" s="32"/>
      <c r="M362" s="32"/>
      <c r="N362" s="32"/>
      <c r="O362" s="32"/>
      <c r="P362" s="32"/>
      <c r="Q362" s="32"/>
      <c r="R362" s="32"/>
      <c r="S362" s="32"/>
      <c r="T362" s="32"/>
      <c r="U362" s="32"/>
      <c r="V362" s="32"/>
      <c r="W362" s="32"/>
      <c r="X362" s="1750">
        <f t="shared" si="12"/>
        <v>0</v>
      </c>
      <c r="Y362" s="175">
        <f t="shared" ref="Y362:Y425" si="13">X362-I362</f>
        <v>0</v>
      </c>
    </row>
    <row r="363" spans="1:25" ht="30" x14ac:dyDescent="0.25">
      <c r="A363" s="32"/>
      <c r="B363" s="32"/>
      <c r="C363" s="32"/>
      <c r="D363" s="32"/>
      <c r="E363" s="32"/>
      <c r="F363" s="32"/>
      <c r="G363" s="1340" t="s">
        <v>2688</v>
      </c>
      <c r="H363" s="66" t="str">
        <f>'BID II'!B451</f>
        <v>Perlangakapan Alat Tulis Kantor dan Benda POS</v>
      </c>
      <c r="I363" s="174">
        <f>SUM('BID II'!F452:F459)</f>
        <v>11993500</v>
      </c>
      <c r="J363" s="66" t="s">
        <v>2387</v>
      </c>
      <c r="K363" s="1797" t="s">
        <v>3030</v>
      </c>
      <c r="L363" s="32"/>
      <c r="M363" s="32"/>
      <c r="N363" s="32"/>
      <c r="O363" s="32"/>
      <c r="P363" s="497">
        <v>11993500</v>
      </c>
      <c r="Q363" s="32"/>
      <c r="R363" s="32"/>
      <c r="S363" s="32"/>
      <c r="T363" s="32"/>
      <c r="U363" s="32"/>
      <c r="V363" s="32"/>
      <c r="W363" s="32"/>
      <c r="X363" s="1750">
        <f t="shared" si="12"/>
        <v>11993500</v>
      </c>
      <c r="Y363" s="175">
        <f t="shared" si="13"/>
        <v>0</v>
      </c>
    </row>
    <row r="364" spans="1:25" ht="30" x14ac:dyDescent="0.25">
      <c r="A364" s="32"/>
      <c r="B364" s="32"/>
      <c r="C364" s="32"/>
      <c r="D364" s="32"/>
      <c r="E364" s="32"/>
      <c r="F364" s="32"/>
      <c r="G364" s="1340" t="s">
        <v>2705</v>
      </c>
      <c r="H364" s="66" t="str">
        <f>'BID II'!B460</f>
        <v>Belanja Perlengkapan Barang Konsumsi</v>
      </c>
      <c r="I364" s="174">
        <f>SUM('BID II'!F462:F467)</f>
        <v>151992000</v>
      </c>
      <c r="J364" s="66" t="s">
        <v>2387</v>
      </c>
      <c r="K364" s="1797" t="s">
        <v>3030</v>
      </c>
      <c r="L364" s="497">
        <v>12666000</v>
      </c>
      <c r="M364" s="497">
        <v>12666000</v>
      </c>
      <c r="N364" s="497">
        <v>12666000</v>
      </c>
      <c r="O364" s="497">
        <v>12666000</v>
      </c>
      <c r="P364" s="497">
        <v>12666000</v>
      </c>
      <c r="Q364" s="497">
        <v>12666000</v>
      </c>
      <c r="R364" s="497">
        <v>12666000</v>
      </c>
      <c r="S364" s="497">
        <v>12666000</v>
      </c>
      <c r="T364" s="497">
        <v>12666000</v>
      </c>
      <c r="U364" s="497">
        <v>12666000</v>
      </c>
      <c r="V364" s="497">
        <v>12666000</v>
      </c>
      <c r="W364" s="497">
        <v>12666000</v>
      </c>
      <c r="X364" s="1750">
        <f t="shared" si="12"/>
        <v>151992000</v>
      </c>
      <c r="Y364" s="175">
        <f t="shared" si="13"/>
        <v>0</v>
      </c>
    </row>
    <row r="365" spans="1:25" ht="30" x14ac:dyDescent="0.25">
      <c r="A365" s="32"/>
      <c r="B365" s="32"/>
      <c r="C365" s="32"/>
      <c r="D365" s="32"/>
      <c r="E365" s="32"/>
      <c r="F365" s="32"/>
      <c r="G365" s="1340" t="s">
        <v>2708</v>
      </c>
      <c r="H365" s="32" t="str">
        <f>'BID II'!B469</f>
        <v>Belanja Bahan/Material</v>
      </c>
      <c r="I365" s="174">
        <f>SUM('BID II'!F470)</f>
        <v>3900000</v>
      </c>
      <c r="J365" s="66" t="s">
        <v>2625</v>
      </c>
      <c r="K365" s="1797" t="s">
        <v>3030</v>
      </c>
      <c r="L365" s="497">
        <v>325000</v>
      </c>
      <c r="M365" s="497">
        <v>325000</v>
      </c>
      <c r="N365" s="497">
        <v>325000</v>
      </c>
      <c r="O365" s="497">
        <v>325000</v>
      </c>
      <c r="P365" s="497">
        <v>325000</v>
      </c>
      <c r="Q365" s="497">
        <v>325000</v>
      </c>
      <c r="R365" s="497">
        <v>325000</v>
      </c>
      <c r="S365" s="497">
        <v>325000</v>
      </c>
      <c r="T365" s="497">
        <v>325000</v>
      </c>
      <c r="U365" s="497">
        <v>325000</v>
      </c>
      <c r="V365" s="497">
        <v>325000</v>
      </c>
      <c r="W365" s="497">
        <v>325000</v>
      </c>
      <c r="X365" s="1750">
        <f t="shared" si="12"/>
        <v>3900000</v>
      </c>
      <c r="Y365" s="175">
        <f t="shared" si="13"/>
        <v>0</v>
      </c>
    </row>
    <row r="366" spans="1:25" ht="30" x14ac:dyDescent="0.25">
      <c r="A366" s="32"/>
      <c r="B366" s="32"/>
      <c r="C366" s="32"/>
      <c r="D366" s="32"/>
      <c r="E366" s="32"/>
      <c r="F366" s="32"/>
      <c r="G366" s="1340" t="s">
        <v>2707</v>
      </c>
      <c r="H366" s="66" t="str">
        <f>'BID II'!B472</f>
        <v>Belanja Bendera/Umbul - umbul Spanduk</v>
      </c>
      <c r="I366" s="174">
        <f>'BID II'!F473</f>
        <v>1170000</v>
      </c>
      <c r="J366" s="66" t="s">
        <v>2625</v>
      </c>
      <c r="K366" s="1797" t="s">
        <v>3030</v>
      </c>
      <c r="L366" s="32"/>
      <c r="M366" s="32"/>
      <c r="N366" s="32"/>
      <c r="O366" s="32"/>
      <c r="P366" s="497">
        <v>1170000</v>
      </c>
      <c r="Q366" s="32"/>
      <c r="R366" s="32"/>
      <c r="S366" s="32"/>
      <c r="T366" s="32"/>
      <c r="U366" s="32"/>
      <c r="V366" s="32"/>
      <c r="W366" s="32"/>
      <c r="X366" s="1750">
        <f t="shared" si="12"/>
        <v>1170000</v>
      </c>
      <c r="Y366" s="175">
        <f t="shared" si="13"/>
        <v>0</v>
      </c>
    </row>
    <row r="367" spans="1:25" ht="30" x14ac:dyDescent="0.25">
      <c r="A367" s="32"/>
      <c r="B367" s="32"/>
      <c r="C367" s="32"/>
      <c r="D367" s="32"/>
      <c r="E367" s="32"/>
      <c r="F367" s="32"/>
      <c r="G367" s="32">
        <v>90</v>
      </c>
      <c r="H367" s="66" t="str">
        <f>'BID II'!B475</f>
        <v>Belanja Upakara, Upacara Dan Aci</v>
      </c>
      <c r="I367" s="174">
        <f>SUM('BID II'!F476:F477)</f>
        <v>6240000</v>
      </c>
      <c r="J367" s="66" t="s">
        <v>2625</v>
      </c>
      <c r="K367" s="1797" t="s">
        <v>3030</v>
      </c>
      <c r="L367" s="497">
        <v>520000</v>
      </c>
      <c r="M367" s="497">
        <v>520000</v>
      </c>
      <c r="N367" s="497">
        <v>520000</v>
      </c>
      <c r="O367" s="497">
        <v>520000</v>
      </c>
      <c r="P367" s="497">
        <v>520000</v>
      </c>
      <c r="Q367" s="497">
        <v>520000</v>
      </c>
      <c r="R367" s="497">
        <v>520000</v>
      </c>
      <c r="S367" s="497">
        <v>520000</v>
      </c>
      <c r="T367" s="497">
        <v>520000</v>
      </c>
      <c r="U367" s="497">
        <v>520000</v>
      </c>
      <c r="V367" s="497">
        <v>520000</v>
      </c>
      <c r="W367" s="497">
        <v>520000</v>
      </c>
      <c r="X367" s="1750">
        <f t="shared" si="12"/>
        <v>6240000</v>
      </c>
      <c r="Y367" s="175">
        <f t="shared" si="13"/>
        <v>0</v>
      </c>
    </row>
    <row r="368" spans="1:25" ht="30" x14ac:dyDescent="0.25">
      <c r="A368" s="32"/>
      <c r="B368" s="32"/>
      <c r="C368" s="32"/>
      <c r="D368" s="32">
        <v>5</v>
      </c>
      <c r="E368" s="32">
        <v>2</v>
      </c>
      <c r="F368" s="32">
        <v>2</v>
      </c>
      <c r="G368" s="32"/>
      <c r="H368" s="32" t="str">
        <f>'BID II'!B478</f>
        <v>Belanja Jasa Honorarium</v>
      </c>
      <c r="I368" s="32"/>
      <c r="J368" s="66"/>
      <c r="K368" s="1797" t="s">
        <v>3030</v>
      </c>
      <c r="L368" s="32"/>
      <c r="M368" s="32"/>
      <c r="N368" s="32"/>
      <c r="O368" s="32"/>
      <c r="P368" s="32"/>
      <c r="Q368" s="32"/>
      <c r="R368" s="32"/>
      <c r="S368" s="32"/>
      <c r="T368" s="32"/>
      <c r="U368" s="32"/>
      <c r="V368" s="32"/>
      <c r="W368" s="32"/>
      <c r="X368" s="1750">
        <f t="shared" si="12"/>
        <v>0</v>
      </c>
      <c r="Y368" s="175">
        <f t="shared" si="13"/>
        <v>0</v>
      </c>
    </row>
    <row r="369" spans="1:25" ht="30" x14ac:dyDescent="0.25">
      <c r="A369" s="32"/>
      <c r="B369" s="32"/>
      <c r="C369" s="32"/>
      <c r="D369" s="32"/>
      <c r="E369" s="32"/>
      <c r="F369" s="32"/>
      <c r="G369" s="1340" t="s">
        <v>2704</v>
      </c>
      <c r="H369" s="66" t="str">
        <f>'BID II'!B479</f>
        <v>Belanja Jasa Honorarium Narasumber/ Ahli</v>
      </c>
      <c r="I369" s="174">
        <f>SUM('BID II'!F480)</f>
        <v>13000000</v>
      </c>
      <c r="J369" s="66" t="s">
        <v>2625</v>
      </c>
      <c r="K369" s="1797" t="s">
        <v>3030</v>
      </c>
      <c r="L369" s="32"/>
      <c r="M369" s="32"/>
      <c r="N369" s="32"/>
      <c r="O369" s="32"/>
      <c r="P369" s="497">
        <v>13000000</v>
      </c>
      <c r="Q369" s="32"/>
      <c r="R369" s="32"/>
      <c r="S369" s="32"/>
      <c r="T369" s="32"/>
      <c r="U369" s="32"/>
      <c r="V369" s="32"/>
      <c r="W369" s="32"/>
      <c r="X369" s="1750">
        <f t="shared" si="12"/>
        <v>13000000</v>
      </c>
      <c r="Y369" s="175">
        <f t="shared" si="13"/>
        <v>0</v>
      </c>
    </row>
    <row r="370" spans="1:25" ht="30" x14ac:dyDescent="0.25">
      <c r="A370" s="32"/>
      <c r="B370" s="32"/>
      <c r="C370" s="32"/>
      <c r="D370" s="32"/>
      <c r="E370" s="32"/>
      <c r="F370" s="32"/>
      <c r="G370" s="1340" t="s">
        <v>2706</v>
      </c>
      <c r="H370" s="66" t="str">
        <f>'BID II'!B481</f>
        <v>Belanja Jasa Honorarium Petugas</v>
      </c>
      <c r="I370" s="174">
        <f>'BID II'!F482</f>
        <v>78000000</v>
      </c>
      <c r="J370" s="66" t="s">
        <v>2387</v>
      </c>
      <c r="K370" s="1797" t="s">
        <v>3030</v>
      </c>
      <c r="L370" s="497">
        <v>6500000</v>
      </c>
      <c r="M370" s="497">
        <v>6500000</v>
      </c>
      <c r="N370" s="497">
        <v>6500000</v>
      </c>
      <c r="O370" s="497">
        <v>6500000</v>
      </c>
      <c r="P370" s="497">
        <v>6500000</v>
      </c>
      <c r="Q370" s="497">
        <v>6500000</v>
      </c>
      <c r="R370" s="497">
        <v>6500000</v>
      </c>
      <c r="S370" s="497">
        <v>6500000</v>
      </c>
      <c r="T370" s="497">
        <v>6500000</v>
      </c>
      <c r="U370" s="497">
        <v>6500000</v>
      </c>
      <c r="V370" s="497">
        <v>6500000</v>
      </c>
      <c r="W370" s="497">
        <v>6500000</v>
      </c>
      <c r="X370" s="1750">
        <f t="shared" si="12"/>
        <v>78000000</v>
      </c>
      <c r="Y370" s="175">
        <f t="shared" si="13"/>
        <v>0</v>
      </c>
    </row>
    <row r="371" spans="1:25" ht="45" x14ac:dyDescent="0.25">
      <c r="A371" s="1344">
        <v>2</v>
      </c>
      <c r="B371" s="1344">
        <v>2</v>
      </c>
      <c r="C371" s="1346" t="s">
        <v>2702</v>
      </c>
      <c r="D371" s="1344"/>
      <c r="E371" s="1344"/>
      <c r="F371" s="1344"/>
      <c r="G371" s="1344"/>
      <c r="H371" s="1345" t="str">
        <f>'BID II'!B496</f>
        <v>: Penyelenggaraan POSyandu (Pos Gizi dan Ibu Hamil)</v>
      </c>
      <c r="I371" s="1347">
        <f>SUM(I372:I377)</f>
        <v>4140000</v>
      </c>
      <c r="J371" s="1345" t="s">
        <v>2625</v>
      </c>
      <c r="K371" s="1796" t="s">
        <v>3030</v>
      </c>
      <c r="L371" s="1344"/>
      <c r="M371" s="1344"/>
      <c r="N371" s="1344"/>
      <c r="O371" s="1344"/>
      <c r="P371" s="1344"/>
      <c r="Q371" s="1344"/>
      <c r="R371" s="1344"/>
      <c r="S371" s="1344"/>
      <c r="T371" s="1344"/>
      <c r="U371" s="1344"/>
      <c r="V371" s="1344"/>
      <c r="W371" s="1344"/>
      <c r="X371" s="1353">
        <f t="shared" si="12"/>
        <v>0</v>
      </c>
      <c r="Y371" s="175">
        <f t="shared" si="13"/>
        <v>-4140000</v>
      </c>
    </row>
    <row r="372" spans="1:25" ht="30" x14ac:dyDescent="0.25">
      <c r="A372" s="32"/>
      <c r="B372" s="32"/>
      <c r="C372" s="32"/>
      <c r="D372" s="32">
        <v>5</v>
      </c>
      <c r="E372" s="32">
        <v>2</v>
      </c>
      <c r="F372" s="32"/>
      <c r="G372" s="32"/>
      <c r="H372" s="66" t="str">
        <f>'BID II'!B503</f>
        <v>Belanja Barang Jasa</v>
      </c>
      <c r="I372" s="32"/>
      <c r="J372" s="66"/>
      <c r="K372" s="1797" t="s">
        <v>3030</v>
      </c>
      <c r="L372" s="32"/>
      <c r="M372" s="32"/>
      <c r="N372" s="32"/>
      <c r="O372" s="32"/>
      <c r="P372" s="32"/>
      <c r="Q372" s="32"/>
      <c r="R372" s="32"/>
      <c r="S372" s="32"/>
      <c r="T372" s="32"/>
      <c r="U372" s="32"/>
      <c r="V372" s="32"/>
      <c r="W372" s="32"/>
      <c r="X372" s="1750">
        <f t="shared" si="12"/>
        <v>0</v>
      </c>
      <c r="Y372" s="175">
        <f t="shared" si="13"/>
        <v>0</v>
      </c>
    </row>
    <row r="373" spans="1:25" ht="30" x14ac:dyDescent="0.25">
      <c r="A373" s="32"/>
      <c r="B373" s="32"/>
      <c r="C373" s="32"/>
      <c r="D373" s="32"/>
      <c r="E373" s="32"/>
      <c r="F373" s="32">
        <v>1</v>
      </c>
      <c r="G373" s="32"/>
      <c r="H373" s="66" t="str">
        <f>'BID II'!B504</f>
        <v>Belanja Barang Perlengkapan</v>
      </c>
      <c r="I373" s="32"/>
      <c r="J373" s="66"/>
      <c r="K373" s="1797" t="s">
        <v>3030</v>
      </c>
      <c r="L373" s="32"/>
      <c r="M373" s="32"/>
      <c r="N373" s="32"/>
      <c r="O373" s="32"/>
      <c r="P373" s="32"/>
      <c r="Q373" s="32"/>
      <c r="R373" s="32"/>
      <c r="S373" s="32"/>
      <c r="T373" s="32"/>
      <c r="U373" s="32"/>
      <c r="V373" s="32"/>
      <c r="W373" s="32"/>
      <c r="X373" s="1750">
        <f t="shared" si="12"/>
        <v>0</v>
      </c>
      <c r="Y373" s="175">
        <f t="shared" si="13"/>
        <v>0</v>
      </c>
    </row>
    <row r="374" spans="1:25" ht="30" x14ac:dyDescent="0.25">
      <c r="A374" s="32"/>
      <c r="B374" s="32"/>
      <c r="C374" s="32"/>
      <c r="D374" s="32"/>
      <c r="E374" s="32"/>
      <c r="F374" s="32"/>
      <c r="G374" s="1340" t="s">
        <v>2705</v>
      </c>
      <c r="H374" s="66" t="str">
        <f>'BID II'!B505</f>
        <v>Belanja Perlengkapan Barang Konsumsi</v>
      </c>
      <c r="I374" s="174">
        <f>SUM('BID II'!F506:F508)</f>
        <v>3450000</v>
      </c>
      <c r="J374" s="66" t="s">
        <v>2625</v>
      </c>
      <c r="K374" s="1797" t="s">
        <v>3030</v>
      </c>
      <c r="L374" s="32"/>
      <c r="M374" s="32"/>
      <c r="N374" s="32"/>
      <c r="O374" s="32"/>
      <c r="P374" s="497">
        <v>3450000</v>
      </c>
      <c r="Q374" s="32"/>
      <c r="R374" s="32"/>
      <c r="S374" s="32"/>
      <c r="T374" s="32"/>
      <c r="U374" s="32"/>
      <c r="V374" s="32"/>
      <c r="W374" s="32"/>
      <c r="X374" s="1750">
        <f t="shared" si="12"/>
        <v>3450000</v>
      </c>
      <c r="Y374" s="175">
        <f t="shared" si="13"/>
        <v>0</v>
      </c>
    </row>
    <row r="375" spans="1:25" ht="30" x14ac:dyDescent="0.25">
      <c r="A375" s="32"/>
      <c r="B375" s="32"/>
      <c r="C375" s="32"/>
      <c r="D375" s="32"/>
      <c r="E375" s="32"/>
      <c r="F375" s="32"/>
      <c r="G375" s="1340" t="s">
        <v>2707</v>
      </c>
      <c r="H375" s="66" t="str">
        <f>'BID II'!B511</f>
        <v>Belanja Bendera/ Umbul-umbul/ Spanduk</v>
      </c>
      <c r="I375" s="174">
        <f>'BID II'!F512</f>
        <v>90000</v>
      </c>
      <c r="J375" s="66" t="s">
        <v>2625</v>
      </c>
      <c r="K375" s="1797" t="s">
        <v>3030</v>
      </c>
      <c r="L375" s="32"/>
      <c r="M375" s="32"/>
      <c r="N375" s="32"/>
      <c r="O375" s="32"/>
      <c r="P375" s="497">
        <v>90000</v>
      </c>
      <c r="Q375" s="32"/>
      <c r="R375" s="32"/>
      <c r="S375" s="32"/>
      <c r="T375" s="32"/>
      <c r="U375" s="32"/>
      <c r="V375" s="32"/>
      <c r="W375" s="32"/>
      <c r="X375" s="1750">
        <f t="shared" si="12"/>
        <v>90000</v>
      </c>
      <c r="Y375" s="175">
        <f t="shared" si="13"/>
        <v>0</v>
      </c>
    </row>
    <row r="376" spans="1:25" ht="30" x14ac:dyDescent="0.25">
      <c r="A376" s="32"/>
      <c r="B376" s="32"/>
      <c r="C376" s="32"/>
      <c r="D376" s="32">
        <v>5</v>
      </c>
      <c r="E376" s="32">
        <v>2</v>
      </c>
      <c r="F376" s="32">
        <v>2</v>
      </c>
      <c r="G376" s="32"/>
      <c r="H376" s="66" t="str">
        <f>'BID II'!B514</f>
        <v>Belanja Jasa Honorarium</v>
      </c>
      <c r="I376" s="32"/>
      <c r="J376" s="66"/>
      <c r="K376" s="1797" t="s">
        <v>3030</v>
      </c>
      <c r="L376" s="32"/>
      <c r="M376" s="32"/>
      <c r="N376" s="32"/>
      <c r="O376" s="32"/>
      <c r="P376" s="497"/>
      <c r="Q376" s="32"/>
      <c r="R376" s="32"/>
      <c r="S376" s="32"/>
      <c r="T376" s="32"/>
      <c r="U376" s="32"/>
      <c r="V376" s="32"/>
      <c r="W376" s="32"/>
      <c r="X376" s="1750">
        <f t="shared" si="12"/>
        <v>0</v>
      </c>
      <c r="Y376" s="175">
        <f t="shared" si="13"/>
        <v>0</v>
      </c>
    </row>
    <row r="377" spans="1:25" ht="60" x14ac:dyDescent="0.25">
      <c r="A377" s="32"/>
      <c r="B377" s="32"/>
      <c r="C377" s="32"/>
      <c r="D377" s="32"/>
      <c r="E377" s="32"/>
      <c r="F377" s="32"/>
      <c r="G377" s="1340" t="s">
        <v>2704</v>
      </c>
      <c r="H377" s="66" t="str">
        <f>'BID II'!B515</f>
        <v>Belanja Jasa Honorarium Ahli/ Profesi/Konsultan/Narasumber</v>
      </c>
      <c r="I377" s="174">
        <f>'BID II'!F516</f>
        <v>600000</v>
      </c>
      <c r="J377" s="66" t="s">
        <v>2625</v>
      </c>
      <c r="K377" s="1797" t="s">
        <v>3030</v>
      </c>
      <c r="L377" s="32"/>
      <c r="M377" s="32"/>
      <c r="N377" s="32"/>
      <c r="O377" s="32"/>
      <c r="P377" s="497">
        <v>600000</v>
      </c>
      <c r="Q377" s="32"/>
      <c r="R377" s="32"/>
      <c r="S377" s="32"/>
      <c r="T377" s="32"/>
      <c r="U377" s="32"/>
      <c r="V377" s="32"/>
      <c r="W377" s="32"/>
      <c r="X377" s="1750">
        <f t="shared" si="12"/>
        <v>600000</v>
      </c>
      <c r="Y377" s="175">
        <f t="shared" si="13"/>
        <v>0</v>
      </c>
    </row>
    <row r="378" spans="1:25" ht="60" x14ac:dyDescent="0.25">
      <c r="A378" s="1344">
        <v>2</v>
      </c>
      <c r="B378" s="1344">
        <v>2</v>
      </c>
      <c r="C378" s="1346" t="s">
        <v>2702</v>
      </c>
      <c r="D378" s="1344"/>
      <c r="E378" s="1344"/>
      <c r="F378" s="1344"/>
      <c r="G378" s="1344"/>
      <c r="H378" s="1345" t="str">
        <f>'BID II'!B531</f>
        <v>: Penyelenggaraan Posyandu Lansia (Pemberian tambahan nutrisi bagi lansia)</v>
      </c>
      <c r="I378" s="1347">
        <f>SUM(I379:I384)</f>
        <v>104580000</v>
      </c>
      <c r="J378" s="1345" t="s">
        <v>2626</v>
      </c>
      <c r="K378" s="1796" t="s">
        <v>3030</v>
      </c>
      <c r="L378" s="1344"/>
      <c r="M378" s="1344"/>
      <c r="N378" s="1344"/>
      <c r="O378" s="1344"/>
      <c r="P378" s="1344"/>
      <c r="Q378" s="1344"/>
      <c r="R378" s="1344"/>
      <c r="S378" s="1344"/>
      <c r="T378" s="1344"/>
      <c r="U378" s="1344"/>
      <c r="V378" s="1344"/>
      <c r="W378" s="1344"/>
      <c r="X378" s="1353">
        <f t="shared" si="12"/>
        <v>0</v>
      </c>
      <c r="Y378" s="175">
        <f t="shared" si="13"/>
        <v>-104580000</v>
      </c>
    </row>
    <row r="379" spans="1:25" ht="30" x14ac:dyDescent="0.25">
      <c r="A379" s="32"/>
      <c r="B379" s="32"/>
      <c r="C379" s="32"/>
      <c r="D379" s="32">
        <v>5</v>
      </c>
      <c r="E379" s="32">
        <v>2</v>
      </c>
      <c r="F379" s="32"/>
      <c r="G379" s="32"/>
      <c r="H379" s="66" t="str">
        <f>'BID II'!B536</f>
        <v xml:space="preserve">Belanja Barang dan Jasa </v>
      </c>
      <c r="I379" s="32"/>
      <c r="J379" s="66"/>
      <c r="K379" s="1797" t="s">
        <v>3030</v>
      </c>
      <c r="L379" s="32"/>
      <c r="M379" s="32"/>
      <c r="N379" s="32"/>
      <c r="O379" s="32"/>
      <c r="P379" s="32"/>
      <c r="Q379" s="32"/>
      <c r="R379" s="32"/>
      <c r="S379" s="32"/>
      <c r="T379" s="32"/>
      <c r="U379" s="32"/>
      <c r="V379" s="32"/>
      <c r="W379" s="32"/>
      <c r="X379" s="1750">
        <f t="shared" si="12"/>
        <v>0</v>
      </c>
      <c r="Y379" s="175">
        <f t="shared" si="13"/>
        <v>0</v>
      </c>
    </row>
    <row r="380" spans="1:25" ht="30" x14ac:dyDescent="0.25">
      <c r="A380" s="32"/>
      <c r="B380" s="32"/>
      <c r="C380" s="32"/>
      <c r="D380" s="32"/>
      <c r="E380" s="32"/>
      <c r="F380" s="32">
        <v>1</v>
      </c>
      <c r="G380" s="32"/>
      <c r="H380" s="66" t="str">
        <f>'BID II'!B537</f>
        <v>Belanja Barang perlengkapan</v>
      </c>
      <c r="I380" s="32"/>
      <c r="J380" s="66"/>
      <c r="K380" s="1797" t="s">
        <v>3030</v>
      </c>
      <c r="L380" s="32"/>
      <c r="M380" s="32"/>
      <c r="N380" s="32"/>
      <c r="O380" s="32"/>
      <c r="P380" s="32"/>
      <c r="Q380" s="32"/>
      <c r="R380" s="32"/>
      <c r="S380" s="32"/>
      <c r="T380" s="32"/>
      <c r="U380" s="32"/>
      <c r="V380" s="32"/>
      <c r="W380" s="32"/>
      <c r="X380" s="1750">
        <f t="shared" si="12"/>
        <v>0</v>
      </c>
      <c r="Y380" s="175">
        <f t="shared" si="13"/>
        <v>0</v>
      </c>
    </row>
    <row r="381" spans="1:25" ht="30" x14ac:dyDescent="0.25">
      <c r="A381" s="32"/>
      <c r="B381" s="32"/>
      <c r="C381" s="32"/>
      <c r="D381" s="32"/>
      <c r="E381" s="32"/>
      <c r="F381" s="32"/>
      <c r="G381" s="1340" t="s">
        <v>2705</v>
      </c>
      <c r="H381" s="66" t="str">
        <f>'BID II'!B538</f>
        <v>Belanja Perlengkapan Barang Konsumsi</v>
      </c>
      <c r="I381" s="513">
        <f>SUM('BID II'!F539:F544)</f>
        <v>68040000</v>
      </c>
      <c r="J381" s="66" t="s">
        <v>2626</v>
      </c>
      <c r="K381" s="1797" t="s">
        <v>3030</v>
      </c>
      <c r="L381" s="497">
        <v>5670000</v>
      </c>
      <c r="M381" s="497">
        <v>5670000</v>
      </c>
      <c r="N381" s="497">
        <v>5670000</v>
      </c>
      <c r="O381" s="497">
        <v>5670000</v>
      </c>
      <c r="P381" s="497">
        <v>5670000</v>
      </c>
      <c r="Q381" s="497">
        <v>5670000</v>
      </c>
      <c r="R381" s="497">
        <v>5670000</v>
      </c>
      <c r="S381" s="497">
        <v>5670000</v>
      </c>
      <c r="T381" s="497">
        <v>5670000</v>
      </c>
      <c r="U381" s="497">
        <v>5670000</v>
      </c>
      <c r="V381" s="497">
        <v>5670000</v>
      </c>
      <c r="W381" s="497">
        <v>5670000</v>
      </c>
      <c r="X381" s="1750">
        <f t="shared" si="12"/>
        <v>68040000</v>
      </c>
      <c r="Y381" s="175">
        <f t="shared" si="13"/>
        <v>0</v>
      </c>
    </row>
    <row r="382" spans="1:25" ht="30" x14ac:dyDescent="0.25">
      <c r="A382" s="32"/>
      <c r="B382" s="32"/>
      <c r="C382" s="32"/>
      <c r="D382" s="32"/>
      <c r="E382" s="32"/>
      <c r="F382" s="32"/>
      <c r="G382" s="1340" t="s">
        <v>2707</v>
      </c>
      <c r="H382" s="66" t="str">
        <f>'BID II'!B546</f>
        <v>Belanja Bendera/ Umbul-Umbul/ Spanduk</v>
      </c>
      <c r="I382" s="513">
        <f>'BID II'!F547</f>
        <v>540000</v>
      </c>
      <c r="J382" s="66" t="s">
        <v>2626</v>
      </c>
      <c r="K382" s="1797" t="s">
        <v>3030</v>
      </c>
      <c r="L382" s="497">
        <v>540000</v>
      </c>
      <c r="M382" s="32"/>
      <c r="N382" s="32"/>
      <c r="O382" s="32"/>
      <c r="P382" s="32"/>
      <c r="Q382" s="32"/>
      <c r="R382" s="32"/>
      <c r="S382" s="32"/>
      <c r="T382" s="32"/>
      <c r="U382" s="32"/>
      <c r="V382" s="32"/>
      <c r="W382" s="32"/>
      <c r="X382" s="1750">
        <f t="shared" si="12"/>
        <v>540000</v>
      </c>
      <c r="Y382" s="175">
        <f t="shared" si="13"/>
        <v>0</v>
      </c>
    </row>
    <row r="383" spans="1:25" ht="30" x14ac:dyDescent="0.25">
      <c r="A383" s="32"/>
      <c r="B383" s="32"/>
      <c r="C383" s="32"/>
      <c r="D383" s="32">
        <v>5</v>
      </c>
      <c r="E383" s="32">
        <v>2</v>
      </c>
      <c r="F383" s="32">
        <v>2</v>
      </c>
      <c r="G383" s="32"/>
      <c r="H383" s="66" t="str">
        <f>'BID II'!B549</f>
        <v>Belanaja Jasa Honorarium</v>
      </c>
      <c r="I383" s="32"/>
      <c r="J383" s="66"/>
      <c r="K383" s="1797" t="s">
        <v>3030</v>
      </c>
      <c r="L383" s="32"/>
      <c r="M383" s="32"/>
      <c r="N383" s="32"/>
      <c r="O383" s="32"/>
      <c r="P383" s="32"/>
      <c r="Q383" s="32"/>
      <c r="R383" s="32"/>
      <c r="S383" s="32"/>
      <c r="T383" s="32"/>
      <c r="U383" s="32"/>
      <c r="V383" s="32"/>
      <c r="W383" s="32"/>
      <c r="X383" s="1750">
        <f t="shared" si="12"/>
        <v>0</v>
      </c>
      <c r="Y383" s="175">
        <f t="shared" si="13"/>
        <v>0</v>
      </c>
    </row>
    <row r="384" spans="1:25" ht="30" x14ac:dyDescent="0.25">
      <c r="A384" s="32"/>
      <c r="B384" s="32"/>
      <c r="C384" s="32"/>
      <c r="D384" s="32"/>
      <c r="E384" s="32"/>
      <c r="F384" s="32"/>
      <c r="G384" s="1340" t="s">
        <v>2706</v>
      </c>
      <c r="H384" s="66" t="str">
        <f>'BID II'!B550</f>
        <v>Belanja Jasa Honorarium Petugas</v>
      </c>
      <c r="I384" s="513">
        <f>'BID II'!F551</f>
        <v>36000000</v>
      </c>
      <c r="J384" s="66" t="s">
        <v>2626</v>
      </c>
      <c r="K384" s="1797" t="s">
        <v>3030</v>
      </c>
      <c r="L384" s="497">
        <v>3000000</v>
      </c>
      <c r="M384" s="497">
        <v>3000000</v>
      </c>
      <c r="N384" s="497">
        <v>3000000</v>
      </c>
      <c r="O384" s="497">
        <v>3000000</v>
      </c>
      <c r="P384" s="497">
        <v>3000000</v>
      </c>
      <c r="Q384" s="497">
        <v>3000000</v>
      </c>
      <c r="R384" s="497">
        <v>3000000</v>
      </c>
      <c r="S384" s="497">
        <v>3000000</v>
      </c>
      <c r="T384" s="497">
        <v>3000000</v>
      </c>
      <c r="U384" s="497">
        <v>3000000</v>
      </c>
      <c r="V384" s="497">
        <v>3000000</v>
      </c>
      <c r="W384" s="497">
        <v>3000000</v>
      </c>
      <c r="X384" s="1750">
        <f t="shared" si="12"/>
        <v>36000000</v>
      </c>
      <c r="Y384" s="175">
        <f t="shared" si="13"/>
        <v>0</v>
      </c>
    </row>
    <row r="385" spans="1:25" ht="75" x14ac:dyDescent="0.25">
      <c r="A385" s="1344">
        <v>2</v>
      </c>
      <c r="B385" s="1344">
        <v>2</v>
      </c>
      <c r="C385" s="1346" t="s">
        <v>2703</v>
      </c>
      <c r="D385" s="1344"/>
      <c r="E385" s="1344"/>
      <c r="F385" s="1344"/>
      <c r="G385" s="1344"/>
      <c r="H385" s="1345" t="str">
        <f>'BID II'!B566</f>
        <v xml:space="preserve"> :Penyuluhan dan Pelatiah Bidang Kesehatan (Pendampingan calon pengantin Stunting)</v>
      </c>
      <c r="I385" s="1347">
        <f>SUM(I386:I394)</f>
        <v>6877440</v>
      </c>
      <c r="J385" s="1345" t="s">
        <v>2387</v>
      </c>
      <c r="K385" s="1796" t="s">
        <v>3030</v>
      </c>
      <c r="L385" s="1344"/>
      <c r="M385" s="1344"/>
      <c r="N385" s="1344"/>
      <c r="O385" s="1344"/>
      <c r="P385" s="1344"/>
      <c r="Q385" s="1344"/>
      <c r="R385" s="1344"/>
      <c r="S385" s="1344"/>
      <c r="T385" s="1344"/>
      <c r="U385" s="1344"/>
      <c r="V385" s="1344"/>
      <c r="W385" s="1344"/>
      <c r="X385" s="1353">
        <f t="shared" si="12"/>
        <v>0</v>
      </c>
      <c r="Y385" s="175">
        <f t="shared" si="13"/>
        <v>-6877440</v>
      </c>
    </row>
    <row r="386" spans="1:25" ht="30" x14ac:dyDescent="0.25">
      <c r="A386" s="32"/>
      <c r="B386" s="32"/>
      <c r="C386" s="32"/>
      <c r="D386" s="32"/>
      <c r="E386" s="32"/>
      <c r="F386" s="32"/>
      <c r="G386" s="32"/>
      <c r="H386" s="66" t="str">
        <f>'BID II'!B572</f>
        <v>Pendampingan Calon Pengantin</v>
      </c>
      <c r="I386" s="32"/>
      <c r="J386" s="66"/>
      <c r="K386" s="1797" t="s">
        <v>3030</v>
      </c>
      <c r="L386" s="32"/>
      <c r="M386" s="32"/>
      <c r="N386" s="32"/>
      <c r="O386" s="32"/>
      <c r="P386" s="32"/>
      <c r="Q386" s="32"/>
      <c r="R386" s="32"/>
      <c r="S386" s="32"/>
      <c r="T386" s="32"/>
      <c r="U386" s="32"/>
      <c r="V386" s="32"/>
      <c r="W386" s="32"/>
      <c r="X386" s="1750">
        <f t="shared" si="12"/>
        <v>0</v>
      </c>
      <c r="Y386" s="175">
        <f t="shared" si="13"/>
        <v>0</v>
      </c>
    </row>
    <row r="387" spans="1:25" ht="30" x14ac:dyDescent="0.25">
      <c r="A387" s="32"/>
      <c r="B387" s="32"/>
      <c r="C387" s="32"/>
      <c r="D387" s="32">
        <v>5</v>
      </c>
      <c r="E387" s="32">
        <v>2</v>
      </c>
      <c r="F387" s="32"/>
      <c r="G387" s="32"/>
      <c r="H387" s="66" t="str">
        <f>'BID II'!B573</f>
        <v>Belanja Barang Jasa</v>
      </c>
      <c r="I387" s="32"/>
      <c r="J387" s="66"/>
      <c r="K387" s="1797" t="s">
        <v>3030</v>
      </c>
      <c r="L387" s="32"/>
      <c r="M387" s="32"/>
      <c r="N387" s="32"/>
      <c r="O387" s="32"/>
      <c r="P387" s="32"/>
      <c r="Q387" s="32"/>
      <c r="R387" s="32"/>
      <c r="S387" s="32"/>
      <c r="T387" s="32"/>
      <c r="U387" s="32"/>
      <c r="V387" s="32"/>
      <c r="W387" s="32"/>
      <c r="X387" s="1750">
        <f t="shared" si="12"/>
        <v>0</v>
      </c>
      <c r="Y387" s="175">
        <f t="shared" si="13"/>
        <v>0</v>
      </c>
    </row>
    <row r="388" spans="1:25" ht="30" x14ac:dyDescent="0.25">
      <c r="A388" s="32"/>
      <c r="B388" s="32"/>
      <c r="C388" s="32"/>
      <c r="D388" s="32"/>
      <c r="E388" s="32"/>
      <c r="F388" s="32">
        <v>1</v>
      </c>
      <c r="G388" s="32"/>
      <c r="H388" s="66" t="str">
        <f>'BID II'!B574</f>
        <v>Belanja Barang Perlengkapan</v>
      </c>
      <c r="I388" s="32"/>
      <c r="J388" s="66"/>
      <c r="K388" s="1797" t="s">
        <v>3030</v>
      </c>
      <c r="L388" s="32"/>
      <c r="M388" s="32"/>
      <c r="N388" s="32"/>
      <c r="O388" s="32"/>
      <c r="P388" s="32"/>
      <c r="Q388" s="32"/>
      <c r="R388" s="32"/>
      <c r="S388" s="32"/>
      <c r="T388" s="32"/>
      <c r="U388" s="32"/>
      <c r="V388" s="32"/>
      <c r="W388" s="32"/>
      <c r="X388" s="1750">
        <f t="shared" si="12"/>
        <v>0</v>
      </c>
      <c r="Y388" s="175">
        <f t="shared" si="13"/>
        <v>0</v>
      </c>
    </row>
    <row r="389" spans="1:25" ht="30" x14ac:dyDescent="0.25">
      <c r="A389" s="32"/>
      <c r="B389" s="32"/>
      <c r="C389" s="32"/>
      <c r="D389" s="32"/>
      <c r="E389" s="32"/>
      <c r="F389" s="32"/>
      <c r="G389" s="1340" t="s">
        <v>2688</v>
      </c>
      <c r="H389" s="66" t="str">
        <f>'BID II'!B575</f>
        <v>Belanja Alat Tulis Kantor dan Benda Pos</v>
      </c>
      <c r="I389" s="470">
        <f>SUM('BID II'!F576:F577)</f>
        <v>100500</v>
      </c>
      <c r="J389" s="66" t="s">
        <v>2387</v>
      </c>
      <c r="K389" s="1797" t="s">
        <v>3030</v>
      </c>
      <c r="L389" s="32"/>
      <c r="M389" s="32"/>
      <c r="N389" s="497">
        <v>100500</v>
      </c>
      <c r="O389" s="32"/>
      <c r="P389" s="32"/>
      <c r="Q389" s="32"/>
      <c r="R389" s="32"/>
      <c r="S389" s="32"/>
      <c r="T389" s="32"/>
      <c r="U389" s="32"/>
      <c r="V389" s="32"/>
      <c r="W389" s="32"/>
      <c r="X389" s="1750">
        <f t="shared" si="12"/>
        <v>100500</v>
      </c>
      <c r="Y389" s="175">
        <f t="shared" si="13"/>
        <v>0</v>
      </c>
    </row>
    <row r="390" spans="1:25" ht="30" x14ac:dyDescent="0.25">
      <c r="A390" s="32"/>
      <c r="B390" s="32"/>
      <c r="C390" s="32"/>
      <c r="D390" s="32"/>
      <c r="E390" s="32"/>
      <c r="F390" s="32"/>
      <c r="G390" s="1340" t="s">
        <v>2708</v>
      </c>
      <c r="H390" s="32" t="str">
        <f>'BID II'!B579</f>
        <v>Belanja Bahan Material</v>
      </c>
      <c r="I390" s="470">
        <f>SUM('BID II'!F580:F581)</f>
        <v>686940</v>
      </c>
      <c r="J390" s="66" t="s">
        <v>2387</v>
      </c>
      <c r="K390" s="1797" t="s">
        <v>3030</v>
      </c>
      <c r="L390" s="32"/>
      <c r="M390" s="32"/>
      <c r="N390" s="497">
        <v>686940</v>
      </c>
      <c r="O390" s="32"/>
      <c r="P390" s="32"/>
      <c r="Q390" s="32"/>
      <c r="R390" s="32"/>
      <c r="S390" s="32"/>
      <c r="T390" s="32"/>
      <c r="U390" s="32"/>
      <c r="V390" s="32"/>
      <c r="W390" s="32"/>
      <c r="X390" s="1750">
        <f t="shared" si="12"/>
        <v>686940</v>
      </c>
      <c r="Y390" s="175">
        <f t="shared" si="13"/>
        <v>0</v>
      </c>
    </row>
    <row r="391" spans="1:25" ht="30" x14ac:dyDescent="0.25">
      <c r="A391" s="32"/>
      <c r="B391" s="32"/>
      <c r="C391" s="32"/>
      <c r="D391" s="32"/>
      <c r="E391" s="32"/>
      <c r="F391" s="32"/>
      <c r="G391" s="1340" t="s">
        <v>2705</v>
      </c>
      <c r="H391" s="66" t="str">
        <f>'BID II'!B583</f>
        <v>Belanja Perlengkapan Barang Konsumsi</v>
      </c>
      <c r="I391" s="174">
        <f>SUM('BID II'!F584)</f>
        <v>1500000</v>
      </c>
      <c r="J391" s="66" t="s">
        <v>2387</v>
      </c>
      <c r="K391" s="1797" t="s">
        <v>3030</v>
      </c>
      <c r="L391" s="32"/>
      <c r="M391" s="32"/>
      <c r="N391" s="497">
        <v>1500000</v>
      </c>
      <c r="O391" s="32"/>
      <c r="P391" s="32"/>
      <c r="Q391" s="32"/>
      <c r="R391" s="32"/>
      <c r="S391" s="32"/>
      <c r="T391" s="32"/>
      <c r="U391" s="32"/>
      <c r="V391" s="32"/>
      <c r="W391" s="32"/>
      <c r="X391" s="1750">
        <f t="shared" si="12"/>
        <v>1500000</v>
      </c>
      <c r="Y391" s="175">
        <f t="shared" si="13"/>
        <v>0</v>
      </c>
    </row>
    <row r="392" spans="1:25" ht="30" x14ac:dyDescent="0.25">
      <c r="A392" s="32"/>
      <c r="B392" s="32"/>
      <c r="C392" s="32"/>
      <c r="D392" s="32"/>
      <c r="E392" s="32"/>
      <c r="F392" s="32"/>
      <c r="G392" s="1340" t="s">
        <v>2707</v>
      </c>
      <c r="H392" s="66" t="str">
        <f>'BID II'!B586</f>
        <v>Belanja Bendera/ Umbul-umbul/ Spanduk</v>
      </c>
      <c r="I392" s="174">
        <f>'BID II'!F587</f>
        <v>90000</v>
      </c>
      <c r="J392" s="66" t="s">
        <v>2387</v>
      </c>
      <c r="K392" s="1797" t="s">
        <v>3030</v>
      </c>
      <c r="L392" s="32"/>
      <c r="M392" s="32"/>
      <c r="N392" s="497">
        <v>90000</v>
      </c>
      <c r="O392" s="32"/>
      <c r="P392" s="32"/>
      <c r="Q392" s="32"/>
      <c r="R392" s="32"/>
      <c r="S392" s="32"/>
      <c r="T392" s="32"/>
      <c r="U392" s="32"/>
      <c r="V392" s="32"/>
      <c r="W392" s="32"/>
      <c r="X392" s="1750">
        <f t="shared" si="12"/>
        <v>90000</v>
      </c>
      <c r="Y392" s="175">
        <f t="shared" si="13"/>
        <v>0</v>
      </c>
    </row>
    <row r="393" spans="1:25" ht="30" x14ac:dyDescent="0.25">
      <c r="A393" s="32"/>
      <c r="B393" s="32"/>
      <c r="C393" s="32"/>
      <c r="D393" s="32">
        <v>5</v>
      </c>
      <c r="E393" s="32">
        <v>2</v>
      </c>
      <c r="F393" s="32">
        <v>2</v>
      </c>
      <c r="G393" s="32"/>
      <c r="H393" s="66" t="str">
        <f>'BID II'!B590</f>
        <v>Belanja Jasa Honorarium</v>
      </c>
      <c r="I393" s="32"/>
      <c r="J393" s="66"/>
      <c r="K393" s="1797" t="s">
        <v>3030</v>
      </c>
      <c r="L393" s="32"/>
      <c r="M393" s="32"/>
      <c r="N393" s="32"/>
      <c r="O393" s="32"/>
      <c r="P393" s="32"/>
      <c r="Q393" s="32"/>
      <c r="R393" s="32"/>
      <c r="S393" s="32"/>
      <c r="T393" s="32"/>
      <c r="U393" s="32"/>
      <c r="V393" s="32"/>
      <c r="W393" s="32"/>
      <c r="X393" s="1750">
        <f t="shared" si="12"/>
        <v>0</v>
      </c>
      <c r="Y393" s="175">
        <f t="shared" si="13"/>
        <v>0</v>
      </c>
    </row>
    <row r="394" spans="1:25" ht="60" x14ac:dyDescent="0.25">
      <c r="A394" s="32"/>
      <c r="B394" s="32"/>
      <c r="C394" s="32"/>
      <c r="D394" s="32"/>
      <c r="E394" s="32"/>
      <c r="F394" s="32"/>
      <c r="G394" s="1340" t="s">
        <v>2704</v>
      </c>
      <c r="H394" s="66" t="str">
        <f>'BID II'!B592</f>
        <v>Belanja Jasa Honorarium Ahli/ Profesi/Konsultan/Narasumber</v>
      </c>
      <c r="I394" s="174">
        <f>SUM('BID II'!F593:F594)</f>
        <v>4500000</v>
      </c>
      <c r="J394" s="66" t="s">
        <v>2387</v>
      </c>
      <c r="K394" s="1797" t="s">
        <v>3030</v>
      </c>
      <c r="L394" s="32"/>
      <c r="M394" s="32"/>
      <c r="N394" s="497">
        <v>1500000</v>
      </c>
      <c r="O394" s="32"/>
      <c r="P394" s="32"/>
      <c r="Q394" s="497">
        <v>1500000</v>
      </c>
      <c r="R394" s="32"/>
      <c r="S394" s="32"/>
      <c r="T394" s="497">
        <v>1500000</v>
      </c>
      <c r="U394" s="32"/>
      <c r="V394" s="32"/>
      <c r="W394" s="32"/>
      <c r="X394" s="1750">
        <f t="shared" si="12"/>
        <v>4500000</v>
      </c>
      <c r="Y394" s="175">
        <f t="shared" si="13"/>
        <v>0</v>
      </c>
    </row>
    <row r="395" spans="1:25" ht="60" x14ac:dyDescent="0.25">
      <c r="A395" s="1344">
        <v>2</v>
      </c>
      <c r="B395" s="1344">
        <v>2</v>
      </c>
      <c r="C395" s="1346" t="s">
        <v>2703</v>
      </c>
      <c r="D395" s="1344"/>
      <c r="E395" s="1344"/>
      <c r="F395" s="1344"/>
      <c r="G395" s="1344"/>
      <c r="H395" s="1345" t="str">
        <f>'BID II'!B650</f>
        <v>: Penyuluhan dan Pelatihan Bidang Kesehatan (Pembinaan Kader POSyandu)</v>
      </c>
      <c r="I395" s="1347">
        <f>SUM(I396:I406)</f>
        <v>31525000</v>
      </c>
      <c r="J395" s="1345"/>
      <c r="K395" s="1796" t="s">
        <v>3030</v>
      </c>
      <c r="L395" s="1344"/>
      <c r="M395" s="1344"/>
      <c r="N395" s="1344"/>
      <c r="O395" s="1344"/>
      <c r="P395" s="1344"/>
      <c r="Q395" s="1344"/>
      <c r="R395" s="1344"/>
      <c r="S395" s="1344"/>
      <c r="T395" s="1344"/>
      <c r="U395" s="1344"/>
      <c r="V395" s="1344"/>
      <c r="W395" s="1344"/>
      <c r="X395" s="1353">
        <f t="shared" si="12"/>
        <v>0</v>
      </c>
      <c r="Y395" s="175">
        <f t="shared" si="13"/>
        <v>-31525000</v>
      </c>
    </row>
    <row r="396" spans="1:25" ht="30" x14ac:dyDescent="0.25">
      <c r="A396" s="32"/>
      <c r="B396" s="32"/>
      <c r="C396" s="32"/>
      <c r="D396" s="32">
        <v>5</v>
      </c>
      <c r="E396" s="32">
        <v>2</v>
      </c>
      <c r="F396" s="32"/>
      <c r="G396" s="32"/>
      <c r="H396" s="66" t="str">
        <f>'BID II'!B655</f>
        <v>Belanja Barang dan Jasa</v>
      </c>
      <c r="I396" s="32"/>
      <c r="J396" s="66"/>
      <c r="K396" s="1797" t="s">
        <v>3030</v>
      </c>
      <c r="L396" s="32"/>
      <c r="M396" s="32"/>
      <c r="N396" s="32"/>
      <c r="O396" s="32"/>
      <c r="P396" s="32"/>
      <c r="Q396" s="32"/>
      <c r="R396" s="32"/>
      <c r="S396" s="32"/>
      <c r="T396" s="32"/>
      <c r="U396" s="32"/>
      <c r="V396" s="32"/>
      <c r="W396" s="32"/>
      <c r="X396" s="1750">
        <f t="shared" si="12"/>
        <v>0</v>
      </c>
      <c r="Y396" s="175">
        <f t="shared" si="13"/>
        <v>0</v>
      </c>
    </row>
    <row r="397" spans="1:25" ht="30" x14ac:dyDescent="0.25">
      <c r="A397" s="32"/>
      <c r="B397" s="32"/>
      <c r="C397" s="32"/>
      <c r="D397" s="32"/>
      <c r="E397" s="32"/>
      <c r="F397" s="32">
        <v>1</v>
      </c>
      <c r="G397" s="32"/>
      <c r="H397" s="66" t="str">
        <f>'BID II'!B656</f>
        <v>Belanaja Barang Pelengkapan</v>
      </c>
      <c r="I397" s="32"/>
      <c r="J397" s="66"/>
      <c r="K397" s="1797" t="s">
        <v>3030</v>
      </c>
      <c r="L397" s="32"/>
      <c r="M397" s="32"/>
      <c r="N397" s="32"/>
      <c r="O397" s="32"/>
      <c r="P397" s="32"/>
      <c r="Q397" s="32"/>
      <c r="R397" s="32"/>
      <c r="S397" s="32"/>
      <c r="T397" s="32"/>
      <c r="U397" s="32"/>
      <c r="V397" s="32"/>
      <c r="W397" s="32"/>
      <c r="X397" s="1750">
        <f t="shared" si="12"/>
        <v>0</v>
      </c>
      <c r="Y397" s="175">
        <f t="shared" si="13"/>
        <v>0</v>
      </c>
    </row>
    <row r="398" spans="1:25" ht="30" x14ac:dyDescent="0.25">
      <c r="A398" s="32"/>
      <c r="B398" s="32"/>
      <c r="C398" s="32"/>
      <c r="D398" s="32"/>
      <c r="E398" s="32"/>
      <c r="F398" s="32"/>
      <c r="G398" s="1340" t="s">
        <v>2688</v>
      </c>
      <c r="H398" s="66" t="str">
        <f>'BID II'!B657</f>
        <v>Perlangakapan Alat Tulis Kantor dan Benda POS</v>
      </c>
      <c r="I398" s="174">
        <f>SUM('BID II'!F658:F660)</f>
        <v>895000</v>
      </c>
      <c r="J398" s="66" t="s">
        <v>2387</v>
      </c>
      <c r="K398" s="1797" t="s">
        <v>3030</v>
      </c>
      <c r="L398" s="32"/>
      <c r="M398" s="32"/>
      <c r="N398" s="32"/>
      <c r="O398" s="32"/>
      <c r="P398" s="497">
        <v>895000</v>
      </c>
      <c r="Q398" s="32"/>
      <c r="R398" s="32"/>
      <c r="S398" s="32"/>
      <c r="T398" s="32"/>
      <c r="U398" s="32"/>
      <c r="V398" s="32"/>
      <c r="W398" s="32"/>
      <c r="X398" s="1750">
        <f t="shared" si="12"/>
        <v>895000</v>
      </c>
      <c r="Y398" s="175">
        <f t="shared" si="13"/>
        <v>0</v>
      </c>
    </row>
    <row r="399" spans="1:25" ht="30" x14ac:dyDescent="0.25">
      <c r="A399" s="32"/>
      <c r="B399" s="32"/>
      <c r="C399" s="32"/>
      <c r="D399" s="32"/>
      <c r="E399" s="32"/>
      <c r="F399" s="32"/>
      <c r="G399" s="1340" t="s">
        <v>2705</v>
      </c>
      <c r="H399" s="66" t="str">
        <f>'BID II'!B662</f>
        <v>Belanja Perlengkapan Barang Konsumsi</v>
      </c>
      <c r="I399" s="174">
        <f>SUM('BID II'!F663)</f>
        <v>1065000</v>
      </c>
      <c r="J399" s="66" t="s">
        <v>2387</v>
      </c>
      <c r="K399" s="1797" t="s">
        <v>3030</v>
      </c>
      <c r="L399" s="32"/>
      <c r="M399" s="32"/>
      <c r="N399" s="32"/>
      <c r="O399" s="32"/>
      <c r="P399" s="497">
        <v>1065000</v>
      </c>
      <c r="Q399" s="32"/>
      <c r="R399" s="32"/>
      <c r="S399" s="32"/>
      <c r="T399" s="32"/>
      <c r="U399" s="32"/>
      <c r="V399" s="32"/>
      <c r="W399" s="32"/>
      <c r="X399" s="1750">
        <f t="shared" si="12"/>
        <v>1065000</v>
      </c>
      <c r="Y399" s="175">
        <f t="shared" si="13"/>
        <v>0</v>
      </c>
    </row>
    <row r="400" spans="1:25" ht="30" x14ac:dyDescent="0.25">
      <c r="A400" s="32"/>
      <c r="B400" s="32"/>
      <c r="C400" s="32"/>
      <c r="D400" s="32"/>
      <c r="E400" s="32"/>
      <c r="F400" s="32"/>
      <c r="G400" s="1340" t="s">
        <v>2707</v>
      </c>
      <c r="H400" s="66" t="str">
        <f>'BID II'!B665</f>
        <v>Belanja Bendera/Umbul - umbul Spanduk</v>
      </c>
      <c r="I400" s="174">
        <f>'BID II'!F666</f>
        <v>90000</v>
      </c>
      <c r="J400" s="66" t="s">
        <v>2387</v>
      </c>
      <c r="K400" s="1797" t="s">
        <v>3030</v>
      </c>
      <c r="L400" s="32"/>
      <c r="M400" s="32"/>
      <c r="N400" s="32"/>
      <c r="O400" s="32"/>
      <c r="P400" s="497">
        <v>90000</v>
      </c>
      <c r="Q400" s="32"/>
      <c r="R400" s="32"/>
      <c r="S400" s="32"/>
      <c r="T400" s="32"/>
      <c r="U400" s="32"/>
      <c r="V400" s="32"/>
      <c r="W400" s="32"/>
      <c r="X400" s="1750">
        <f t="shared" si="12"/>
        <v>90000</v>
      </c>
      <c r="Y400" s="175">
        <f t="shared" si="13"/>
        <v>0</v>
      </c>
    </row>
    <row r="401" spans="1:25" ht="30" x14ac:dyDescent="0.25">
      <c r="A401" s="32"/>
      <c r="B401" s="32"/>
      <c r="C401" s="32"/>
      <c r="D401" s="32"/>
      <c r="E401" s="32"/>
      <c r="F401" s="32"/>
      <c r="G401" s="1340" t="s">
        <v>2709</v>
      </c>
      <c r="H401" s="66" t="str">
        <f>'BID II'!B668</f>
        <v>Belanja Pakaian Dinas/ Seragam/ Atribut</v>
      </c>
      <c r="I401" s="32"/>
      <c r="J401" s="66"/>
      <c r="K401" s="1797" t="s">
        <v>3030</v>
      </c>
      <c r="L401" s="32"/>
      <c r="M401" s="32"/>
      <c r="N401" s="32"/>
      <c r="O401" s="32"/>
      <c r="P401" s="497"/>
      <c r="Q401" s="32"/>
      <c r="R401" s="32"/>
      <c r="S401" s="32"/>
      <c r="T401" s="32"/>
      <c r="U401" s="32"/>
      <c r="V401" s="32"/>
      <c r="W401" s="32"/>
      <c r="X401" s="1750">
        <f t="shared" si="12"/>
        <v>0</v>
      </c>
      <c r="Y401" s="175">
        <f t="shared" si="13"/>
        <v>0</v>
      </c>
    </row>
    <row r="402" spans="1:25" ht="30" x14ac:dyDescent="0.25">
      <c r="A402" s="32"/>
      <c r="B402" s="32"/>
      <c r="C402" s="32"/>
      <c r="D402" s="32"/>
      <c r="E402" s="32"/>
      <c r="F402" s="32"/>
      <c r="G402" s="32">
        <v>90</v>
      </c>
      <c r="H402" s="66" t="str">
        <f>'BID II'!B670</f>
        <v>Belanja Upakara, Upacara Dan Aci-Aci</v>
      </c>
      <c r="I402" s="174">
        <f>SUM('BID II'!F671:F673)</f>
        <v>75000</v>
      </c>
      <c r="J402" s="66" t="s">
        <v>2387</v>
      </c>
      <c r="K402" s="1797" t="s">
        <v>3030</v>
      </c>
      <c r="L402" s="32"/>
      <c r="M402" s="32"/>
      <c r="N402" s="32"/>
      <c r="O402" s="32"/>
      <c r="P402" s="497">
        <v>75000</v>
      </c>
      <c r="Q402" s="32"/>
      <c r="R402" s="32"/>
      <c r="S402" s="32"/>
      <c r="T402" s="32"/>
      <c r="U402" s="32"/>
      <c r="V402" s="32"/>
      <c r="W402" s="32"/>
      <c r="X402" s="1750">
        <f t="shared" si="12"/>
        <v>75000</v>
      </c>
      <c r="Y402" s="175">
        <f t="shared" si="13"/>
        <v>0</v>
      </c>
    </row>
    <row r="403" spans="1:25" ht="30" x14ac:dyDescent="0.25">
      <c r="A403" s="32"/>
      <c r="B403" s="32"/>
      <c r="C403" s="32"/>
      <c r="D403" s="32">
        <v>5</v>
      </c>
      <c r="E403" s="32">
        <v>2</v>
      </c>
      <c r="F403" s="32">
        <v>2</v>
      </c>
      <c r="G403" s="32"/>
      <c r="H403" s="66" t="str">
        <f>'BID II'!B675</f>
        <v>Belanja Jasa Honorarium</v>
      </c>
      <c r="I403" s="32"/>
      <c r="J403" s="66"/>
      <c r="K403" s="1797" t="s">
        <v>3030</v>
      </c>
      <c r="L403" s="32"/>
      <c r="M403" s="32"/>
      <c r="N403" s="32"/>
      <c r="O403" s="32"/>
      <c r="P403" s="497"/>
      <c r="Q403" s="32"/>
      <c r="R403" s="32"/>
      <c r="S403" s="32"/>
      <c r="T403" s="32"/>
      <c r="U403" s="32"/>
      <c r="V403" s="32"/>
      <c r="W403" s="32"/>
      <c r="X403" s="1750">
        <f t="shared" si="12"/>
        <v>0</v>
      </c>
      <c r="Y403" s="175">
        <f t="shared" si="13"/>
        <v>0</v>
      </c>
    </row>
    <row r="404" spans="1:25" ht="60" x14ac:dyDescent="0.25">
      <c r="A404" s="32"/>
      <c r="B404" s="32"/>
      <c r="C404" s="32"/>
      <c r="D404" s="32"/>
      <c r="E404" s="32"/>
      <c r="F404" s="32"/>
      <c r="G404" s="1340" t="s">
        <v>2704</v>
      </c>
      <c r="H404" s="66" t="str">
        <f>'BID II'!B676</f>
        <v>Belanja Jasa Honorarium Ahli/ Profesi/Konsultan/Narasumber</v>
      </c>
      <c r="I404" s="174">
        <f>SUM('BID II'!F677)</f>
        <v>600000</v>
      </c>
      <c r="J404" s="66" t="s">
        <v>2625</v>
      </c>
      <c r="K404" s="1797" t="s">
        <v>3030</v>
      </c>
      <c r="L404" s="32"/>
      <c r="M404" s="32"/>
      <c r="N404" s="32"/>
      <c r="O404" s="32"/>
      <c r="P404" s="497">
        <v>600000</v>
      </c>
      <c r="Q404" s="32"/>
      <c r="R404" s="32"/>
      <c r="S404" s="32"/>
      <c r="T404" s="32"/>
      <c r="U404" s="32"/>
      <c r="V404" s="32"/>
      <c r="W404" s="32"/>
      <c r="X404" s="1750">
        <f t="shared" si="12"/>
        <v>600000</v>
      </c>
      <c r="Y404" s="175">
        <f t="shared" si="13"/>
        <v>0</v>
      </c>
    </row>
    <row r="405" spans="1:25" ht="30" x14ac:dyDescent="0.25">
      <c r="A405" s="32"/>
      <c r="B405" s="32"/>
      <c r="C405" s="32"/>
      <c r="D405" s="32">
        <v>5</v>
      </c>
      <c r="E405" s="32">
        <v>2</v>
      </c>
      <c r="F405" s="32">
        <v>4</v>
      </c>
      <c r="G405" s="1340"/>
      <c r="H405" s="66" t="str">
        <f>'BID II'!B679</f>
        <v>Belanja Jasa Sewa</v>
      </c>
      <c r="I405" s="174"/>
      <c r="J405" s="66"/>
      <c r="K405" s="1797" t="s">
        <v>3030</v>
      </c>
      <c r="L405" s="32"/>
      <c r="M405" s="32"/>
      <c r="N405" s="32"/>
      <c r="O405" s="32"/>
      <c r="P405" s="497"/>
      <c r="Q405" s="32"/>
      <c r="R405" s="32"/>
      <c r="S405" s="32"/>
      <c r="T405" s="32"/>
      <c r="U405" s="32"/>
      <c r="V405" s="32"/>
      <c r="W405" s="32"/>
      <c r="X405" s="1750">
        <f t="shared" si="12"/>
        <v>0</v>
      </c>
      <c r="Y405" s="175">
        <f t="shared" si="13"/>
        <v>0</v>
      </c>
    </row>
    <row r="406" spans="1:25" ht="30" x14ac:dyDescent="0.25">
      <c r="A406" s="32"/>
      <c r="B406" s="32"/>
      <c r="C406" s="32"/>
      <c r="D406" s="32"/>
      <c r="E406" s="32"/>
      <c r="F406" s="32"/>
      <c r="G406" s="1340" t="s">
        <v>2703</v>
      </c>
      <c r="H406" s="66" t="str">
        <f>'BID II'!B681</f>
        <v>Outbond Kader Posyandu</v>
      </c>
      <c r="I406" s="174">
        <f>'BID II'!F681</f>
        <v>28800000</v>
      </c>
      <c r="J406" s="66" t="s">
        <v>2620</v>
      </c>
      <c r="K406" s="1797" t="s">
        <v>3030</v>
      </c>
      <c r="L406" s="32"/>
      <c r="M406" s="32"/>
      <c r="N406" s="32"/>
      <c r="O406" s="32"/>
      <c r="P406" s="497">
        <v>28800000</v>
      </c>
      <c r="Q406" s="32"/>
      <c r="R406" s="32"/>
      <c r="S406" s="32"/>
      <c r="T406" s="32"/>
      <c r="U406" s="32"/>
      <c r="V406" s="32"/>
      <c r="W406" s="32"/>
      <c r="X406" s="1750">
        <f t="shared" si="12"/>
        <v>28800000</v>
      </c>
      <c r="Y406" s="175">
        <f t="shared" si="13"/>
        <v>0</v>
      </c>
    </row>
    <row r="407" spans="1:25" ht="60" x14ac:dyDescent="0.25">
      <c r="A407" s="1344">
        <v>2</v>
      </c>
      <c r="B407" s="1344">
        <v>2</v>
      </c>
      <c r="C407" s="1346" t="s">
        <v>2703</v>
      </c>
      <c r="D407" s="1344"/>
      <c r="E407" s="1344"/>
      <c r="F407" s="1344"/>
      <c r="G407" s="1344"/>
      <c r="H407" s="1345" t="str">
        <f>'BID II'!B697</f>
        <v>: Penyuluhan dan Pelatihan Bidang Kesehatan (Penyuluhan Narkoba dan HIV/AIDS)</v>
      </c>
      <c r="I407" s="1347">
        <f>SUM(I408:I417)</f>
        <v>18340000</v>
      </c>
      <c r="J407" s="1345" t="s">
        <v>1682</v>
      </c>
      <c r="K407" s="1796" t="s">
        <v>3030</v>
      </c>
      <c r="L407" s="1344"/>
      <c r="M407" s="1344"/>
      <c r="N407" s="1344"/>
      <c r="O407" s="1344"/>
      <c r="P407" s="1344"/>
      <c r="Q407" s="1344"/>
      <c r="R407" s="1344"/>
      <c r="S407" s="1344"/>
      <c r="T407" s="1344"/>
      <c r="U407" s="1344"/>
      <c r="V407" s="1344"/>
      <c r="W407" s="1344"/>
      <c r="X407" s="1353">
        <f t="shared" si="12"/>
        <v>0</v>
      </c>
      <c r="Y407" s="175">
        <f t="shared" si="13"/>
        <v>-18340000</v>
      </c>
    </row>
    <row r="408" spans="1:25" ht="30" x14ac:dyDescent="0.25">
      <c r="A408" s="32"/>
      <c r="B408" s="32"/>
      <c r="C408" s="32"/>
      <c r="D408" s="32">
        <v>5</v>
      </c>
      <c r="E408" s="32">
        <v>2</v>
      </c>
      <c r="F408" s="32"/>
      <c r="G408" s="32"/>
      <c r="H408" s="66" t="str">
        <f>'BID II'!B703</f>
        <v>Belanja Barang Jasa</v>
      </c>
      <c r="I408" s="32"/>
      <c r="J408" s="66"/>
      <c r="K408" s="1797" t="s">
        <v>3030</v>
      </c>
      <c r="L408" s="32"/>
      <c r="M408" s="32"/>
      <c r="N408" s="32"/>
      <c r="O408" s="32"/>
      <c r="P408" s="32"/>
      <c r="Q408" s="32"/>
      <c r="R408" s="32"/>
      <c r="S408" s="32"/>
      <c r="T408" s="32"/>
      <c r="U408" s="32"/>
      <c r="V408" s="32"/>
      <c r="W408" s="32"/>
      <c r="X408" s="1750">
        <f t="shared" si="12"/>
        <v>0</v>
      </c>
      <c r="Y408" s="175">
        <f t="shared" si="13"/>
        <v>0</v>
      </c>
    </row>
    <row r="409" spans="1:25" ht="30" x14ac:dyDescent="0.25">
      <c r="A409" s="32"/>
      <c r="B409" s="32"/>
      <c r="C409" s="32"/>
      <c r="D409" s="32"/>
      <c r="E409" s="32"/>
      <c r="F409" s="32">
        <v>1</v>
      </c>
      <c r="G409" s="32"/>
      <c r="H409" s="66" t="str">
        <f>'BID II'!B704</f>
        <v>Belanja Barang Perlengkapan</v>
      </c>
      <c r="I409" s="32"/>
      <c r="J409" s="66"/>
      <c r="K409" s="1797" t="s">
        <v>3030</v>
      </c>
      <c r="L409" s="32"/>
      <c r="M409" s="32"/>
      <c r="N409" s="32"/>
      <c r="O409" s="32"/>
      <c r="P409" s="32"/>
      <c r="Q409" s="32"/>
      <c r="R409" s="32"/>
      <c r="S409" s="32"/>
      <c r="T409" s="32"/>
      <c r="U409" s="32"/>
      <c r="V409" s="32"/>
      <c r="W409" s="32"/>
      <c r="X409" s="1750">
        <f t="shared" si="12"/>
        <v>0</v>
      </c>
      <c r="Y409" s="175">
        <f t="shared" si="13"/>
        <v>0</v>
      </c>
    </row>
    <row r="410" spans="1:25" ht="30" x14ac:dyDescent="0.25">
      <c r="A410" s="32"/>
      <c r="B410" s="32"/>
      <c r="C410" s="32"/>
      <c r="D410" s="32"/>
      <c r="E410" s="32"/>
      <c r="F410" s="32"/>
      <c r="G410" s="1340" t="s">
        <v>2688</v>
      </c>
      <c r="H410" s="66" t="str">
        <f>'BID II'!B705</f>
        <v>Belanja Alat Tulis Kantor dan Benda Pos</v>
      </c>
      <c r="I410" s="174">
        <f>SUM('BID II'!F706)</f>
        <v>2250000</v>
      </c>
      <c r="J410" s="66" t="s">
        <v>1682</v>
      </c>
      <c r="K410" s="1797" t="s">
        <v>3030</v>
      </c>
      <c r="L410" s="32"/>
      <c r="M410" s="32"/>
      <c r="N410" s="32"/>
      <c r="O410" s="32"/>
      <c r="P410" s="497">
        <v>2250000</v>
      </c>
      <c r="Q410" s="32"/>
      <c r="R410" s="32"/>
      <c r="S410" s="32"/>
      <c r="T410" s="32"/>
      <c r="U410" s="32"/>
      <c r="V410" s="32"/>
      <c r="W410" s="32"/>
      <c r="X410" s="1750">
        <f t="shared" si="12"/>
        <v>2250000</v>
      </c>
      <c r="Y410" s="175">
        <f t="shared" si="13"/>
        <v>0</v>
      </c>
    </row>
    <row r="411" spans="1:25" ht="30" x14ac:dyDescent="0.25">
      <c r="A411" s="32"/>
      <c r="B411" s="32"/>
      <c r="C411" s="32"/>
      <c r="D411" s="32"/>
      <c r="E411" s="32"/>
      <c r="F411" s="32"/>
      <c r="G411" s="1340" t="s">
        <v>2705</v>
      </c>
      <c r="H411" s="66" t="str">
        <f>'BID II'!B708</f>
        <v>Belanja Perlengkapan Barang Konsumsi</v>
      </c>
      <c r="I411" s="174">
        <f>'BID II'!F709</f>
        <v>600000</v>
      </c>
      <c r="J411" s="66" t="s">
        <v>1682</v>
      </c>
      <c r="K411" s="1797" t="s">
        <v>3030</v>
      </c>
      <c r="L411" s="32"/>
      <c r="M411" s="32"/>
      <c r="N411" s="32"/>
      <c r="O411" s="32"/>
      <c r="P411" s="497">
        <v>600000</v>
      </c>
      <c r="Q411" s="32"/>
      <c r="R411" s="32"/>
      <c r="S411" s="32"/>
      <c r="T411" s="32"/>
      <c r="U411" s="32"/>
      <c r="V411" s="32"/>
      <c r="W411" s="32"/>
      <c r="X411" s="1750">
        <f t="shared" si="12"/>
        <v>600000</v>
      </c>
      <c r="Y411" s="175">
        <f t="shared" si="13"/>
        <v>0</v>
      </c>
    </row>
    <row r="412" spans="1:25" ht="30" x14ac:dyDescent="0.25">
      <c r="A412" s="32"/>
      <c r="B412" s="32"/>
      <c r="C412" s="32"/>
      <c r="D412" s="32"/>
      <c r="E412" s="32"/>
      <c r="F412" s="32"/>
      <c r="G412" s="1340" t="s">
        <v>2707</v>
      </c>
      <c r="H412" s="66" t="str">
        <f>'BID II'!B711</f>
        <v>Belanja Bendera/ Umbul-umbul/ Spanduk</v>
      </c>
      <c r="I412" s="174">
        <f>'BID II'!F712</f>
        <v>90000</v>
      </c>
      <c r="J412" s="66" t="s">
        <v>1682</v>
      </c>
      <c r="K412" s="1797" t="s">
        <v>3030</v>
      </c>
      <c r="L412" s="32"/>
      <c r="M412" s="32"/>
      <c r="N412" s="32"/>
      <c r="O412" s="32"/>
      <c r="P412" s="497">
        <v>90000</v>
      </c>
      <c r="Q412" s="32"/>
      <c r="R412" s="32"/>
      <c r="S412" s="32"/>
      <c r="T412" s="32"/>
      <c r="U412" s="32"/>
      <c r="V412" s="32"/>
      <c r="W412" s="32"/>
      <c r="X412" s="1750">
        <f t="shared" si="12"/>
        <v>90000</v>
      </c>
      <c r="Y412" s="175">
        <f t="shared" si="13"/>
        <v>0</v>
      </c>
    </row>
    <row r="413" spans="1:25" ht="30" x14ac:dyDescent="0.25">
      <c r="A413" s="32"/>
      <c r="B413" s="32"/>
      <c r="C413" s="32"/>
      <c r="D413" s="32">
        <v>5</v>
      </c>
      <c r="E413" s="32">
        <v>2</v>
      </c>
      <c r="F413" s="32">
        <v>2</v>
      </c>
      <c r="G413" s="32"/>
      <c r="H413" s="66" t="str">
        <f>'BID II'!B714</f>
        <v>Belanja Jasa Honorarium</v>
      </c>
      <c r="I413" s="32"/>
      <c r="J413" s="66"/>
      <c r="K413" s="1797" t="s">
        <v>3030</v>
      </c>
      <c r="L413" s="32"/>
      <c r="M413" s="32"/>
      <c r="N413" s="32"/>
      <c r="O413" s="32"/>
      <c r="P413" s="497"/>
      <c r="Q413" s="32"/>
      <c r="R413" s="32"/>
      <c r="S413" s="32"/>
      <c r="T413" s="32"/>
      <c r="U413" s="32"/>
      <c r="V413" s="32"/>
      <c r="W413" s="32"/>
      <c r="X413" s="1750">
        <f t="shared" si="12"/>
        <v>0</v>
      </c>
      <c r="Y413" s="175">
        <f t="shared" si="13"/>
        <v>0</v>
      </c>
    </row>
    <row r="414" spans="1:25" ht="45" x14ac:dyDescent="0.25">
      <c r="A414" s="32"/>
      <c r="B414" s="32"/>
      <c r="C414" s="32"/>
      <c r="D414" s="32"/>
      <c r="E414" s="32"/>
      <c r="F414" s="32"/>
      <c r="G414" s="1340" t="s">
        <v>2688</v>
      </c>
      <c r="H414" s="66" t="str">
        <f>'BID II'!B715</f>
        <v>Belanja Jasa Honorarium Tim yang Melaksanakan Kegiatan (TPK )</v>
      </c>
      <c r="I414" s="174">
        <f>SUM('BID II'!F716:F718)</f>
        <v>1150000</v>
      </c>
      <c r="J414" s="66" t="s">
        <v>1682</v>
      </c>
      <c r="K414" s="1797" t="s">
        <v>3030</v>
      </c>
      <c r="L414" s="32"/>
      <c r="M414" s="32"/>
      <c r="N414" s="32"/>
      <c r="O414" s="32"/>
      <c r="P414" s="497">
        <v>1150000</v>
      </c>
      <c r="Q414" s="32"/>
      <c r="R414" s="32"/>
      <c r="S414" s="32"/>
      <c r="T414" s="32"/>
      <c r="U414" s="32"/>
      <c r="V414" s="32"/>
      <c r="W414" s="32"/>
      <c r="X414" s="1750">
        <f t="shared" si="12"/>
        <v>1150000</v>
      </c>
      <c r="Y414" s="175">
        <f t="shared" si="13"/>
        <v>0</v>
      </c>
    </row>
    <row r="415" spans="1:25" ht="60" x14ac:dyDescent="0.25">
      <c r="A415" s="32"/>
      <c r="B415" s="32"/>
      <c r="C415" s="32"/>
      <c r="D415" s="32"/>
      <c r="E415" s="32"/>
      <c r="F415" s="32"/>
      <c r="G415" s="1340" t="s">
        <v>2706</v>
      </c>
      <c r="H415" s="66" t="str">
        <f>'BID II'!B720</f>
        <v>Belanja Jasa Honorarium Ahli/ Profesi/Konsultan/Narasumber</v>
      </c>
      <c r="I415" s="174">
        <f>SUM('BID II'!F721:F722)</f>
        <v>800000</v>
      </c>
      <c r="J415" s="66" t="s">
        <v>1682</v>
      </c>
      <c r="K415" s="1797" t="s">
        <v>3030</v>
      </c>
      <c r="L415" s="32"/>
      <c r="M415" s="32"/>
      <c r="N415" s="32"/>
      <c r="O415" s="32"/>
      <c r="P415" s="497">
        <v>800000</v>
      </c>
      <c r="Q415" s="32"/>
      <c r="R415" s="32"/>
      <c r="S415" s="32"/>
      <c r="T415" s="32"/>
      <c r="U415" s="32"/>
      <c r="V415" s="32"/>
      <c r="W415" s="32"/>
      <c r="X415" s="1750">
        <f t="shared" si="12"/>
        <v>800000</v>
      </c>
      <c r="Y415" s="175">
        <f t="shared" si="13"/>
        <v>0</v>
      </c>
    </row>
    <row r="416" spans="1:25" ht="30" x14ac:dyDescent="0.25">
      <c r="A416" s="32"/>
      <c r="B416" s="32"/>
      <c r="C416" s="32"/>
      <c r="D416" s="32">
        <v>5</v>
      </c>
      <c r="E416" s="32">
        <v>2</v>
      </c>
      <c r="F416" s="32">
        <v>4</v>
      </c>
      <c r="G416" s="32"/>
      <c r="H416" s="66" t="str">
        <f>'BID II'!B724</f>
        <v>Belanja Jasa Sewa</v>
      </c>
      <c r="I416" s="32"/>
      <c r="J416" s="66"/>
      <c r="K416" s="1797" t="s">
        <v>3030</v>
      </c>
      <c r="L416" s="32"/>
      <c r="M416" s="32"/>
      <c r="N416" s="32"/>
      <c r="O416" s="32"/>
      <c r="P416" s="497"/>
      <c r="Q416" s="32"/>
      <c r="R416" s="32"/>
      <c r="S416" s="32"/>
      <c r="T416" s="32"/>
      <c r="U416" s="32"/>
      <c r="V416" s="32"/>
      <c r="W416" s="32"/>
      <c r="X416" s="1750">
        <f t="shared" ref="X416:X479" si="14">SUM(L416:W416)</f>
        <v>0</v>
      </c>
      <c r="Y416" s="175">
        <f t="shared" si="13"/>
        <v>0</v>
      </c>
    </row>
    <row r="417" spans="1:25" ht="30" x14ac:dyDescent="0.25">
      <c r="A417" s="32"/>
      <c r="B417" s="32"/>
      <c r="C417" s="32"/>
      <c r="D417" s="32"/>
      <c r="E417" s="32"/>
      <c r="F417" s="32"/>
      <c r="G417" s="1340" t="s">
        <v>2702</v>
      </c>
      <c r="H417" s="66" t="str">
        <f>'BID II'!B725</f>
        <v>Belanja Jasa Sewa Alat Perlengkapan</v>
      </c>
      <c r="I417" s="174">
        <f>SUM('BID II'!F726:F729)</f>
        <v>13450000</v>
      </c>
      <c r="J417" s="66" t="s">
        <v>1682</v>
      </c>
      <c r="K417" s="1797" t="s">
        <v>3030</v>
      </c>
      <c r="L417" s="32"/>
      <c r="M417" s="32"/>
      <c r="N417" s="32"/>
      <c r="O417" s="32"/>
      <c r="P417" s="497">
        <v>13450000</v>
      </c>
      <c r="Q417" s="32"/>
      <c r="R417" s="32"/>
      <c r="S417" s="32"/>
      <c r="T417" s="32"/>
      <c r="U417" s="32"/>
      <c r="V417" s="32"/>
      <c r="W417" s="32"/>
      <c r="X417" s="1750">
        <f t="shared" si="14"/>
        <v>13450000</v>
      </c>
      <c r="Y417" s="175">
        <f t="shared" si="13"/>
        <v>0</v>
      </c>
    </row>
    <row r="418" spans="1:25" ht="45" x14ac:dyDescent="0.25">
      <c r="A418" s="1344">
        <v>2</v>
      </c>
      <c r="B418" s="1344">
        <v>2</v>
      </c>
      <c r="C418" s="1346" t="s">
        <v>2703</v>
      </c>
      <c r="D418" s="1344"/>
      <c r="E418" s="1344"/>
      <c r="F418" s="1344"/>
      <c r="G418" s="1344"/>
      <c r="H418" s="1345" t="str">
        <f>'BID II'!B744</f>
        <v>: Penyuluhan dan Pelatihan Bidang Kesehatan (Posbindu)</v>
      </c>
      <c r="I418" s="1347">
        <f>SUM(I419:I434)</f>
        <v>19924087.09</v>
      </c>
      <c r="J418" s="1345"/>
      <c r="K418" s="1796" t="s">
        <v>3030</v>
      </c>
      <c r="L418" s="1344"/>
      <c r="M418" s="1344"/>
      <c r="N418" s="1344"/>
      <c r="O418" s="1344"/>
      <c r="P418" s="1344"/>
      <c r="Q418" s="1344"/>
      <c r="R418" s="1344"/>
      <c r="S418" s="1344"/>
      <c r="T418" s="1344"/>
      <c r="U418" s="1344"/>
      <c r="V418" s="1344"/>
      <c r="W418" s="1344"/>
      <c r="X418" s="1353">
        <f t="shared" si="14"/>
        <v>0</v>
      </c>
      <c r="Y418" s="175">
        <f t="shared" si="13"/>
        <v>-19924087.09</v>
      </c>
    </row>
    <row r="419" spans="1:25" ht="30" x14ac:dyDescent="0.25">
      <c r="A419" s="32"/>
      <c r="B419" s="32"/>
      <c r="C419" s="32"/>
      <c r="D419" s="32"/>
      <c r="E419" s="32"/>
      <c r="F419" s="32"/>
      <c r="G419" s="32"/>
      <c r="H419" s="66" t="str">
        <f>'BID II'!B749</f>
        <v>Pelatihan</v>
      </c>
      <c r="I419" s="32"/>
      <c r="J419" s="66"/>
      <c r="K419" s="1797" t="s">
        <v>3030</v>
      </c>
      <c r="L419" s="32"/>
      <c r="M419" s="32"/>
      <c r="N419" s="32"/>
      <c r="O419" s="32"/>
      <c r="P419" s="32"/>
      <c r="Q419" s="32"/>
      <c r="R419" s="32"/>
      <c r="S419" s="32"/>
      <c r="T419" s="32"/>
      <c r="U419" s="32"/>
      <c r="V419" s="32"/>
      <c r="W419" s="32"/>
      <c r="X419" s="1750">
        <f t="shared" si="14"/>
        <v>0</v>
      </c>
      <c r="Y419" s="175">
        <f t="shared" si="13"/>
        <v>0</v>
      </c>
    </row>
    <row r="420" spans="1:25" ht="30" x14ac:dyDescent="0.25">
      <c r="A420" s="32"/>
      <c r="B420" s="32"/>
      <c r="C420" s="32"/>
      <c r="D420" s="32">
        <v>5</v>
      </c>
      <c r="E420" s="32">
        <v>2</v>
      </c>
      <c r="F420" s="32"/>
      <c r="G420" s="32"/>
      <c r="H420" s="66" t="str">
        <f>'BID II'!B750</f>
        <v>Belanja Barang dan Jasa</v>
      </c>
      <c r="I420" s="32"/>
      <c r="J420" s="66"/>
      <c r="K420" s="1797" t="s">
        <v>3030</v>
      </c>
      <c r="L420" s="32"/>
      <c r="M420" s="32"/>
      <c r="N420" s="32"/>
      <c r="O420" s="32"/>
      <c r="P420" s="32"/>
      <c r="Q420" s="32"/>
      <c r="R420" s="32"/>
      <c r="S420" s="32"/>
      <c r="T420" s="32"/>
      <c r="U420" s="32"/>
      <c r="V420" s="32"/>
      <c r="W420" s="32"/>
      <c r="X420" s="1750">
        <f t="shared" si="14"/>
        <v>0</v>
      </c>
      <c r="Y420" s="175">
        <f t="shared" si="13"/>
        <v>0</v>
      </c>
    </row>
    <row r="421" spans="1:25" ht="30" x14ac:dyDescent="0.25">
      <c r="A421" s="32"/>
      <c r="B421" s="32"/>
      <c r="C421" s="32"/>
      <c r="D421" s="32"/>
      <c r="E421" s="32"/>
      <c r="F421" s="32">
        <v>1</v>
      </c>
      <c r="G421" s="32"/>
      <c r="H421" s="66" t="str">
        <f>'BID II'!B751</f>
        <v>Belanaja Barang Pelengkapan</v>
      </c>
      <c r="I421" s="32"/>
      <c r="J421" s="66"/>
      <c r="K421" s="1797" t="s">
        <v>3030</v>
      </c>
      <c r="L421" s="32"/>
      <c r="M421" s="32"/>
      <c r="N421" s="32"/>
      <c r="O421" s="32"/>
      <c r="P421" s="32"/>
      <c r="Q421" s="32"/>
      <c r="R421" s="32"/>
      <c r="S421" s="32"/>
      <c r="T421" s="32"/>
      <c r="U421" s="32"/>
      <c r="V421" s="32"/>
      <c r="W421" s="32"/>
      <c r="X421" s="1750">
        <f t="shared" si="14"/>
        <v>0</v>
      </c>
      <c r="Y421" s="175">
        <f t="shared" si="13"/>
        <v>0</v>
      </c>
    </row>
    <row r="422" spans="1:25" ht="30" x14ac:dyDescent="0.25">
      <c r="A422" s="32"/>
      <c r="B422" s="32"/>
      <c r="C422" s="32"/>
      <c r="D422" s="32"/>
      <c r="E422" s="32"/>
      <c r="F422" s="32"/>
      <c r="G422" s="1340" t="s">
        <v>2688</v>
      </c>
      <c r="H422" s="66" t="str">
        <f>'BID II'!B752</f>
        <v>Perlangakapan Alat Tulis Kantor dan Benda POS</v>
      </c>
      <c r="I422" s="174">
        <f>'BID II'!F753</f>
        <v>80000</v>
      </c>
      <c r="J422" s="66" t="s">
        <v>2625</v>
      </c>
      <c r="K422" s="1797" t="s">
        <v>3030</v>
      </c>
      <c r="L422" s="32"/>
      <c r="M422" s="32"/>
      <c r="N422" s="32"/>
      <c r="O422" s="32"/>
      <c r="P422" s="32"/>
      <c r="Q422" s="497">
        <v>80000</v>
      </c>
      <c r="R422" s="32"/>
      <c r="S422" s="32"/>
      <c r="T422" s="32"/>
      <c r="U422" s="32"/>
      <c r="V422" s="32"/>
      <c r="W422" s="32"/>
      <c r="X422" s="1750">
        <f t="shared" si="14"/>
        <v>80000</v>
      </c>
      <c r="Y422" s="175">
        <f t="shared" si="13"/>
        <v>0</v>
      </c>
    </row>
    <row r="423" spans="1:25" ht="30" x14ac:dyDescent="0.25">
      <c r="A423" s="32"/>
      <c r="B423" s="32"/>
      <c r="C423" s="32"/>
      <c r="D423" s="32"/>
      <c r="E423" s="32"/>
      <c r="F423" s="32"/>
      <c r="G423" s="1340" t="s">
        <v>2705</v>
      </c>
      <c r="H423" s="32" t="str">
        <f>'BID II'!B755</f>
        <v>Belanja Barang Konsumsi</v>
      </c>
      <c r="I423" s="174">
        <f>SUM('BID II'!F756)</f>
        <v>1800000</v>
      </c>
      <c r="J423" s="66" t="s">
        <v>2625</v>
      </c>
      <c r="K423" s="1797" t="s">
        <v>3030</v>
      </c>
      <c r="L423" s="32"/>
      <c r="M423" s="32"/>
      <c r="N423" s="32"/>
      <c r="O423" s="32"/>
      <c r="P423" s="32"/>
      <c r="Q423" s="497">
        <v>1800000</v>
      </c>
      <c r="R423" s="32"/>
      <c r="S423" s="32"/>
      <c r="T423" s="32"/>
      <c r="U423" s="32"/>
      <c r="V423" s="32"/>
      <c r="W423" s="32"/>
      <c r="X423" s="1750">
        <f t="shared" si="14"/>
        <v>1800000</v>
      </c>
      <c r="Y423" s="175">
        <f t="shared" si="13"/>
        <v>0</v>
      </c>
    </row>
    <row r="424" spans="1:25" ht="30" x14ac:dyDescent="0.25">
      <c r="A424" s="32"/>
      <c r="B424" s="32"/>
      <c r="C424" s="32"/>
      <c r="D424" s="32"/>
      <c r="E424" s="32"/>
      <c r="F424" s="32"/>
      <c r="G424" s="32">
        <v>90</v>
      </c>
      <c r="H424" s="66" t="str">
        <f>'BID II'!B758</f>
        <v>Belanja Upakara, Upacara Dan Aci-Aci</v>
      </c>
      <c r="I424" s="174">
        <f>SUM('BID II'!F759:F760)</f>
        <v>480000</v>
      </c>
      <c r="J424" s="66" t="s">
        <v>2625</v>
      </c>
      <c r="K424" s="1797" t="s">
        <v>3030</v>
      </c>
      <c r="L424" s="32"/>
      <c r="M424" s="32"/>
      <c r="N424" s="32"/>
      <c r="O424" s="32"/>
      <c r="P424" s="32"/>
      <c r="Q424" s="497">
        <v>480000</v>
      </c>
      <c r="R424" s="32"/>
      <c r="S424" s="32"/>
      <c r="T424" s="32"/>
      <c r="U424" s="32"/>
      <c r="V424" s="32"/>
      <c r="W424" s="32"/>
      <c r="X424" s="1750">
        <f t="shared" si="14"/>
        <v>480000</v>
      </c>
      <c r="Y424" s="175">
        <f t="shared" si="13"/>
        <v>0</v>
      </c>
    </row>
    <row r="425" spans="1:25" ht="30" x14ac:dyDescent="0.25">
      <c r="A425" s="32"/>
      <c r="B425" s="32"/>
      <c r="C425" s="32"/>
      <c r="D425" s="32">
        <v>5</v>
      </c>
      <c r="E425" s="32">
        <v>2</v>
      </c>
      <c r="F425" s="32">
        <v>2</v>
      </c>
      <c r="G425" s="32"/>
      <c r="H425" s="66" t="str">
        <f>'BID II'!B762</f>
        <v>Belanja Jasa Honorarium</v>
      </c>
      <c r="I425" s="32"/>
      <c r="J425" s="66"/>
      <c r="K425" s="1797" t="s">
        <v>3030</v>
      </c>
      <c r="L425" s="32"/>
      <c r="M425" s="32"/>
      <c r="N425" s="32"/>
      <c r="O425" s="32"/>
      <c r="P425" s="32"/>
      <c r="Q425" s="497"/>
      <c r="R425" s="32"/>
      <c r="S425" s="32"/>
      <c r="T425" s="32"/>
      <c r="U425" s="32"/>
      <c r="V425" s="32"/>
      <c r="W425" s="32"/>
      <c r="X425" s="1750">
        <f t="shared" si="14"/>
        <v>0</v>
      </c>
      <c r="Y425" s="175">
        <f t="shared" si="13"/>
        <v>0</v>
      </c>
    </row>
    <row r="426" spans="1:25" ht="30" x14ac:dyDescent="0.25">
      <c r="A426" s="32"/>
      <c r="B426" s="32"/>
      <c r="C426" s="32"/>
      <c r="D426" s="32"/>
      <c r="E426" s="32"/>
      <c r="F426" s="32"/>
      <c r="G426" s="1340" t="s">
        <v>2706</v>
      </c>
      <c r="H426" s="66" t="str">
        <f>'BID II'!B763</f>
        <v>Belanja Jasa Honorarium Narasumber</v>
      </c>
      <c r="I426" s="174">
        <f>'BID II'!F763</f>
        <v>600000</v>
      </c>
      <c r="J426" s="66" t="s">
        <v>2625</v>
      </c>
      <c r="K426" s="1797" t="s">
        <v>3030</v>
      </c>
      <c r="L426" s="32"/>
      <c r="M426" s="32"/>
      <c r="N426" s="32"/>
      <c r="O426" s="32"/>
      <c r="P426" s="32"/>
      <c r="Q426" s="497">
        <v>600000</v>
      </c>
      <c r="R426" s="32"/>
      <c r="S426" s="32"/>
      <c r="T426" s="32"/>
      <c r="U426" s="32"/>
      <c r="V426" s="32"/>
      <c r="W426" s="32"/>
      <c r="X426" s="1750">
        <f t="shared" si="14"/>
        <v>600000</v>
      </c>
      <c r="Y426" s="175">
        <f t="shared" ref="Y426:Y489" si="15">X426-I426</f>
        <v>0</v>
      </c>
    </row>
    <row r="427" spans="1:25" ht="30" x14ac:dyDescent="0.25">
      <c r="A427" s="32"/>
      <c r="B427" s="32"/>
      <c r="C427" s="32"/>
      <c r="D427" s="32">
        <v>5</v>
      </c>
      <c r="E427" s="32">
        <v>2</v>
      </c>
      <c r="F427" s="32">
        <v>4</v>
      </c>
      <c r="G427" s="1340"/>
      <c r="H427" s="66" t="str">
        <f>'BID II'!B765</f>
        <v>Belanja Jasa Sewa</v>
      </c>
      <c r="I427" s="174"/>
      <c r="J427" s="66"/>
      <c r="K427" s="1797" t="s">
        <v>3030</v>
      </c>
      <c r="L427" s="32"/>
      <c r="M427" s="32"/>
      <c r="N427" s="32"/>
      <c r="O427" s="32"/>
      <c r="P427" s="32"/>
      <c r="Q427" s="497"/>
      <c r="R427" s="32"/>
      <c r="S427" s="32"/>
      <c r="T427" s="32"/>
      <c r="U427" s="32"/>
      <c r="V427" s="32"/>
      <c r="W427" s="32"/>
      <c r="X427" s="1750">
        <f t="shared" si="14"/>
        <v>0</v>
      </c>
      <c r="Y427" s="175">
        <f t="shared" si="15"/>
        <v>0</v>
      </c>
    </row>
    <row r="428" spans="1:25" ht="30" x14ac:dyDescent="0.25">
      <c r="A428" s="32"/>
      <c r="B428" s="32"/>
      <c r="C428" s="32"/>
      <c r="D428" s="32"/>
      <c r="E428" s="32"/>
      <c r="F428" s="32"/>
      <c r="G428" s="1340" t="s">
        <v>2703</v>
      </c>
      <c r="H428" s="66" t="str">
        <f>'BID II'!B766</f>
        <v>Belanja Jasa Sewa Mobilitas</v>
      </c>
      <c r="I428" s="174">
        <f>'BID II'!F767</f>
        <v>2000000</v>
      </c>
      <c r="J428" s="66" t="s">
        <v>2620</v>
      </c>
      <c r="K428" s="1797" t="s">
        <v>3030</v>
      </c>
      <c r="L428" s="32"/>
      <c r="M428" s="32"/>
      <c r="N428" s="32"/>
      <c r="O428" s="32"/>
      <c r="P428" s="32"/>
      <c r="Q428" s="497">
        <v>2000000</v>
      </c>
      <c r="R428" s="32"/>
      <c r="S428" s="32"/>
      <c r="T428" s="32"/>
      <c r="U428" s="32"/>
      <c r="V428" s="32"/>
      <c r="W428" s="32"/>
      <c r="X428" s="1750">
        <f t="shared" si="14"/>
        <v>2000000</v>
      </c>
      <c r="Y428" s="175">
        <f t="shared" si="15"/>
        <v>0</v>
      </c>
    </row>
    <row r="429" spans="1:25" ht="30" x14ac:dyDescent="0.25">
      <c r="A429" s="32"/>
      <c r="B429" s="32"/>
      <c r="C429" s="32"/>
      <c r="D429" s="32"/>
      <c r="E429" s="32"/>
      <c r="F429" s="32"/>
      <c r="G429" s="32"/>
      <c r="H429" s="66" t="str">
        <f>'BID II'!B768</f>
        <v>Kegiatan</v>
      </c>
      <c r="I429" s="32"/>
      <c r="J429" s="66"/>
      <c r="K429" s="1797" t="s">
        <v>3030</v>
      </c>
      <c r="L429" s="32"/>
      <c r="M429" s="32"/>
      <c r="N429" s="32"/>
      <c r="O429" s="32"/>
      <c r="P429" s="32"/>
      <c r="Q429" s="497"/>
      <c r="R429" s="32"/>
      <c r="S429" s="32"/>
      <c r="T429" s="32"/>
      <c r="U429" s="32"/>
      <c r="V429" s="32"/>
      <c r="W429" s="32"/>
      <c r="X429" s="1750">
        <f t="shared" si="14"/>
        <v>0</v>
      </c>
      <c r="Y429" s="175">
        <f t="shared" si="15"/>
        <v>0</v>
      </c>
    </row>
    <row r="430" spans="1:25" ht="30" x14ac:dyDescent="0.25">
      <c r="A430" s="32"/>
      <c r="B430" s="32"/>
      <c r="C430" s="32"/>
      <c r="D430" s="32"/>
      <c r="E430" s="32"/>
      <c r="F430" s="32"/>
      <c r="G430" s="1340" t="s">
        <v>2705</v>
      </c>
      <c r="H430" s="66" t="str">
        <f>'BID II'!B769</f>
        <v>Belanja Perlengkapan Barang Konsumsi</v>
      </c>
      <c r="I430" s="174">
        <f>'BID II'!F770</f>
        <v>1440000</v>
      </c>
      <c r="J430" s="66" t="s">
        <v>2625</v>
      </c>
      <c r="K430" s="1797" t="s">
        <v>3030</v>
      </c>
      <c r="L430" s="32"/>
      <c r="M430" s="32"/>
      <c r="N430" s="32"/>
      <c r="O430" s="32"/>
      <c r="P430" s="32"/>
      <c r="Q430" s="497">
        <v>1440000</v>
      </c>
      <c r="R430" s="32"/>
      <c r="S430" s="32"/>
      <c r="T430" s="32"/>
      <c r="U430" s="32"/>
      <c r="V430" s="32"/>
      <c r="W430" s="32"/>
      <c r="X430" s="1750">
        <f t="shared" si="14"/>
        <v>1440000</v>
      </c>
      <c r="Y430" s="175">
        <f t="shared" si="15"/>
        <v>0</v>
      </c>
    </row>
    <row r="431" spans="1:25" ht="30" x14ac:dyDescent="0.25">
      <c r="A431" s="32"/>
      <c r="B431" s="32"/>
      <c r="C431" s="32"/>
      <c r="D431" s="32"/>
      <c r="E431" s="32"/>
      <c r="F431" s="32"/>
      <c r="G431" s="1340" t="s">
        <v>2708</v>
      </c>
      <c r="H431" s="66" t="str">
        <f>'BID II'!B771</f>
        <v>Belanja Bahan/Material</v>
      </c>
      <c r="I431" s="174">
        <f>SUM('BID II'!F772:F776)</f>
        <v>7434087.0899999999</v>
      </c>
      <c r="J431" s="66" t="s">
        <v>2625</v>
      </c>
      <c r="K431" s="1797" t="s">
        <v>3030</v>
      </c>
      <c r="L431" s="32"/>
      <c r="M431" s="32"/>
      <c r="N431" s="32"/>
      <c r="O431" s="32"/>
      <c r="P431" s="32"/>
      <c r="Q431" s="497">
        <v>7434087.0899999999</v>
      </c>
      <c r="R431" s="32"/>
      <c r="S431" s="32"/>
      <c r="T431" s="32"/>
      <c r="U431" s="32"/>
      <c r="V431" s="32"/>
      <c r="W431" s="32"/>
      <c r="X431" s="1750">
        <f t="shared" si="14"/>
        <v>7434087.0899999999</v>
      </c>
      <c r="Y431" s="175">
        <f t="shared" si="15"/>
        <v>0</v>
      </c>
    </row>
    <row r="432" spans="1:25" ht="30" x14ac:dyDescent="0.25">
      <c r="A432" s="32"/>
      <c r="B432" s="32"/>
      <c r="C432" s="32"/>
      <c r="D432" s="32"/>
      <c r="E432" s="32"/>
      <c r="F432" s="32"/>
      <c r="G432" s="1340" t="s">
        <v>2707</v>
      </c>
      <c r="H432" s="66" t="str">
        <f>'BID II'!B778</f>
        <v>Belanja Bendera/Umbul - umbul Spanduk</v>
      </c>
      <c r="I432" s="174">
        <f>'BID II'!F779</f>
        <v>90000</v>
      </c>
      <c r="J432" s="66" t="s">
        <v>2625</v>
      </c>
      <c r="K432" s="1797" t="s">
        <v>3030</v>
      </c>
      <c r="L432" s="32"/>
      <c r="M432" s="32"/>
      <c r="N432" s="32"/>
      <c r="O432" s="32"/>
      <c r="P432" s="32"/>
      <c r="Q432" s="497">
        <v>90000</v>
      </c>
      <c r="R432" s="32"/>
      <c r="S432" s="32"/>
      <c r="T432" s="32"/>
      <c r="U432" s="32"/>
      <c r="V432" s="32"/>
      <c r="W432" s="32"/>
      <c r="X432" s="1750">
        <f t="shared" si="14"/>
        <v>90000</v>
      </c>
      <c r="Y432" s="175">
        <f t="shared" si="15"/>
        <v>0</v>
      </c>
    </row>
    <row r="433" spans="1:25" ht="30" x14ac:dyDescent="0.25">
      <c r="A433" s="32"/>
      <c r="B433" s="32"/>
      <c r="C433" s="32"/>
      <c r="D433" s="32">
        <v>5</v>
      </c>
      <c r="E433" s="32">
        <v>2</v>
      </c>
      <c r="F433" s="32">
        <v>2</v>
      </c>
      <c r="G433" s="32"/>
      <c r="H433" s="66" t="str">
        <f>'BID II'!B781</f>
        <v>Belanja Jasa Honorarium</v>
      </c>
      <c r="I433" s="32"/>
      <c r="J433" s="66"/>
      <c r="K433" s="1797" t="s">
        <v>3030</v>
      </c>
      <c r="L433" s="32"/>
      <c r="M433" s="32"/>
      <c r="N433" s="32"/>
      <c r="O433" s="32"/>
      <c r="P433" s="32"/>
      <c r="Q433" s="497"/>
      <c r="R433" s="32"/>
      <c r="S433" s="32"/>
      <c r="T433" s="32"/>
      <c r="U433" s="32"/>
      <c r="V433" s="32"/>
      <c r="W433" s="32"/>
      <c r="X433" s="1750">
        <f t="shared" si="14"/>
        <v>0</v>
      </c>
      <c r="Y433" s="175">
        <f t="shared" si="15"/>
        <v>0</v>
      </c>
    </row>
    <row r="434" spans="1:25" ht="30" x14ac:dyDescent="0.25">
      <c r="A434" s="32"/>
      <c r="B434" s="32"/>
      <c r="C434" s="32"/>
      <c r="D434" s="32"/>
      <c r="E434" s="32"/>
      <c r="F434" s="32"/>
      <c r="G434" s="1340" t="s">
        <v>2706</v>
      </c>
      <c r="H434" s="66" t="str">
        <f>'BID II'!B782</f>
        <v>Belanja Honor Petugas</v>
      </c>
      <c r="I434" s="174">
        <f>'BID II'!F783</f>
        <v>6000000</v>
      </c>
      <c r="J434" s="66" t="s">
        <v>2625</v>
      </c>
      <c r="K434" s="1797" t="s">
        <v>3030</v>
      </c>
      <c r="L434" s="32"/>
      <c r="M434" s="32"/>
      <c r="N434" s="32"/>
      <c r="O434" s="32"/>
      <c r="P434" s="32"/>
      <c r="Q434" s="497">
        <v>6000000</v>
      </c>
      <c r="R434" s="32"/>
      <c r="S434" s="32"/>
      <c r="T434" s="32"/>
      <c r="U434" s="32"/>
      <c r="V434" s="32"/>
      <c r="W434" s="32"/>
      <c r="X434" s="1750">
        <f t="shared" si="14"/>
        <v>6000000</v>
      </c>
      <c r="Y434" s="175">
        <f t="shared" si="15"/>
        <v>0</v>
      </c>
    </row>
    <row r="435" spans="1:25" ht="60" x14ac:dyDescent="0.25">
      <c r="A435" s="1344">
        <v>2</v>
      </c>
      <c r="B435" s="1344">
        <v>2</v>
      </c>
      <c r="C435" s="1346" t="s">
        <v>2703</v>
      </c>
      <c r="D435" s="1344"/>
      <c r="E435" s="1344"/>
      <c r="F435" s="1344"/>
      <c r="G435" s="1344"/>
      <c r="H435" s="1345" t="str">
        <f>'BID II'!B797</f>
        <v>: Penyuluhan dan Pelatihan Bidang Kesehatan (Penyuluhan KB)</v>
      </c>
      <c r="I435" s="1347">
        <f>SUM(I436:I446)</f>
        <v>17635000</v>
      </c>
      <c r="J435" s="1345" t="s">
        <v>2625</v>
      </c>
      <c r="K435" s="1347" t="s">
        <v>3031</v>
      </c>
      <c r="L435" s="1344"/>
      <c r="M435" s="1344"/>
      <c r="N435" s="1344"/>
      <c r="O435" s="1344"/>
      <c r="P435" s="1344"/>
      <c r="Q435" s="1344"/>
      <c r="R435" s="1344"/>
      <c r="S435" s="1344"/>
      <c r="T435" s="1344"/>
      <c r="U435" s="1344"/>
      <c r="V435" s="1344"/>
      <c r="W435" s="1344"/>
      <c r="X435" s="1353">
        <f t="shared" si="14"/>
        <v>0</v>
      </c>
      <c r="Y435" s="175">
        <f t="shared" si="15"/>
        <v>-17635000</v>
      </c>
    </row>
    <row r="436" spans="1:25" x14ac:dyDescent="0.25">
      <c r="A436" s="32"/>
      <c r="B436" s="32"/>
      <c r="C436" s="32"/>
      <c r="D436" s="32">
        <v>5</v>
      </c>
      <c r="E436" s="32">
        <v>2</v>
      </c>
      <c r="F436" s="32"/>
      <c r="G436" s="32"/>
      <c r="H436" s="66" t="str">
        <f>'BID II'!B802</f>
        <v>Belanja Barang Jasa</v>
      </c>
      <c r="I436" s="32"/>
      <c r="J436" s="66"/>
      <c r="K436" s="497" t="s">
        <v>3031</v>
      </c>
      <c r="L436" s="32"/>
      <c r="M436" s="32"/>
      <c r="N436" s="32"/>
      <c r="O436" s="32"/>
      <c r="P436" s="32"/>
      <c r="Q436" s="32"/>
      <c r="R436" s="32"/>
      <c r="S436" s="32"/>
      <c r="T436" s="32"/>
      <c r="U436" s="32"/>
      <c r="V436" s="32"/>
      <c r="W436" s="32"/>
      <c r="X436" s="1750">
        <f t="shared" si="14"/>
        <v>0</v>
      </c>
      <c r="Y436" s="175">
        <f t="shared" si="15"/>
        <v>0</v>
      </c>
    </row>
    <row r="437" spans="1:25" ht="30" x14ac:dyDescent="0.25">
      <c r="A437" s="32"/>
      <c r="B437" s="32"/>
      <c r="C437" s="32"/>
      <c r="D437" s="32"/>
      <c r="E437" s="32"/>
      <c r="F437" s="32">
        <v>1</v>
      </c>
      <c r="G437" s="32"/>
      <c r="H437" s="66" t="str">
        <f>'BID II'!B803</f>
        <v>Belanja Barang Perlengkapan</v>
      </c>
      <c r="I437" s="32"/>
      <c r="J437" s="66"/>
      <c r="K437" s="497" t="s">
        <v>3031</v>
      </c>
      <c r="L437" s="32"/>
      <c r="M437" s="32"/>
      <c r="N437" s="32"/>
      <c r="O437" s="32"/>
      <c r="P437" s="32"/>
      <c r="Q437" s="32"/>
      <c r="R437" s="32"/>
      <c r="S437" s="32"/>
      <c r="T437" s="32"/>
      <c r="U437" s="32"/>
      <c r="V437" s="32"/>
      <c r="W437" s="32"/>
      <c r="X437" s="1750">
        <f t="shared" si="14"/>
        <v>0</v>
      </c>
      <c r="Y437" s="175">
        <f t="shared" si="15"/>
        <v>0</v>
      </c>
    </row>
    <row r="438" spans="1:25" ht="30" x14ac:dyDescent="0.25">
      <c r="A438" s="32"/>
      <c r="B438" s="32"/>
      <c r="C438" s="32"/>
      <c r="D438" s="32"/>
      <c r="E438" s="32"/>
      <c r="F438" s="32"/>
      <c r="G438" s="1340" t="s">
        <v>2705</v>
      </c>
      <c r="H438" s="66" t="str">
        <f>'BID II'!B804</f>
        <v>Belanja Perlengkapan Barang Konsumsi</v>
      </c>
      <c r="I438" s="174">
        <f>SUM('BID II'!F805:F808)</f>
        <v>1950000</v>
      </c>
      <c r="J438" s="66" t="s">
        <v>2625</v>
      </c>
      <c r="K438" s="497" t="s">
        <v>3031</v>
      </c>
      <c r="L438" s="32"/>
      <c r="M438" s="32"/>
      <c r="N438" s="32"/>
      <c r="O438" s="32"/>
      <c r="P438" s="32"/>
      <c r="Q438" s="32"/>
      <c r="R438" s="497">
        <v>1950000</v>
      </c>
      <c r="S438" s="32"/>
      <c r="T438" s="32"/>
      <c r="U438" s="32"/>
      <c r="V438" s="32"/>
      <c r="W438" s="32"/>
      <c r="X438" s="1750">
        <f t="shared" si="14"/>
        <v>1950000</v>
      </c>
      <c r="Y438" s="175">
        <f t="shared" si="15"/>
        <v>0</v>
      </c>
    </row>
    <row r="439" spans="1:25" ht="30" x14ac:dyDescent="0.25">
      <c r="A439" s="32"/>
      <c r="B439" s="32"/>
      <c r="C439" s="32"/>
      <c r="D439" s="32"/>
      <c r="E439" s="32"/>
      <c r="F439" s="32"/>
      <c r="G439" s="1340" t="s">
        <v>2707</v>
      </c>
      <c r="H439" s="66" t="str">
        <f>'BID II'!B810</f>
        <v>Belanja Bendera/ Umbul-umbul/ Spanduk</v>
      </c>
      <c r="I439" s="174">
        <f>'BID II'!F811</f>
        <v>90000</v>
      </c>
      <c r="J439" s="66" t="s">
        <v>2625</v>
      </c>
      <c r="K439" s="497" t="s">
        <v>3031</v>
      </c>
      <c r="L439" s="32"/>
      <c r="M439" s="32"/>
      <c r="N439" s="32"/>
      <c r="O439" s="32"/>
      <c r="P439" s="32"/>
      <c r="Q439" s="32"/>
      <c r="R439" s="497">
        <v>90000</v>
      </c>
      <c r="S439" s="32"/>
      <c r="T439" s="32"/>
      <c r="U439" s="32"/>
      <c r="V439" s="32"/>
      <c r="W439" s="32"/>
      <c r="X439" s="1750">
        <f t="shared" si="14"/>
        <v>90000</v>
      </c>
      <c r="Y439" s="175">
        <f t="shared" si="15"/>
        <v>0</v>
      </c>
    </row>
    <row r="440" spans="1:25" ht="30" x14ac:dyDescent="0.25">
      <c r="A440" s="32"/>
      <c r="B440" s="32"/>
      <c r="C440" s="32"/>
      <c r="D440" s="32"/>
      <c r="E440" s="32"/>
      <c r="F440" s="32"/>
      <c r="G440" s="32">
        <v>90</v>
      </c>
      <c r="H440" s="66" t="str">
        <f>'BID II'!B813</f>
        <v>Belanja Upakara, Upacara Dan Aci-Aci</v>
      </c>
      <c r="I440" s="174">
        <f>SUM('BID II'!F814:F817)</f>
        <v>195000</v>
      </c>
      <c r="J440" s="66" t="s">
        <v>2625</v>
      </c>
      <c r="K440" s="497" t="s">
        <v>3031</v>
      </c>
      <c r="L440" s="32"/>
      <c r="M440" s="32"/>
      <c r="N440" s="32"/>
      <c r="O440" s="32"/>
      <c r="P440" s="32"/>
      <c r="Q440" s="32"/>
      <c r="R440" s="497">
        <v>195000</v>
      </c>
      <c r="S440" s="32"/>
      <c r="T440" s="32"/>
      <c r="U440" s="32"/>
      <c r="V440" s="32"/>
      <c r="W440" s="32"/>
      <c r="X440" s="1750">
        <f t="shared" si="14"/>
        <v>195000</v>
      </c>
      <c r="Y440" s="175">
        <f t="shared" si="15"/>
        <v>0</v>
      </c>
    </row>
    <row r="441" spans="1:25" x14ac:dyDescent="0.25">
      <c r="A441" s="32"/>
      <c r="B441" s="32"/>
      <c r="C441" s="32"/>
      <c r="D441" s="32">
        <v>5</v>
      </c>
      <c r="E441" s="32">
        <v>2</v>
      </c>
      <c r="F441" s="32">
        <v>2</v>
      </c>
      <c r="G441" s="32"/>
      <c r="H441" s="66" t="str">
        <f>'BID II'!B819</f>
        <v>Belanja Jasa Honorarium</v>
      </c>
      <c r="I441" s="32"/>
      <c r="J441" s="66"/>
      <c r="K441" s="497" t="s">
        <v>3031</v>
      </c>
      <c r="L441" s="32"/>
      <c r="M441" s="32"/>
      <c r="N441" s="32"/>
      <c r="O441" s="32"/>
      <c r="P441" s="32"/>
      <c r="Q441" s="32"/>
      <c r="R441" s="497"/>
      <c r="S441" s="32"/>
      <c r="T441" s="32"/>
      <c r="U441" s="32"/>
      <c r="V441" s="32"/>
      <c r="W441" s="32"/>
      <c r="X441" s="1750">
        <f t="shared" si="14"/>
        <v>0</v>
      </c>
      <c r="Y441" s="175">
        <f t="shared" si="15"/>
        <v>0</v>
      </c>
    </row>
    <row r="442" spans="1:25" ht="45" x14ac:dyDescent="0.25">
      <c r="A442" s="32"/>
      <c r="B442" s="32"/>
      <c r="C442" s="32"/>
      <c r="D442" s="32"/>
      <c r="E442" s="32"/>
      <c r="F442" s="32"/>
      <c r="G442" s="1340" t="s">
        <v>2688</v>
      </c>
      <c r="H442" s="66" t="str">
        <f>'BID II'!B820</f>
        <v>Belanja Jasa Honorarium Tim yang Melaksanakan Kegiatan (TPK )</v>
      </c>
      <c r="I442" s="174">
        <f>SUM('BID II'!F821:F823)</f>
        <v>1150000</v>
      </c>
      <c r="J442" s="66" t="s">
        <v>2625</v>
      </c>
      <c r="K442" s="497" t="s">
        <v>3031</v>
      </c>
      <c r="L442" s="32"/>
      <c r="M442" s="32"/>
      <c r="N442" s="32"/>
      <c r="O442" s="32"/>
      <c r="P442" s="32"/>
      <c r="Q442" s="32"/>
      <c r="R442" s="497">
        <v>1150000</v>
      </c>
      <c r="S442" s="32"/>
      <c r="T442" s="32"/>
      <c r="U442" s="32"/>
      <c r="V442" s="32"/>
      <c r="W442" s="32"/>
      <c r="X442" s="1750">
        <f t="shared" si="14"/>
        <v>1150000</v>
      </c>
      <c r="Y442" s="175">
        <f t="shared" si="15"/>
        <v>0</v>
      </c>
    </row>
    <row r="443" spans="1:25" ht="60" x14ac:dyDescent="0.25">
      <c r="A443" s="32"/>
      <c r="B443" s="32"/>
      <c r="C443" s="32"/>
      <c r="D443" s="32"/>
      <c r="E443" s="32"/>
      <c r="F443" s="32"/>
      <c r="G443" s="1340" t="s">
        <v>2704</v>
      </c>
      <c r="H443" s="66" t="str">
        <f>'BID II'!B825</f>
        <v>Belanja Jasa Honorarium Ahli/ Profesi/Konsultan/Narasumber</v>
      </c>
      <c r="I443" s="174">
        <f>'BID II'!F826</f>
        <v>600000</v>
      </c>
      <c r="J443" s="66" t="s">
        <v>2625</v>
      </c>
      <c r="K443" s="497" t="s">
        <v>3031</v>
      </c>
      <c r="L443" s="32"/>
      <c r="M443" s="32"/>
      <c r="N443" s="32"/>
      <c r="O443" s="32"/>
      <c r="P443" s="32"/>
      <c r="Q443" s="32"/>
      <c r="R443" s="497">
        <v>600000</v>
      </c>
      <c r="S443" s="32"/>
      <c r="T443" s="32"/>
      <c r="U443" s="32"/>
      <c r="V443" s="32"/>
      <c r="W443" s="32"/>
      <c r="X443" s="1750">
        <f t="shared" si="14"/>
        <v>600000</v>
      </c>
      <c r="Y443" s="175">
        <f t="shared" si="15"/>
        <v>0</v>
      </c>
    </row>
    <row r="444" spans="1:25" ht="30" x14ac:dyDescent="0.25">
      <c r="A444" s="32"/>
      <c r="B444" s="32"/>
      <c r="C444" s="32"/>
      <c r="D444" s="32"/>
      <c r="E444" s="32"/>
      <c r="F444" s="32"/>
      <c r="G444" s="1340" t="s">
        <v>2706</v>
      </c>
      <c r="H444" s="66" t="str">
        <f>'BID II'!B828</f>
        <v>Belanja Jasa Honorarium Petugas</v>
      </c>
      <c r="I444" s="174">
        <f>'BID II'!F829</f>
        <v>200000</v>
      </c>
      <c r="J444" s="66" t="s">
        <v>2625</v>
      </c>
      <c r="K444" s="497" t="s">
        <v>3031</v>
      </c>
      <c r="L444" s="32"/>
      <c r="M444" s="32"/>
      <c r="N444" s="32"/>
      <c r="O444" s="32"/>
      <c r="P444" s="32"/>
      <c r="Q444" s="32"/>
      <c r="R444" s="497">
        <v>200000</v>
      </c>
      <c r="S444" s="32"/>
      <c r="T444" s="32"/>
      <c r="U444" s="32"/>
      <c r="V444" s="32"/>
      <c r="W444" s="32"/>
      <c r="X444" s="1750">
        <f t="shared" si="14"/>
        <v>200000</v>
      </c>
      <c r="Y444" s="175">
        <f t="shared" si="15"/>
        <v>0</v>
      </c>
    </row>
    <row r="445" spans="1:25" x14ac:dyDescent="0.25">
      <c r="A445" s="32"/>
      <c r="B445" s="32"/>
      <c r="C445" s="32"/>
      <c r="D445" s="32">
        <v>5</v>
      </c>
      <c r="E445" s="32">
        <v>2</v>
      </c>
      <c r="F445" s="32">
        <v>4</v>
      </c>
      <c r="G445" s="32"/>
      <c r="H445" s="66" t="str">
        <f>'BID II'!B831</f>
        <v>Belanja Jasa Sewa</v>
      </c>
      <c r="I445" s="32"/>
      <c r="J445" s="66"/>
      <c r="K445" s="497" t="s">
        <v>3031</v>
      </c>
      <c r="L445" s="32"/>
      <c r="M445" s="32"/>
      <c r="N445" s="32"/>
      <c r="O445" s="32"/>
      <c r="P445" s="32"/>
      <c r="Q445" s="32"/>
      <c r="R445" s="497"/>
      <c r="S445" s="32"/>
      <c r="T445" s="32"/>
      <c r="U445" s="32"/>
      <c r="V445" s="32"/>
      <c r="W445" s="32"/>
      <c r="X445" s="1750">
        <f t="shared" si="14"/>
        <v>0</v>
      </c>
      <c r="Y445" s="175">
        <f t="shared" si="15"/>
        <v>0</v>
      </c>
    </row>
    <row r="446" spans="1:25" ht="30" x14ac:dyDescent="0.25">
      <c r="A446" s="32"/>
      <c r="B446" s="32"/>
      <c r="C446" s="32"/>
      <c r="D446" s="32"/>
      <c r="E446" s="32"/>
      <c r="F446" s="32"/>
      <c r="G446" s="1340" t="s">
        <v>2702</v>
      </c>
      <c r="H446" s="66" t="str">
        <f>'BID II'!B832</f>
        <v>Belanja Jasa Sewa Sarana/Perlengkapan</v>
      </c>
      <c r="I446" s="174">
        <f>SUM('BID II'!F833:F836)</f>
        <v>13450000</v>
      </c>
      <c r="J446" s="66" t="s">
        <v>2625</v>
      </c>
      <c r="K446" s="497" t="s">
        <v>3031</v>
      </c>
      <c r="L446" s="32"/>
      <c r="M446" s="32"/>
      <c r="N446" s="32"/>
      <c r="O446" s="32"/>
      <c r="P446" s="32"/>
      <c r="Q446" s="32"/>
      <c r="R446" s="497">
        <v>13450000</v>
      </c>
      <c r="S446" s="32"/>
      <c r="T446" s="32"/>
      <c r="U446" s="32"/>
      <c r="V446" s="32"/>
      <c r="W446" s="32"/>
      <c r="X446" s="1750">
        <f t="shared" si="14"/>
        <v>13450000</v>
      </c>
      <c r="Y446" s="175">
        <f t="shared" si="15"/>
        <v>0</v>
      </c>
    </row>
    <row r="447" spans="1:25" ht="60" x14ac:dyDescent="0.25">
      <c r="A447" s="1344">
        <v>2</v>
      </c>
      <c r="B447" s="1344">
        <v>2</v>
      </c>
      <c r="C447" s="1346" t="s">
        <v>2703</v>
      </c>
      <c r="D447" s="1344"/>
      <c r="E447" s="1344"/>
      <c r="F447" s="1344"/>
      <c r="G447" s="1344"/>
      <c r="H447" s="1345" t="str">
        <f>'BID II'!B852</f>
        <v>: Penyuluhan dan Pelatihan Bidang Kesehatan(Sosialisasi Germas)</v>
      </c>
      <c r="I447" s="1347">
        <f>SUM(I448:I452)</f>
        <v>2070000</v>
      </c>
      <c r="J447" s="1345" t="s">
        <v>2625</v>
      </c>
      <c r="K447" s="1796" t="s">
        <v>3030</v>
      </c>
      <c r="L447" s="1344"/>
      <c r="M447" s="1344"/>
      <c r="N447" s="1344"/>
      <c r="O447" s="1344"/>
      <c r="P447" s="1344"/>
      <c r="Q447" s="1344"/>
      <c r="R447" s="1344"/>
      <c r="S447" s="1344"/>
      <c r="T447" s="1344"/>
      <c r="U447" s="1344"/>
      <c r="V447" s="1344"/>
      <c r="W447" s="1344"/>
      <c r="X447" s="1353">
        <f t="shared" si="14"/>
        <v>0</v>
      </c>
      <c r="Y447" s="175">
        <f t="shared" si="15"/>
        <v>-2070000</v>
      </c>
    </row>
    <row r="448" spans="1:25" ht="30" x14ac:dyDescent="0.25">
      <c r="A448" s="32"/>
      <c r="B448" s="32"/>
      <c r="C448" s="32"/>
      <c r="D448" s="32">
        <v>5</v>
      </c>
      <c r="E448" s="32">
        <v>2</v>
      </c>
      <c r="F448" s="32"/>
      <c r="G448" s="32"/>
      <c r="H448" s="66" t="str">
        <f>'BID II'!B857</f>
        <v>Belanja Barang Jasa</v>
      </c>
      <c r="I448" s="32"/>
      <c r="J448" s="66"/>
      <c r="K448" s="1797" t="s">
        <v>3030</v>
      </c>
      <c r="L448" s="32"/>
      <c r="M448" s="32"/>
      <c r="N448" s="32"/>
      <c r="O448" s="32"/>
      <c r="P448" s="32"/>
      <c r="Q448" s="32"/>
      <c r="R448" s="32"/>
      <c r="S448" s="32"/>
      <c r="T448" s="32"/>
      <c r="U448" s="32"/>
      <c r="V448" s="32"/>
      <c r="W448" s="32"/>
      <c r="X448" s="1750">
        <f t="shared" si="14"/>
        <v>0</v>
      </c>
      <c r="Y448" s="175">
        <f t="shared" si="15"/>
        <v>0</v>
      </c>
    </row>
    <row r="449" spans="1:25" ht="30" x14ac:dyDescent="0.25">
      <c r="A449" s="32"/>
      <c r="B449" s="32"/>
      <c r="C449" s="32"/>
      <c r="D449" s="32"/>
      <c r="E449" s="32"/>
      <c r="F449" s="32">
        <v>1</v>
      </c>
      <c r="G449" s="32"/>
      <c r="H449" s="66" t="str">
        <f>'BID II'!B858</f>
        <v>Belanja Barang Perlengkapan</v>
      </c>
      <c r="I449" s="32"/>
      <c r="J449" s="66"/>
      <c r="K449" s="1797" t="s">
        <v>3030</v>
      </c>
      <c r="L449" s="32"/>
      <c r="M449" s="32"/>
      <c r="N449" s="32"/>
      <c r="O449" s="32"/>
      <c r="P449" s="32"/>
      <c r="Q449" s="32"/>
      <c r="R449" s="32"/>
      <c r="S449" s="32"/>
      <c r="T449" s="32"/>
      <c r="U449" s="32"/>
      <c r="V449" s="32"/>
      <c r="W449" s="32"/>
      <c r="X449" s="1750">
        <f t="shared" si="14"/>
        <v>0</v>
      </c>
      <c r="Y449" s="175">
        <f t="shared" si="15"/>
        <v>0</v>
      </c>
    </row>
    <row r="450" spans="1:25" ht="30" x14ac:dyDescent="0.25">
      <c r="A450" s="32"/>
      <c r="B450" s="32"/>
      <c r="C450" s="32"/>
      <c r="D450" s="32"/>
      <c r="E450" s="32"/>
      <c r="F450" s="32"/>
      <c r="G450" s="1340" t="s">
        <v>2705</v>
      </c>
      <c r="H450" s="66" t="str">
        <f>'BID II'!B859</f>
        <v>Belanja Perlengkapan Barang Konsumsi</v>
      </c>
      <c r="I450" s="174">
        <f>'BID II'!F860</f>
        <v>1380000</v>
      </c>
      <c r="J450" s="66" t="s">
        <v>2644</v>
      </c>
      <c r="K450" s="1797" t="s">
        <v>3030</v>
      </c>
      <c r="L450" s="32"/>
      <c r="M450" s="32"/>
      <c r="N450" s="32"/>
      <c r="O450" s="32"/>
      <c r="P450" s="32"/>
      <c r="Q450" s="32"/>
      <c r="R450" s="497">
        <v>1380000</v>
      </c>
      <c r="S450" s="32"/>
      <c r="T450" s="32"/>
      <c r="U450" s="32"/>
      <c r="V450" s="32"/>
      <c r="W450" s="32"/>
      <c r="X450" s="1750">
        <f t="shared" si="14"/>
        <v>1380000</v>
      </c>
      <c r="Y450" s="175">
        <f t="shared" si="15"/>
        <v>0</v>
      </c>
    </row>
    <row r="451" spans="1:25" ht="30" x14ac:dyDescent="0.25">
      <c r="A451" s="32"/>
      <c r="B451" s="32"/>
      <c r="C451" s="32"/>
      <c r="D451" s="32"/>
      <c r="E451" s="32"/>
      <c r="F451" s="32"/>
      <c r="G451" s="1340" t="s">
        <v>2707</v>
      </c>
      <c r="H451" s="66" t="str">
        <f>'BID II'!B862</f>
        <v>Belanja Bendera/ Umbul-umbul/ Spanduk</v>
      </c>
      <c r="I451" s="174">
        <f>'BID II'!F863</f>
        <v>90000</v>
      </c>
      <c r="J451" s="66" t="s">
        <v>2644</v>
      </c>
      <c r="K451" s="1797" t="s">
        <v>3030</v>
      </c>
      <c r="L451" s="32"/>
      <c r="M451" s="32"/>
      <c r="N451" s="32"/>
      <c r="O451" s="32"/>
      <c r="P451" s="32"/>
      <c r="Q451" s="32"/>
      <c r="R451" s="497">
        <v>90000</v>
      </c>
      <c r="S451" s="32"/>
      <c r="T451" s="32"/>
      <c r="U451" s="32"/>
      <c r="V451" s="32"/>
      <c r="W451" s="32"/>
      <c r="X451" s="1750">
        <f t="shared" si="14"/>
        <v>90000</v>
      </c>
      <c r="Y451" s="175">
        <f t="shared" si="15"/>
        <v>0</v>
      </c>
    </row>
    <row r="452" spans="1:25" ht="60" x14ac:dyDescent="0.25">
      <c r="A452" s="32"/>
      <c r="B452" s="32"/>
      <c r="C452" s="32"/>
      <c r="D452" s="32">
        <v>5</v>
      </c>
      <c r="E452" s="32">
        <v>2</v>
      </c>
      <c r="F452" s="32">
        <v>2</v>
      </c>
      <c r="G452" s="1340" t="s">
        <v>2704</v>
      </c>
      <c r="H452" s="66" t="str">
        <f>'BID II'!B865</f>
        <v>Belanja Jasa Honorarium Ahli/ Profesi/Konsultan/Narasumber</v>
      </c>
      <c r="I452" s="174">
        <f>'BID II'!F866</f>
        <v>600000</v>
      </c>
      <c r="J452" s="66" t="s">
        <v>2644</v>
      </c>
      <c r="K452" s="1797" t="s">
        <v>3030</v>
      </c>
      <c r="L452" s="32"/>
      <c r="M452" s="32"/>
      <c r="N452" s="32"/>
      <c r="O452" s="32"/>
      <c r="P452" s="32"/>
      <c r="Q452" s="32"/>
      <c r="R452" s="497">
        <v>600000</v>
      </c>
      <c r="S452" s="32"/>
      <c r="T452" s="32"/>
      <c r="U452" s="32"/>
      <c r="V452" s="32"/>
      <c r="W452" s="32"/>
      <c r="X452" s="1750">
        <f t="shared" si="14"/>
        <v>600000</v>
      </c>
      <c r="Y452" s="175">
        <f t="shared" si="15"/>
        <v>0</v>
      </c>
    </row>
    <row r="453" spans="1:25" ht="60" x14ac:dyDescent="0.25">
      <c r="A453" s="1344">
        <v>2</v>
      </c>
      <c r="B453" s="1344">
        <v>2</v>
      </c>
      <c r="C453" s="1346" t="s">
        <v>2704</v>
      </c>
      <c r="D453" s="1344"/>
      <c r="E453" s="1344"/>
      <c r="F453" s="1344"/>
      <c r="G453" s="1344"/>
      <c r="H453" s="1345" t="str">
        <f>'BID II'!B882</f>
        <v>: Penyuluhan dan Pelatihan Bidang Kesehatan (Desa Siaga Kesehatan)</v>
      </c>
      <c r="I453" s="1347">
        <f>SUM(I454:I462)</f>
        <v>2592000</v>
      </c>
      <c r="J453" s="1345" t="s">
        <v>2625</v>
      </c>
      <c r="K453" s="1796" t="s">
        <v>3030</v>
      </c>
      <c r="L453" s="1344"/>
      <c r="M453" s="1344"/>
      <c r="N453" s="1344"/>
      <c r="O453" s="1344"/>
      <c r="P453" s="1344"/>
      <c r="Q453" s="1344"/>
      <c r="R453" s="1344"/>
      <c r="S453" s="1344"/>
      <c r="T453" s="1344"/>
      <c r="U453" s="1344"/>
      <c r="V453" s="1344"/>
      <c r="W453" s="1344"/>
      <c r="X453" s="1353">
        <f t="shared" si="14"/>
        <v>0</v>
      </c>
      <c r="Y453" s="175">
        <f t="shared" si="15"/>
        <v>-2592000</v>
      </c>
    </row>
    <row r="454" spans="1:25" ht="30" x14ac:dyDescent="0.25">
      <c r="A454" s="32"/>
      <c r="B454" s="32"/>
      <c r="C454" s="32"/>
      <c r="D454" s="32">
        <v>5</v>
      </c>
      <c r="E454" s="32">
        <v>2</v>
      </c>
      <c r="F454" s="32"/>
      <c r="G454" s="32"/>
      <c r="H454" s="66" t="str">
        <f>'BID II'!B887</f>
        <v>Belanja Barang Jasa</v>
      </c>
      <c r="I454" s="32"/>
      <c r="J454" s="66"/>
      <c r="K454" s="1797" t="s">
        <v>3030</v>
      </c>
      <c r="L454" s="32"/>
      <c r="M454" s="32"/>
      <c r="N454" s="32"/>
      <c r="O454" s="32"/>
      <c r="P454" s="32"/>
      <c r="Q454" s="32"/>
      <c r="R454" s="32"/>
      <c r="S454" s="32"/>
      <c r="T454" s="32"/>
      <c r="U454" s="32"/>
      <c r="V454" s="32"/>
      <c r="W454" s="32"/>
      <c r="X454" s="1750">
        <f t="shared" si="14"/>
        <v>0</v>
      </c>
      <c r="Y454" s="175">
        <f t="shared" si="15"/>
        <v>0</v>
      </c>
    </row>
    <row r="455" spans="1:25" ht="30" x14ac:dyDescent="0.25">
      <c r="A455" s="32"/>
      <c r="B455" s="32"/>
      <c r="C455" s="32"/>
      <c r="D455" s="32"/>
      <c r="E455" s="32"/>
      <c r="F455" s="32">
        <v>1</v>
      </c>
      <c r="G455" s="32"/>
      <c r="H455" s="66" t="str">
        <f>'BID II'!B888</f>
        <v>Belanja Barang Perlengkapan</v>
      </c>
      <c r="I455" s="32"/>
      <c r="J455" s="66"/>
      <c r="K455" s="1797" t="s">
        <v>3030</v>
      </c>
      <c r="L455" s="32"/>
      <c r="M455" s="32"/>
      <c r="N455" s="32"/>
      <c r="O455" s="32"/>
      <c r="P455" s="32"/>
      <c r="Q455" s="32"/>
      <c r="R455" s="32"/>
      <c r="S455" s="32"/>
      <c r="T455" s="32"/>
      <c r="U455" s="32"/>
      <c r="V455" s="32"/>
      <c r="W455" s="32"/>
      <c r="X455" s="1750">
        <f t="shared" si="14"/>
        <v>0</v>
      </c>
      <c r="Y455" s="175">
        <f t="shared" si="15"/>
        <v>0</v>
      </c>
    </row>
    <row r="456" spans="1:25" ht="30" x14ac:dyDescent="0.25">
      <c r="A456" s="32"/>
      <c r="B456" s="32"/>
      <c r="C456" s="32"/>
      <c r="D456" s="32"/>
      <c r="E456" s="32"/>
      <c r="F456" s="32"/>
      <c r="G456" s="1340" t="s">
        <v>2688</v>
      </c>
      <c r="H456" s="66" t="str">
        <f>'BID II'!B889</f>
        <v>Belanja Alat Tulis Kantor dan Benda Pos</v>
      </c>
      <c r="I456" s="174">
        <f>SUM('BID II'!F890:F891)</f>
        <v>377000</v>
      </c>
      <c r="J456" s="66" t="s">
        <v>2625</v>
      </c>
      <c r="K456" s="1797" t="s">
        <v>3030</v>
      </c>
      <c r="L456" s="32"/>
      <c r="M456" s="32"/>
      <c r="N456" s="32"/>
      <c r="O456" s="32"/>
      <c r="P456" s="32"/>
      <c r="Q456" s="32"/>
      <c r="R456" s="497">
        <v>377000</v>
      </c>
      <c r="S456" s="32"/>
      <c r="T456" s="32"/>
      <c r="U456" s="32"/>
      <c r="V456" s="32"/>
      <c r="W456" s="32"/>
      <c r="X456" s="1750">
        <f t="shared" si="14"/>
        <v>377000</v>
      </c>
      <c r="Y456" s="175">
        <f t="shared" si="15"/>
        <v>0</v>
      </c>
    </row>
    <row r="457" spans="1:25" ht="30" x14ac:dyDescent="0.25">
      <c r="A457" s="32"/>
      <c r="B457" s="32"/>
      <c r="C457" s="32"/>
      <c r="D457" s="32"/>
      <c r="E457" s="32"/>
      <c r="F457" s="32"/>
      <c r="G457" s="1340" t="s">
        <v>2705</v>
      </c>
      <c r="H457" s="66" t="str">
        <f>'BID II'!B893</f>
        <v>Belanja Perlengkapan Barang Konsumsi</v>
      </c>
      <c r="I457" s="174">
        <f>'BID II'!F894</f>
        <v>750000</v>
      </c>
      <c r="J457" s="66" t="s">
        <v>2625</v>
      </c>
      <c r="K457" s="1797" t="s">
        <v>3030</v>
      </c>
      <c r="L457" s="32"/>
      <c r="M457" s="32"/>
      <c r="N457" s="32"/>
      <c r="O457" s="32"/>
      <c r="P457" s="32"/>
      <c r="Q457" s="32"/>
      <c r="R457" s="497">
        <v>750000</v>
      </c>
      <c r="S457" s="32"/>
      <c r="T457" s="32"/>
      <c r="U457" s="32"/>
      <c r="V457" s="32"/>
      <c r="W457" s="32"/>
      <c r="X457" s="1750">
        <f t="shared" si="14"/>
        <v>750000</v>
      </c>
      <c r="Y457" s="175">
        <f t="shared" si="15"/>
        <v>0</v>
      </c>
    </row>
    <row r="458" spans="1:25" ht="30" x14ac:dyDescent="0.25">
      <c r="A458" s="32"/>
      <c r="B458" s="32"/>
      <c r="C458" s="32"/>
      <c r="D458" s="32"/>
      <c r="E458" s="32"/>
      <c r="F458" s="32"/>
      <c r="G458" s="1340" t="s">
        <v>2707</v>
      </c>
      <c r="H458" s="66" t="str">
        <f>'BID II'!B896</f>
        <v>Belanja Bendera/ Umbul-umbul/ Spanduk</v>
      </c>
      <c r="I458" s="174">
        <f>'BID II'!F897</f>
        <v>90000</v>
      </c>
      <c r="J458" s="66" t="s">
        <v>2625</v>
      </c>
      <c r="K458" s="1797" t="s">
        <v>3030</v>
      </c>
      <c r="L458" s="32"/>
      <c r="M458" s="32"/>
      <c r="N458" s="32"/>
      <c r="O458" s="32"/>
      <c r="P458" s="32"/>
      <c r="Q458" s="32"/>
      <c r="R458" s="497">
        <v>90000</v>
      </c>
      <c r="S458" s="32"/>
      <c r="T458" s="32"/>
      <c r="U458" s="32"/>
      <c r="V458" s="32"/>
      <c r="W458" s="32"/>
      <c r="X458" s="1750">
        <f t="shared" si="14"/>
        <v>90000</v>
      </c>
      <c r="Y458" s="175">
        <f t="shared" si="15"/>
        <v>0</v>
      </c>
    </row>
    <row r="459" spans="1:25" ht="30" x14ac:dyDescent="0.25">
      <c r="A459" s="32"/>
      <c r="B459" s="32"/>
      <c r="C459" s="32"/>
      <c r="D459" s="32"/>
      <c r="E459" s="32"/>
      <c r="F459" s="32"/>
      <c r="G459" s="32">
        <v>90</v>
      </c>
      <c r="H459" s="66" t="str">
        <f>'BID II'!B899</f>
        <v>Belanja Upakara, Upacara Dan Aci-Aci</v>
      </c>
      <c r="I459" s="174">
        <f>'BID II'!F900+'BID II'!F901+'BID II'!F902</f>
        <v>75000</v>
      </c>
      <c r="J459" s="66" t="s">
        <v>2625</v>
      </c>
      <c r="K459" s="1797" t="s">
        <v>3030</v>
      </c>
      <c r="L459" s="32"/>
      <c r="M459" s="32"/>
      <c r="N459" s="32"/>
      <c r="O459" s="32"/>
      <c r="P459" s="32"/>
      <c r="Q459" s="32"/>
      <c r="R459" s="497">
        <v>75000</v>
      </c>
      <c r="S459" s="32"/>
      <c r="T459" s="32"/>
      <c r="U459" s="32"/>
      <c r="V459" s="32"/>
      <c r="W459" s="32"/>
      <c r="X459" s="1750">
        <f t="shared" si="14"/>
        <v>75000</v>
      </c>
      <c r="Y459" s="175">
        <f t="shared" si="15"/>
        <v>0</v>
      </c>
    </row>
    <row r="460" spans="1:25" ht="30" x14ac:dyDescent="0.25">
      <c r="A460" s="32"/>
      <c r="B460" s="32"/>
      <c r="C460" s="32"/>
      <c r="D460" s="32">
        <v>5</v>
      </c>
      <c r="E460" s="32">
        <v>2</v>
      </c>
      <c r="F460" s="32">
        <v>2</v>
      </c>
      <c r="G460" s="32"/>
      <c r="H460" s="66" t="str">
        <f>'BID II'!B904</f>
        <v>Belanja  Jasa Honorarium</v>
      </c>
      <c r="I460" s="32"/>
      <c r="J460" s="66"/>
      <c r="K460" s="1797" t="s">
        <v>3030</v>
      </c>
      <c r="L460" s="32"/>
      <c r="M460" s="32"/>
      <c r="N460" s="32"/>
      <c r="O460" s="32"/>
      <c r="P460" s="32"/>
      <c r="Q460" s="32"/>
      <c r="R460" s="497"/>
      <c r="S460" s="32"/>
      <c r="T460" s="32"/>
      <c r="U460" s="32"/>
      <c r="V460" s="32"/>
      <c r="W460" s="32"/>
      <c r="X460" s="1750">
        <f t="shared" si="14"/>
        <v>0</v>
      </c>
      <c r="Y460" s="175">
        <f t="shared" si="15"/>
        <v>0</v>
      </c>
    </row>
    <row r="461" spans="1:25" ht="45" x14ac:dyDescent="0.25">
      <c r="A461" s="32"/>
      <c r="B461" s="32"/>
      <c r="C461" s="32"/>
      <c r="D461" s="32"/>
      <c r="E461" s="32"/>
      <c r="F461" s="32"/>
      <c r="G461" s="1340" t="s">
        <v>2688</v>
      </c>
      <c r="H461" s="66" t="str">
        <f>'BID II'!B905</f>
        <v>Belanja  Jasa Honorarium Tim yang Melaksanakan Kegiatan</v>
      </c>
      <c r="I461" s="174">
        <f>SUM('BID II'!F906:F907)</f>
        <v>700000</v>
      </c>
      <c r="J461" s="66" t="s">
        <v>2625</v>
      </c>
      <c r="K461" s="1797" t="s">
        <v>3030</v>
      </c>
      <c r="L461" s="32"/>
      <c r="M461" s="32"/>
      <c r="N461" s="32"/>
      <c r="O461" s="32"/>
      <c r="P461" s="32"/>
      <c r="Q461" s="32"/>
      <c r="R461" s="497">
        <v>700000</v>
      </c>
      <c r="S461" s="32"/>
      <c r="T461" s="32"/>
      <c r="U461" s="32"/>
      <c r="V461" s="32"/>
      <c r="W461" s="32"/>
      <c r="X461" s="1750">
        <f t="shared" si="14"/>
        <v>700000</v>
      </c>
      <c r="Y461" s="175">
        <f t="shared" si="15"/>
        <v>0</v>
      </c>
    </row>
    <row r="462" spans="1:25" ht="45" x14ac:dyDescent="0.25">
      <c r="A462" s="32"/>
      <c r="B462" s="32"/>
      <c r="C462" s="32"/>
      <c r="D462" s="32"/>
      <c r="E462" s="32"/>
      <c r="F462" s="32"/>
      <c r="G462" s="1340" t="s">
        <v>2704</v>
      </c>
      <c r="H462" s="66" t="str">
        <f>'BID II'!B909</f>
        <v>Belanja Jasa Honorarium Ahli/Profesi/Konsultan/Narasumber</v>
      </c>
      <c r="I462" s="174">
        <f>'BID II'!F910</f>
        <v>600000</v>
      </c>
      <c r="J462" s="66" t="s">
        <v>2625</v>
      </c>
      <c r="K462" s="1797" t="s">
        <v>3030</v>
      </c>
      <c r="L462" s="32"/>
      <c r="M462" s="32"/>
      <c r="N462" s="32"/>
      <c r="O462" s="32"/>
      <c r="P462" s="32"/>
      <c r="Q462" s="32"/>
      <c r="R462" s="497">
        <v>600000</v>
      </c>
      <c r="S462" s="32"/>
      <c r="T462" s="32"/>
      <c r="U462" s="32"/>
      <c r="V462" s="32"/>
      <c r="W462" s="32"/>
      <c r="X462" s="1750">
        <f t="shared" si="14"/>
        <v>600000</v>
      </c>
      <c r="Y462" s="175">
        <f t="shared" si="15"/>
        <v>0</v>
      </c>
    </row>
    <row r="463" spans="1:25" ht="75" x14ac:dyDescent="0.25">
      <c r="A463" s="1344">
        <v>2</v>
      </c>
      <c r="B463" s="1344">
        <v>2</v>
      </c>
      <c r="C463" s="1346" t="s">
        <v>2704</v>
      </c>
      <c r="D463" s="1344"/>
      <c r="E463" s="1344"/>
      <c r="F463" s="1344"/>
      <c r="G463" s="1344"/>
      <c r="H463" s="1345" t="str">
        <f>'BID II'!B928</f>
        <v>: Penyuluhan dan Pelatihan Bidang Kesehatan (Pembinaan Penangulangan Rabies Desa)</v>
      </c>
      <c r="I463" s="1347">
        <f>SUM(I464:I475)</f>
        <v>26452500</v>
      </c>
      <c r="J463" s="1345" t="s">
        <v>1682</v>
      </c>
      <c r="K463" s="1796" t="s">
        <v>3030</v>
      </c>
      <c r="L463" s="1349"/>
      <c r="M463" s="1344"/>
      <c r="N463" s="1344"/>
      <c r="O463" s="1344"/>
      <c r="P463" s="1344"/>
      <c r="Q463" s="1344"/>
      <c r="R463" s="1344"/>
      <c r="S463" s="1344"/>
      <c r="T463" s="1344"/>
      <c r="U463" s="1344"/>
      <c r="V463" s="1344"/>
      <c r="W463" s="1344"/>
      <c r="X463" s="1353">
        <f t="shared" si="14"/>
        <v>0</v>
      </c>
      <c r="Y463" s="175">
        <f t="shared" si="15"/>
        <v>-26452500</v>
      </c>
    </row>
    <row r="464" spans="1:25" ht="30" x14ac:dyDescent="0.25">
      <c r="A464" s="32"/>
      <c r="B464" s="32"/>
      <c r="C464" s="32"/>
      <c r="D464" s="32">
        <v>5</v>
      </c>
      <c r="E464" s="32">
        <v>2</v>
      </c>
      <c r="F464" s="32"/>
      <c r="G464" s="32"/>
      <c r="H464" s="66" t="str">
        <f>'BID II'!B933</f>
        <v>Belanja Barang Jasa</v>
      </c>
      <c r="I464" s="32"/>
      <c r="J464" s="66"/>
      <c r="K464" s="1797" t="s">
        <v>3030</v>
      </c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1750">
        <f t="shared" si="14"/>
        <v>0</v>
      </c>
      <c r="Y464" s="175">
        <f t="shared" si="15"/>
        <v>0</v>
      </c>
    </row>
    <row r="465" spans="1:25" ht="30" x14ac:dyDescent="0.25">
      <c r="A465" s="32"/>
      <c r="B465" s="32"/>
      <c r="C465" s="32"/>
      <c r="D465" s="32"/>
      <c r="E465" s="32"/>
      <c r="F465" s="32">
        <v>1</v>
      </c>
      <c r="G465" s="32"/>
      <c r="H465" s="66" t="str">
        <f>'BID II'!B934</f>
        <v>Belanja Barang Perlengkapan</v>
      </c>
      <c r="I465" s="32"/>
      <c r="J465" s="66"/>
      <c r="K465" s="1797" t="s">
        <v>3030</v>
      </c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1750">
        <f t="shared" si="14"/>
        <v>0</v>
      </c>
      <c r="Y465" s="175">
        <f t="shared" si="15"/>
        <v>0</v>
      </c>
    </row>
    <row r="466" spans="1:25" ht="30" x14ac:dyDescent="0.25">
      <c r="A466" s="32"/>
      <c r="B466" s="32"/>
      <c r="C466" s="32"/>
      <c r="D466" s="32"/>
      <c r="E466" s="32"/>
      <c r="F466" s="32"/>
      <c r="G466" s="1340" t="s">
        <v>2688</v>
      </c>
      <c r="H466" s="66" t="str">
        <f>'BID II'!B935</f>
        <v>Belanja Alat Tulis Kantor dan Benda Pos</v>
      </c>
      <c r="I466" s="174">
        <f>SUM('BID II'!F936:F938)</f>
        <v>10217500</v>
      </c>
      <c r="J466" s="66" t="s">
        <v>1682</v>
      </c>
      <c r="K466" s="1797" t="s">
        <v>3030</v>
      </c>
      <c r="L466" s="32"/>
      <c r="M466" s="32"/>
      <c r="N466" s="32"/>
      <c r="O466" s="32"/>
      <c r="P466" s="32"/>
      <c r="Q466" s="32"/>
      <c r="R466" s="32"/>
      <c r="S466" s="497">
        <v>10217500</v>
      </c>
      <c r="T466" s="32"/>
      <c r="U466" s="32"/>
      <c r="V466" s="32"/>
      <c r="W466" s="32"/>
      <c r="X466" s="1750">
        <f t="shared" si="14"/>
        <v>10217500</v>
      </c>
      <c r="Y466" s="175">
        <f t="shared" si="15"/>
        <v>0</v>
      </c>
    </row>
    <row r="467" spans="1:25" ht="30" x14ac:dyDescent="0.25">
      <c r="A467" s="32"/>
      <c r="B467" s="32"/>
      <c r="C467" s="32"/>
      <c r="D467" s="32"/>
      <c r="E467" s="32"/>
      <c r="F467" s="32"/>
      <c r="G467" s="1340" t="s">
        <v>2705</v>
      </c>
      <c r="H467" s="66" t="str">
        <f>'BID II'!B939</f>
        <v>Belanja Perlengkapan Barang Konsumsi</v>
      </c>
      <c r="I467" s="174">
        <f>SUM('BID II'!F940:F942)</f>
        <v>8925000</v>
      </c>
      <c r="J467" s="66" t="s">
        <v>1682</v>
      </c>
      <c r="K467" s="1797" t="s">
        <v>3030</v>
      </c>
      <c r="L467" s="32"/>
      <c r="M467" s="32"/>
      <c r="N467" s="32"/>
      <c r="O467" s="32"/>
      <c r="P467" s="32"/>
      <c r="Q467" s="32"/>
      <c r="R467" s="32"/>
      <c r="S467" s="497">
        <v>8925000</v>
      </c>
      <c r="T467" s="32"/>
      <c r="U467" s="32"/>
      <c r="V467" s="32"/>
      <c r="W467" s="32"/>
      <c r="X467" s="1750">
        <f t="shared" si="14"/>
        <v>8925000</v>
      </c>
      <c r="Y467" s="175">
        <f t="shared" si="15"/>
        <v>0</v>
      </c>
    </row>
    <row r="468" spans="1:25" ht="30" x14ac:dyDescent="0.25">
      <c r="A468" s="32"/>
      <c r="B468" s="32"/>
      <c r="C468" s="32"/>
      <c r="D468" s="32"/>
      <c r="E468" s="32"/>
      <c r="F468" s="32"/>
      <c r="G468" s="1340" t="s">
        <v>2707</v>
      </c>
      <c r="H468" s="66" t="str">
        <f>'BID II'!B944</f>
        <v>Belanja Bendera/ Umbul-umbul/ Spanduk</v>
      </c>
      <c r="I468" s="174">
        <f>SUM('BID II'!F945:F947)</f>
        <v>1530000</v>
      </c>
      <c r="J468" s="66" t="s">
        <v>1682</v>
      </c>
      <c r="K468" s="1797" t="s">
        <v>3030</v>
      </c>
      <c r="L468" s="32"/>
      <c r="M468" s="32"/>
      <c r="N468" s="32"/>
      <c r="O468" s="32"/>
      <c r="P468" s="32"/>
      <c r="Q468" s="32"/>
      <c r="R468" s="32"/>
      <c r="S468" s="497">
        <v>1530000</v>
      </c>
      <c r="T468" s="32"/>
      <c r="U468" s="32"/>
      <c r="V468" s="32"/>
      <c r="W468" s="32"/>
      <c r="X468" s="1750">
        <f t="shared" si="14"/>
        <v>1530000</v>
      </c>
      <c r="Y468" s="175">
        <f t="shared" si="15"/>
        <v>0</v>
      </c>
    </row>
    <row r="469" spans="1:25" ht="30" x14ac:dyDescent="0.25">
      <c r="A469" s="32"/>
      <c r="B469" s="32"/>
      <c r="C469" s="32"/>
      <c r="D469" s="32"/>
      <c r="E469" s="32"/>
      <c r="F469" s="32"/>
      <c r="G469" s="32">
        <v>90</v>
      </c>
      <c r="H469" s="66" t="str">
        <f>'BID II'!B948</f>
        <v>Belanja Upakara, Upacara Dan Aci-Aci</v>
      </c>
      <c r="I469" s="174">
        <f>SUM('BID II'!F949:F951)</f>
        <v>390000</v>
      </c>
      <c r="J469" s="66" t="s">
        <v>1682</v>
      </c>
      <c r="K469" s="1797" t="s">
        <v>3030</v>
      </c>
      <c r="L469" s="32"/>
      <c r="M469" s="32"/>
      <c r="N469" s="32"/>
      <c r="O469" s="32"/>
      <c r="P469" s="32"/>
      <c r="Q469" s="32"/>
      <c r="R469" s="32"/>
      <c r="S469" s="497">
        <v>390000</v>
      </c>
      <c r="T469" s="32"/>
      <c r="U469" s="32"/>
      <c r="V469" s="32"/>
      <c r="W469" s="32"/>
      <c r="X469" s="1750">
        <f t="shared" si="14"/>
        <v>390000</v>
      </c>
      <c r="Y469" s="175">
        <f t="shared" si="15"/>
        <v>0</v>
      </c>
    </row>
    <row r="470" spans="1:25" ht="30" x14ac:dyDescent="0.25">
      <c r="A470" s="32"/>
      <c r="B470" s="32"/>
      <c r="C470" s="32"/>
      <c r="D470" s="32">
        <v>5</v>
      </c>
      <c r="E470" s="32">
        <v>2</v>
      </c>
      <c r="F470" s="32">
        <v>2</v>
      </c>
      <c r="G470" s="32"/>
      <c r="H470" s="66" t="str">
        <f>'BID II'!B953</f>
        <v>Belanja  Jasa Honorarium</v>
      </c>
      <c r="I470" s="32"/>
      <c r="J470" s="66"/>
      <c r="K470" s="1797" t="s">
        <v>3030</v>
      </c>
      <c r="L470" s="32"/>
      <c r="M470" s="32"/>
      <c r="N470" s="32"/>
      <c r="O470" s="32"/>
      <c r="P470" s="32"/>
      <c r="Q470" s="32"/>
      <c r="R470" s="32"/>
      <c r="S470" s="497"/>
      <c r="T470" s="32"/>
      <c r="U470" s="32"/>
      <c r="V470" s="32"/>
      <c r="W470" s="32"/>
      <c r="X470" s="1750">
        <f t="shared" si="14"/>
        <v>0</v>
      </c>
      <c r="Y470" s="175">
        <f t="shared" si="15"/>
        <v>0</v>
      </c>
    </row>
    <row r="471" spans="1:25" ht="45" x14ac:dyDescent="0.25">
      <c r="A471" s="32"/>
      <c r="B471" s="32"/>
      <c r="C471" s="32"/>
      <c r="D471" s="32"/>
      <c r="E471" s="32"/>
      <c r="F471" s="32"/>
      <c r="G471" s="1340" t="s">
        <v>2688</v>
      </c>
      <c r="H471" s="66" t="str">
        <f>'BID II'!B954</f>
        <v>Belanja  Jasa Honorarium Tim yang Melaksanakan Kegiatan</v>
      </c>
      <c r="I471" s="174">
        <f>SUM('BID II'!F955:F957)</f>
        <v>750000</v>
      </c>
      <c r="J471" s="66" t="s">
        <v>1682</v>
      </c>
      <c r="K471" s="1797" t="s">
        <v>3030</v>
      </c>
      <c r="L471" s="32"/>
      <c r="M471" s="32"/>
      <c r="N471" s="32"/>
      <c r="O471" s="32"/>
      <c r="P471" s="32"/>
      <c r="Q471" s="32"/>
      <c r="R471" s="32"/>
      <c r="S471" s="497">
        <v>750000</v>
      </c>
      <c r="T471" s="32"/>
      <c r="U471" s="32"/>
      <c r="V471" s="32"/>
      <c r="W471" s="32"/>
      <c r="X471" s="1750">
        <f t="shared" si="14"/>
        <v>750000</v>
      </c>
      <c r="Y471" s="175">
        <f t="shared" si="15"/>
        <v>0</v>
      </c>
    </row>
    <row r="472" spans="1:25" ht="45" x14ac:dyDescent="0.25">
      <c r="A472" s="32"/>
      <c r="B472" s="32"/>
      <c r="C472" s="32"/>
      <c r="D472" s="32"/>
      <c r="E472" s="32"/>
      <c r="F472" s="32"/>
      <c r="G472" s="1340" t="s">
        <v>2704</v>
      </c>
      <c r="H472" s="66" t="str">
        <f>'BID II'!B960</f>
        <v>Belanja Jasa Honorarium Ahli/Profesi/Konsultan/Narasumber</v>
      </c>
      <c r="I472" s="174">
        <f>SUM('BID II'!F961)</f>
        <v>600000</v>
      </c>
      <c r="J472" s="66" t="s">
        <v>1682</v>
      </c>
      <c r="K472" s="1797" t="s">
        <v>3030</v>
      </c>
      <c r="L472" s="32"/>
      <c r="M472" s="32"/>
      <c r="N472" s="32"/>
      <c r="O472" s="32"/>
      <c r="P472" s="32"/>
      <c r="Q472" s="32"/>
      <c r="R472" s="32"/>
      <c r="S472" s="497">
        <v>600000</v>
      </c>
      <c r="T472" s="32"/>
      <c r="U472" s="32"/>
      <c r="V472" s="32"/>
      <c r="W472" s="32"/>
      <c r="X472" s="1750">
        <f t="shared" si="14"/>
        <v>600000</v>
      </c>
      <c r="Y472" s="175">
        <f t="shared" si="15"/>
        <v>0</v>
      </c>
    </row>
    <row r="473" spans="1:25" ht="30" x14ac:dyDescent="0.25">
      <c r="A473" s="32"/>
      <c r="B473" s="32"/>
      <c r="C473" s="32"/>
      <c r="D473" s="32"/>
      <c r="E473" s="32"/>
      <c r="F473" s="32"/>
      <c r="G473" s="1340" t="s">
        <v>2706</v>
      </c>
      <c r="H473" s="66" t="str">
        <f>'BID II'!B962</f>
        <v>Belanja Jasa Honor Petugas</v>
      </c>
      <c r="I473" s="174">
        <f>SUM('BID II'!F963)</f>
        <v>3600000</v>
      </c>
      <c r="J473" s="66" t="s">
        <v>1682</v>
      </c>
      <c r="K473" s="1797" t="s">
        <v>3030</v>
      </c>
      <c r="L473" s="32"/>
      <c r="M473" s="32"/>
      <c r="N473" s="32"/>
      <c r="O473" s="32"/>
      <c r="P473" s="32"/>
      <c r="Q473" s="32"/>
      <c r="R473" s="32"/>
      <c r="S473" s="497">
        <v>3600000</v>
      </c>
      <c r="T473" s="32"/>
      <c r="U473" s="32"/>
      <c r="V473" s="32"/>
      <c r="W473" s="32"/>
      <c r="X473" s="1750">
        <f t="shared" si="14"/>
        <v>3600000</v>
      </c>
      <c r="Y473" s="175">
        <f t="shared" si="15"/>
        <v>0</v>
      </c>
    </row>
    <row r="474" spans="1:25" ht="45" x14ac:dyDescent="0.25">
      <c r="A474" s="32"/>
      <c r="B474" s="32"/>
      <c r="C474" s="32"/>
      <c r="D474" s="32">
        <v>5</v>
      </c>
      <c r="E474" s="32">
        <v>2</v>
      </c>
      <c r="F474" s="32">
        <v>7</v>
      </c>
      <c r="G474" s="32"/>
      <c r="H474" s="66" t="str">
        <f>'BID II'!B964</f>
        <v>Belanja Barang yang di Serahkan kepada masyarakat</v>
      </c>
      <c r="I474" s="32"/>
      <c r="J474" s="66"/>
      <c r="K474" s="1797" t="s">
        <v>3030</v>
      </c>
      <c r="L474" s="32"/>
      <c r="M474" s="32"/>
      <c r="N474" s="32"/>
      <c r="O474" s="32"/>
      <c r="P474" s="32"/>
      <c r="Q474" s="32"/>
      <c r="R474" s="32"/>
      <c r="S474" s="497"/>
      <c r="T474" s="32"/>
      <c r="U474" s="32"/>
      <c r="V474" s="32"/>
      <c r="W474" s="32"/>
      <c r="X474" s="1750">
        <f t="shared" si="14"/>
        <v>0</v>
      </c>
      <c r="Y474" s="175">
        <f t="shared" si="15"/>
        <v>0</v>
      </c>
    </row>
    <row r="475" spans="1:25" ht="45" x14ac:dyDescent="0.25">
      <c r="A475" s="32"/>
      <c r="B475" s="32"/>
      <c r="C475" s="32"/>
      <c r="D475" s="32"/>
      <c r="E475" s="32"/>
      <c r="F475" s="32"/>
      <c r="G475" s="32">
        <v>99</v>
      </c>
      <c r="H475" s="66" t="str">
        <f>'BID II'!B965</f>
        <v>Belanja Barang yang di Serahkan kepada masyarakat Lainnya</v>
      </c>
      <c r="I475" s="174">
        <f>SUM('BID II'!F966:F967)</f>
        <v>440000</v>
      </c>
      <c r="J475" s="66" t="s">
        <v>1682</v>
      </c>
      <c r="K475" s="1797" t="s">
        <v>3030</v>
      </c>
      <c r="L475" s="32"/>
      <c r="M475" s="32"/>
      <c r="N475" s="32"/>
      <c r="O475" s="32"/>
      <c r="P475" s="32"/>
      <c r="Q475" s="32"/>
      <c r="R475" s="32"/>
      <c r="S475" s="497">
        <v>440000</v>
      </c>
      <c r="T475" s="32"/>
      <c r="U475" s="32"/>
      <c r="V475" s="32"/>
      <c r="W475" s="32"/>
      <c r="X475" s="1750">
        <f t="shared" si="14"/>
        <v>440000</v>
      </c>
      <c r="Y475" s="175">
        <f t="shared" si="15"/>
        <v>0</v>
      </c>
    </row>
    <row r="476" spans="1:25" ht="60" x14ac:dyDescent="0.25">
      <c r="A476" s="1344">
        <v>2</v>
      </c>
      <c r="B476" s="1344">
        <v>2</v>
      </c>
      <c r="C476" s="1346" t="s">
        <v>2702</v>
      </c>
      <c r="D476" s="1344"/>
      <c r="E476" s="1344"/>
      <c r="F476" s="1344"/>
      <c r="G476" s="1344"/>
      <c r="H476" s="1345" t="str">
        <f>'BID II'!B982</f>
        <v xml:space="preserve"> :  Pengasuhan Bersama atau Bina Keluarga Balita (Pelaksanaan Kegiatan Bina keluarga Balita BKB )</v>
      </c>
      <c r="I476" s="1347">
        <f>SUM(I477:I484)</f>
        <v>50145500</v>
      </c>
      <c r="J476" s="1345" t="s">
        <v>1682</v>
      </c>
      <c r="K476" s="1796" t="s">
        <v>3030</v>
      </c>
      <c r="L476" s="1344"/>
      <c r="M476" s="1344"/>
      <c r="N476" s="1344"/>
      <c r="O476" s="1344"/>
      <c r="P476" s="1344"/>
      <c r="Q476" s="1344"/>
      <c r="R476" s="1344"/>
      <c r="S476" s="1344"/>
      <c r="T476" s="1344"/>
      <c r="U476" s="1344"/>
      <c r="V476" s="1344"/>
      <c r="W476" s="1344"/>
      <c r="X476" s="1353">
        <f t="shared" si="14"/>
        <v>0</v>
      </c>
      <c r="Y476" s="175">
        <f t="shared" si="15"/>
        <v>-50145500</v>
      </c>
    </row>
    <row r="477" spans="1:25" ht="30" x14ac:dyDescent="0.25">
      <c r="A477" s="32"/>
      <c r="B477" s="32"/>
      <c r="C477" s="32"/>
      <c r="D477" s="32">
        <v>5</v>
      </c>
      <c r="E477" s="32">
        <v>2</v>
      </c>
      <c r="F477" s="32"/>
      <c r="G477" s="32"/>
      <c r="H477" s="32" t="str">
        <f>'BID II'!B987</f>
        <v>Belanja Barang dan Jasa</v>
      </c>
      <c r="I477" s="32"/>
      <c r="J477" s="66"/>
      <c r="K477" s="1797" t="s">
        <v>3030</v>
      </c>
      <c r="L477" s="32"/>
      <c r="M477" s="32"/>
      <c r="N477" s="32"/>
      <c r="O477" s="32"/>
      <c r="P477" s="32"/>
      <c r="Q477" s="32"/>
      <c r="R477" s="32"/>
      <c r="S477" s="32"/>
      <c r="T477" s="32"/>
      <c r="U477" s="32"/>
      <c r="V477" s="32"/>
      <c r="W477" s="32"/>
      <c r="X477" s="1750">
        <f t="shared" si="14"/>
        <v>0</v>
      </c>
      <c r="Y477" s="175">
        <f t="shared" si="15"/>
        <v>0</v>
      </c>
    </row>
    <row r="478" spans="1:25" ht="30" x14ac:dyDescent="0.25">
      <c r="A478" s="32"/>
      <c r="B478" s="32"/>
      <c r="C478" s="32"/>
      <c r="D478" s="32"/>
      <c r="E478" s="32"/>
      <c r="F478" s="32">
        <v>1</v>
      </c>
      <c r="G478" s="32"/>
      <c r="H478" s="66" t="str">
        <f>'BID II'!B988</f>
        <v>Belanaja Barang Pelengkapan</v>
      </c>
      <c r="I478" s="32"/>
      <c r="J478" s="66"/>
      <c r="K478" s="1797" t="s">
        <v>3030</v>
      </c>
      <c r="L478" s="32"/>
      <c r="M478" s="32"/>
      <c r="N478" s="32"/>
      <c r="O478" s="32"/>
      <c r="P478" s="32"/>
      <c r="Q478" s="32"/>
      <c r="R478" s="32"/>
      <c r="S478" s="32"/>
      <c r="T478" s="32"/>
      <c r="U478" s="32"/>
      <c r="V478" s="32"/>
      <c r="W478" s="32"/>
      <c r="X478" s="1750">
        <f t="shared" si="14"/>
        <v>0</v>
      </c>
      <c r="Y478" s="175">
        <f t="shared" si="15"/>
        <v>0</v>
      </c>
    </row>
    <row r="479" spans="1:25" ht="30" x14ac:dyDescent="0.25">
      <c r="A479" s="32"/>
      <c r="B479" s="32"/>
      <c r="C479" s="32"/>
      <c r="D479" s="32"/>
      <c r="E479" s="32"/>
      <c r="F479" s="32"/>
      <c r="G479" s="1340" t="s">
        <v>2688</v>
      </c>
      <c r="H479" s="66" t="str">
        <f>'BID II'!B989</f>
        <v>Perlangakapan Alat Tulis Kantor dan Benda POS</v>
      </c>
      <c r="I479" s="174">
        <f>SUM('BID II'!F990:F992)</f>
        <v>5325500</v>
      </c>
      <c r="J479" s="66" t="s">
        <v>1682</v>
      </c>
      <c r="K479" s="1797" t="s">
        <v>3030</v>
      </c>
      <c r="L479" s="497">
        <v>5325500</v>
      </c>
      <c r="M479" s="32"/>
      <c r="N479" s="32"/>
      <c r="O479" s="32"/>
      <c r="P479" s="32"/>
      <c r="Q479" s="32"/>
      <c r="R479" s="32"/>
      <c r="S479" s="32"/>
      <c r="T479" s="32"/>
      <c r="U479" s="32"/>
      <c r="V479" s="32"/>
      <c r="W479" s="32"/>
      <c r="X479" s="1750">
        <f t="shared" si="14"/>
        <v>5325500</v>
      </c>
      <c r="Y479" s="175">
        <f t="shared" si="15"/>
        <v>0</v>
      </c>
    </row>
    <row r="480" spans="1:25" ht="30" x14ac:dyDescent="0.25">
      <c r="A480" s="32"/>
      <c r="B480" s="32"/>
      <c r="C480" s="32"/>
      <c r="D480" s="32"/>
      <c r="E480" s="32"/>
      <c r="F480" s="32"/>
      <c r="G480" s="1340" t="s">
        <v>2705</v>
      </c>
      <c r="H480" s="66" t="str">
        <f>'BID II'!B994</f>
        <v>Belanja Perlengkapan Barang Konsumsi</v>
      </c>
      <c r="I480" s="174">
        <f>SUM('BID II'!F996)</f>
        <v>5400000</v>
      </c>
      <c r="J480" s="66" t="s">
        <v>1682</v>
      </c>
      <c r="K480" s="1797" t="s">
        <v>3030</v>
      </c>
      <c r="L480" s="497">
        <v>450000</v>
      </c>
      <c r="M480" s="497">
        <v>450000</v>
      </c>
      <c r="N480" s="497">
        <v>450000</v>
      </c>
      <c r="O480" s="497">
        <v>450000</v>
      </c>
      <c r="P480" s="497">
        <v>450000</v>
      </c>
      <c r="Q480" s="497">
        <v>450000</v>
      </c>
      <c r="R480" s="497">
        <v>450000</v>
      </c>
      <c r="S480" s="497">
        <v>450000</v>
      </c>
      <c r="T480" s="497">
        <v>450000</v>
      </c>
      <c r="U480" s="497">
        <v>450000</v>
      </c>
      <c r="V480" s="497">
        <v>450000</v>
      </c>
      <c r="W480" s="497">
        <v>450000</v>
      </c>
      <c r="X480" s="1750">
        <f t="shared" ref="X480:X543" si="16">SUM(L480:W480)</f>
        <v>5400000</v>
      </c>
      <c r="Y480" s="175">
        <f t="shared" si="15"/>
        <v>0</v>
      </c>
    </row>
    <row r="481" spans="1:25" ht="30" x14ac:dyDescent="0.25">
      <c r="A481" s="32"/>
      <c r="B481" s="32"/>
      <c r="C481" s="32"/>
      <c r="D481" s="32"/>
      <c r="E481" s="32"/>
      <c r="F481" s="32"/>
      <c r="G481" s="1340" t="s">
        <v>2707</v>
      </c>
      <c r="H481" s="66" t="str">
        <f>'BID II'!B1000</f>
        <v>Belanja Bendera/Umbul - umbul Spanduk</v>
      </c>
      <c r="I481" s="174">
        <f>'BID II'!F1001</f>
        <v>540000</v>
      </c>
      <c r="J481" s="66" t="s">
        <v>1682</v>
      </c>
      <c r="K481" s="1797" t="s">
        <v>3030</v>
      </c>
      <c r="L481" s="32">
        <v>540000</v>
      </c>
      <c r="M481" s="32"/>
      <c r="N481" s="32"/>
      <c r="O481" s="32"/>
      <c r="P481" s="32"/>
      <c r="Q481" s="32"/>
      <c r="R481" s="32"/>
      <c r="S481" s="32"/>
      <c r="T481" s="32"/>
      <c r="U481" s="32"/>
      <c r="V481" s="32"/>
      <c r="W481" s="32"/>
      <c r="X481" s="1750">
        <f t="shared" si="16"/>
        <v>540000</v>
      </c>
      <c r="Y481" s="175">
        <f t="shared" si="15"/>
        <v>0</v>
      </c>
    </row>
    <row r="482" spans="1:25" ht="30" x14ac:dyDescent="0.25">
      <c r="A482" s="32"/>
      <c r="B482" s="32"/>
      <c r="C482" s="32"/>
      <c r="D482" s="32"/>
      <c r="E482" s="32"/>
      <c r="F482" s="32"/>
      <c r="G482" s="32">
        <v>90</v>
      </c>
      <c r="H482" s="66" t="str">
        <f>'BID II'!B1003</f>
        <v>Belanja Upakara, Upacara Dan Aci</v>
      </c>
      <c r="I482" s="174">
        <f>SUM('BID II'!F1004:F1005)</f>
        <v>2880000</v>
      </c>
      <c r="J482" s="66" t="s">
        <v>1682</v>
      </c>
      <c r="K482" s="1797" t="s">
        <v>3030</v>
      </c>
      <c r="L482" s="497">
        <v>240000</v>
      </c>
      <c r="M482" s="497">
        <v>240000</v>
      </c>
      <c r="N482" s="497">
        <v>240000</v>
      </c>
      <c r="O482" s="497">
        <v>240000</v>
      </c>
      <c r="P482" s="497">
        <v>240000</v>
      </c>
      <c r="Q482" s="497">
        <v>240000</v>
      </c>
      <c r="R482" s="497">
        <v>240000</v>
      </c>
      <c r="S482" s="497">
        <v>240000</v>
      </c>
      <c r="T482" s="497">
        <v>240000</v>
      </c>
      <c r="U482" s="497">
        <v>240000</v>
      </c>
      <c r="V482" s="497">
        <v>240000</v>
      </c>
      <c r="W482" s="497">
        <v>240000</v>
      </c>
      <c r="X482" s="1750">
        <f t="shared" si="16"/>
        <v>2880000</v>
      </c>
      <c r="Y482" s="175">
        <f t="shared" si="15"/>
        <v>0</v>
      </c>
    </row>
    <row r="483" spans="1:25" ht="30" x14ac:dyDescent="0.25">
      <c r="A483" s="32"/>
      <c r="B483" s="32"/>
      <c r="C483" s="32"/>
      <c r="D483" s="32">
        <v>5</v>
      </c>
      <c r="E483" s="32">
        <v>2</v>
      </c>
      <c r="F483" s="32">
        <v>2</v>
      </c>
      <c r="G483" s="32"/>
      <c r="H483" s="66" t="str">
        <f>'BID II'!B1006</f>
        <v>Belanja Jasa Honorarium</v>
      </c>
      <c r="I483" s="32"/>
      <c r="J483" s="66"/>
      <c r="K483" s="1797" t="s">
        <v>3030</v>
      </c>
      <c r="L483" s="32"/>
      <c r="M483" s="32"/>
      <c r="N483" s="32"/>
      <c r="O483" s="32"/>
      <c r="P483" s="32"/>
      <c r="Q483" s="32"/>
      <c r="R483" s="32"/>
      <c r="S483" s="32"/>
      <c r="T483" s="32"/>
      <c r="U483" s="32"/>
      <c r="V483" s="32"/>
      <c r="W483" s="32"/>
      <c r="X483" s="1750">
        <f t="shared" si="16"/>
        <v>0</v>
      </c>
      <c r="Y483" s="175">
        <f t="shared" si="15"/>
        <v>0</v>
      </c>
    </row>
    <row r="484" spans="1:25" ht="30" x14ac:dyDescent="0.25">
      <c r="A484" s="32"/>
      <c r="B484" s="32"/>
      <c r="C484" s="32"/>
      <c r="D484" s="32"/>
      <c r="E484" s="32"/>
      <c r="F484" s="32"/>
      <c r="G484" s="1340" t="s">
        <v>2706</v>
      </c>
      <c r="H484" s="66" t="str">
        <f>'BID II'!B1007</f>
        <v>Belanja Jasa Honorarium Petugas</v>
      </c>
      <c r="I484" s="174">
        <f>SUM('BID II'!F1008)</f>
        <v>36000000</v>
      </c>
      <c r="J484" s="66" t="s">
        <v>1682</v>
      </c>
      <c r="K484" s="1797" t="s">
        <v>3030</v>
      </c>
      <c r="L484" s="497">
        <v>3000000</v>
      </c>
      <c r="M484" s="497">
        <v>3000000</v>
      </c>
      <c r="N484" s="497">
        <v>3000000</v>
      </c>
      <c r="O484" s="497">
        <v>3000000</v>
      </c>
      <c r="P484" s="497">
        <v>3000000</v>
      </c>
      <c r="Q484" s="497">
        <v>3000000</v>
      </c>
      <c r="R484" s="497">
        <v>3000000</v>
      </c>
      <c r="S484" s="497">
        <v>3000000</v>
      </c>
      <c r="T484" s="497">
        <v>3000000</v>
      </c>
      <c r="U484" s="497">
        <v>3000000</v>
      </c>
      <c r="V484" s="497">
        <v>3000000</v>
      </c>
      <c r="W484" s="497">
        <v>3000000</v>
      </c>
      <c r="X484" s="1750">
        <f t="shared" si="16"/>
        <v>36000000</v>
      </c>
      <c r="Y484" s="175">
        <f t="shared" si="15"/>
        <v>0</v>
      </c>
    </row>
    <row r="485" spans="1:25" ht="60" x14ac:dyDescent="0.25">
      <c r="A485" s="1344">
        <v>2</v>
      </c>
      <c r="B485" s="1344">
        <v>2</v>
      </c>
      <c r="C485" s="1346" t="s">
        <v>2705</v>
      </c>
      <c r="D485" s="1344"/>
      <c r="E485" s="1344"/>
      <c r="F485" s="1344"/>
      <c r="G485" s="1344"/>
      <c r="H485" s="1345" t="str">
        <f>'BID II'!B1021</f>
        <v xml:space="preserve"> :  Pengasuhan Bersama atau Bina Keluarga Lansia ( Pembinaan dan Penyelenggaraan BKL)</v>
      </c>
      <c r="I485" s="1347">
        <f>SUM(I486:I503)</f>
        <v>9990000</v>
      </c>
      <c r="J485" s="1345"/>
      <c r="K485" s="1796" t="s">
        <v>3030</v>
      </c>
      <c r="L485" s="1344"/>
      <c r="M485" s="1344"/>
      <c r="N485" s="1344"/>
      <c r="O485" s="1344"/>
      <c r="P485" s="1344"/>
      <c r="Q485" s="1344"/>
      <c r="R485" s="1344"/>
      <c r="S485" s="1344"/>
      <c r="T485" s="1344"/>
      <c r="U485" s="1344"/>
      <c r="V485" s="1344"/>
      <c r="W485" s="1344"/>
      <c r="X485" s="1353">
        <f t="shared" si="16"/>
        <v>0</v>
      </c>
      <c r="Y485" s="175">
        <f t="shared" si="15"/>
        <v>-9990000</v>
      </c>
    </row>
    <row r="486" spans="1:25" ht="30" x14ac:dyDescent="0.25">
      <c r="A486" s="32"/>
      <c r="B486" s="32"/>
      <c r="C486" s="1340"/>
      <c r="D486" s="32"/>
      <c r="E486" s="32"/>
      <c r="F486" s="32"/>
      <c r="G486" s="32"/>
      <c r="H486" s="66" t="str">
        <f>'BID II'!B1026</f>
        <v>Pembinaan</v>
      </c>
      <c r="I486" s="497"/>
      <c r="J486" s="66"/>
      <c r="K486" s="1797" t="s">
        <v>3030</v>
      </c>
      <c r="L486" s="32"/>
      <c r="M486" s="32"/>
      <c r="N486" s="32"/>
      <c r="O486" s="32"/>
      <c r="P486" s="32"/>
      <c r="Q486" s="32"/>
      <c r="R486" s="32"/>
      <c r="S486" s="32"/>
      <c r="T486" s="32"/>
      <c r="U486" s="32"/>
      <c r="V486" s="32"/>
      <c r="W486" s="32"/>
      <c r="X486" s="1750">
        <f t="shared" si="16"/>
        <v>0</v>
      </c>
      <c r="Y486" s="175">
        <f t="shared" si="15"/>
        <v>0</v>
      </c>
    </row>
    <row r="487" spans="1:25" ht="30" x14ac:dyDescent="0.25">
      <c r="A487" s="32"/>
      <c r="B487" s="32"/>
      <c r="C487" s="1340"/>
      <c r="D487" s="32">
        <v>5</v>
      </c>
      <c r="E487" s="32">
        <v>2</v>
      </c>
      <c r="F487" s="32"/>
      <c r="G487" s="32"/>
      <c r="H487" s="66" t="str">
        <f>'BID II'!B1027</f>
        <v>Belanja Barang Jasa</v>
      </c>
      <c r="I487" s="497"/>
      <c r="J487" s="66"/>
      <c r="K487" s="1797" t="s">
        <v>3030</v>
      </c>
      <c r="L487" s="32"/>
      <c r="M487" s="32"/>
      <c r="N487" s="32"/>
      <c r="O487" s="32"/>
      <c r="P487" s="32"/>
      <c r="Q487" s="32"/>
      <c r="R487" s="32"/>
      <c r="S487" s="32"/>
      <c r="T487" s="32"/>
      <c r="U487" s="32"/>
      <c r="V487" s="32"/>
      <c r="W487" s="32"/>
      <c r="X487" s="1750">
        <f t="shared" si="16"/>
        <v>0</v>
      </c>
      <c r="Y487" s="175">
        <f t="shared" si="15"/>
        <v>0</v>
      </c>
    </row>
    <row r="488" spans="1:25" ht="30" x14ac:dyDescent="0.25">
      <c r="A488" s="32"/>
      <c r="B488" s="32"/>
      <c r="C488" s="1340"/>
      <c r="D488" s="32"/>
      <c r="E488" s="32"/>
      <c r="F488" s="32">
        <v>1</v>
      </c>
      <c r="G488" s="32"/>
      <c r="H488" s="66" t="str">
        <f>'BID II'!B1028</f>
        <v>Belanja Barang Perlengkapan</v>
      </c>
      <c r="I488" s="497"/>
      <c r="J488" s="66"/>
      <c r="K488" s="1797" t="s">
        <v>3030</v>
      </c>
      <c r="L488" s="32"/>
      <c r="M488" s="32"/>
      <c r="N488" s="32"/>
      <c r="O488" s="32"/>
      <c r="P488" s="32"/>
      <c r="Q488" s="32"/>
      <c r="R488" s="32"/>
      <c r="S488" s="32"/>
      <c r="T488" s="32"/>
      <c r="U488" s="32"/>
      <c r="V488" s="32"/>
      <c r="W488" s="32"/>
      <c r="X488" s="1750">
        <f t="shared" si="16"/>
        <v>0</v>
      </c>
      <c r="Y488" s="175">
        <f t="shared" si="15"/>
        <v>0</v>
      </c>
    </row>
    <row r="489" spans="1:25" ht="30" x14ac:dyDescent="0.25">
      <c r="A489" s="32"/>
      <c r="B489" s="32"/>
      <c r="C489" s="1340"/>
      <c r="D489" s="32"/>
      <c r="E489" s="32"/>
      <c r="F489" s="32"/>
      <c r="G489" s="1340" t="s">
        <v>2688</v>
      </c>
      <c r="H489" s="66" t="str">
        <f>'BID II'!B1029</f>
        <v>Belanja Alat Tulis Kantor dan Benda Pos</v>
      </c>
      <c r="I489" s="497">
        <f>SUM('BID II'!F1030)</f>
        <v>25000</v>
      </c>
      <c r="J489" s="66" t="s">
        <v>2627</v>
      </c>
      <c r="K489" s="1797" t="s">
        <v>3030</v>
      </c>
      <c r="L489" s="32"/>
      <c r="M489" s="32"/>
      <c r="N489" s="32"/>
      <c r="O489" s="32"/>
      <c r="P489" s="32"/>
      <c r="Q489" s="32"/>
      <c r="R489" s="497">
        <v>25000</v>
      </c>
      <c r="S489" s="32"/>
      <c r="T489" s="32"/>
      <c r="U489" s="32"/>
      <c r="V489" s="32"/>
      <c r="W489" s="32"/>
      <c r="X489" s="1750">
        <f t="shared" si="16"/>
        <v>25000</v>
      </c>
      <c r="Y489" s="175">
        <f t="shared" si="15"/>
        <v>0</v>
      </c>
    </row>
    <row r="490" spans="1:25" ht="30" x14ac:dyDescent="0.25">
      <c r="A490" s="32"/>
      <c r="B490" s="32"/>
      <c r="C490" s="1340"/>
      <c r="D490" s="32"/>
      <c r="E490" s="32"/>
      <c r="F490" s="32"/>
      <c r="G490" s="1340" t="s">
        <v>2705</v>
      </c>
      <c r="H490" s="66" t="str">
        <f>'BID II'!B1032</f>
        <v>Belanja Perlengkapan Barang Konsumsi</v>
      </c>
      <c r="I490" s="497">
        <f>SUM('BID II'!F1033)</f>
        <v>150000</v>
      </c>
      <c r="J490" s="66" t="s">
        <v>2627</v>
      </c>
      <c r="K490" s="1797" t="s">
        <v>3030</v>
      </c>
      <c r="L490" s="32"/>
      <c r="M490" s="32"/>
      <c r="N490" s="32"/>
      <c r="O490" s="32"/>
      <c r="P490" s="32"/>
      <c r="Q490" s="32"/>
      <c r="R490" s="497">
        <v>150000</v>
      </c>
      <c r="S490" s="32"/>
      <c r="T490" s="32"/>
      <c r="U490" s="32"/>
      <c r="V490" s="32"/>
      <c r="W490" s="32"/>
      <c r="X490" s="1750">
        <f t="shared" si="16"/>
        <v>150000</v>
      </c>
      <c r="Y490" s="175">
        <f t="shared" ref="Y490:Y553" si="17">X490-I490</f>
        <v>0</v>
      </c>
    </row>
    <row r="491" spans="1:25" ht="30" x14ac:dyDescent="0.25">
      <c r="A491" s="32"/>
      <c r="B491" s="32"/>
      <c r="C491" s="1340"/>
      <c r="D491" s="32"/>
      <c r="E491" s="32"/>
      <c r="F491" s="32"/>
      <c r="G491" s="1340" t="s">
        <v>2707</v>
      </c>
      <c r="H491" s="66" t="str">
        <f>'BID II'!B1035</f>
        <v>Belanja Bendera/ Umbul-umbul/ Spanduk</v>
      </c>
      <c r="I491" s="497">
        <f>'BID II'!F1036</f>
        <v>150000</v>
      </c>
      <c r="J491" s="66" t="s">
        <v>2627</v>
      </c>
      <c r="K491" s="1797" t="s">
        <v>3030</v>
      </c>
      <c r="L491" s="32"/>
      <c r="M491" s="32"/>
      <c r="N491" s="32"/>
      <c r="O491" s="32"/>
      <c r="P491" s="32"/>
      <c r="Q491" s="32"/>
      <c r="R491" s="497">
        <v>150000</v>
      </c>
      <c r="S491" s="32"/>
      <c r="T491" s="32"/>
      <c r="U491" s="32"/>
      <c r="V491" s="32"/>
      <c r="W491" s="32"/>
      <c r="X491" s="1750">
        <f t="shared" si="16"/>
        <v>150000</v>
      </c>
      <c r="Y491" s="175">
        <f t="shared" si="17"/>
        <v>0</v>
      </c>
    </row>
    <row r="492" spans="1:25" ht="30" x14ac:dyDescent="0.25">
      <c r="A492" s="32"/>
      <c r="B492" s="32"/>
      <c r="C492" s="1340"/>
      <c r="D492" s="32"/>
      <c r="E492" s="32"/>
      <c r="F492" s="32"/>
      <c r="G492" s="32">
        <v>90</v>
      </c>
      <c r="H492" s="66" t="str">
        <f>'BID II'!B1038</f>
        <v>Belanja Upakara, Upacara Dan Aci-Aci</v>
      </c>
      <c r="I492" s="497">
        <f>SUM('BID II'!F1039:F1041)</f>
        <v>75000</v>
      </c>
      <c r="J492" s="66" t="s">
        <v>2627</v>
      </c>
      <c r="K492" s="1797" t="s">
        <v>3030</v>
      </c>
      <c r="L492" s="32"/>
      <c r="M492" s="32"/>
      <c r="N492" s="32"/>
      <c r="O492" s="32"/>
      <c r="P492" s="32"/>
      <c r="Q492" s="32"/>
      <c r="R492" s="497">
        <v>75000</v>
      </c>
      <c r="S492" s="32"/>
      <c r="T492" s="32"/>
      <c r="U492" s="32"/>
      <c r="V492" s="32"/>
      <c r="W492" s="32"/>
      <c r="X492" s="1750">
        <f t="shared" si="16"/>
        <v>75000</v>
      </c>
      <c r="Y492" s="175">
        <f t="shared" si="17"/>
        <v>0</v>
      </c>
    </row>
    <row r="493" spans="1:25" ht="30" x14ac:dyDescent="0.25">
      <c r="A493" s="32"/>
      <c r="B493" s="32"/>
      <c r="C493" s="1340"/>
      <c r="D493" s="32">
        <v>5</v>
      </c>
      <c r="E493" s="32">
        <v>2</v>
      </c>
      <c r="F493" s="32">
        <v>2</v>
      </c>
      <c r="G493" s="32"/>
      <c r="H493" s="66" t="str">
        <f>'BID II'!B1043</f>
        <v>Belanja Jasa Honorarium</v>
      </c>
      <c r="I493" s="497"/>
      <c r="J493" s="66"/>
      <c r="K493" s="1797" t="s">
        <v>3030</v>
      </c>
      <c r="L493" s="32"/>
      <c r="M493" s="32"/>
      <c r="N493" s="32"/>
      <c r="O493" s="32"/>
      <c r="P493" s="32"/>
      <c r="Q493" s="32"/>
      <c r="R493" s="497"/>
      <c r="S493" s="32"/>
      <c r="T493" s="32"/>
      <c r="U493" s="32"/>
      <c r="V493" s="32"/>
      <c r="W493" s="32"/>
      <c r="X493" s="1750">
        <f t="shared" si="16"/>
        <v>0</v>
      </c>
      <c r="Y493" s="175">
        <f t="shared" si="17"/>
        <v>0</v>
      </c>
    </row>
    <row r="494" spans="1:25" ht="60" x14ac:dyDescent="0.25">
      <c r="A494" s="32"/>
      <c r="B494" s="32"/>
      <c r="C494" s="1340"/>
      <c r="D494" s="32"/>
      <c r="E494" s="32"/>
      <c r="F494" s="32"/>
      <c r="G494" s="1340" t="s">
        <v>2704</v>
      </c>
      <c r="H494" s="66" t="str">
        <f>'BID II'!B1044</f>
        <v>Belanja Jasa Honorarium Ahli/ Profesi/Konsultan/Narasumber</v>
      </c>
      <c r="I494" s="497">
        <f>'BID II'!F1045</f>
        <v>600000</v>
      </c>
      <c r="J494" s="66" t="s">
        <v>2627</v>
      </c>
      <c r="K494" s="1797" t="s">
        <v>3030</v>
      </c>
      <c r="L494" s="32"/>
      <c r="M494" s="32"/>
      <c r="N494" s="32"/>
      <c r="O494" s="32"/>
      <c r="P494" s="32"/>
      <c r="Q494" s="32"/>
      <c r="R494" s="497">
        <v>600000</v>
      </c>
      <c r="S494" s="32"/>
      <c r="T494" s="32"/>
      <c r="U494" s="32"/>
      <c r="V494" s="32"/>
      <c r="W494" s="32"/>
      <c r="X494" s="1750">
        <f t="shared" si="16"/>
        <v>600000</v>
      </c>
      <c r="Y494" s="175">
        <f t="shared" si="17"/>
        <v>0</v>
      </c>
    </row>
    <row r="495" spans="1:25" ht="30" x14ac:dyDescent="0.25">
      <c r="A495" s="32"/>
      <c r="B495" s="32"/>
      <c r="C495" s="1340"/>
      <c r="D495" s="32">
        <v>5</v>
      </c>
      <c r="E495" s="32">
        <v>2</v>
      </c>
      <c r="F495" s="32">
        <v>4</v>
      </c>
      <c r="G495" s="32"/>
      <c r="H495" s="66" t="str">
        <f>'BID II'!B1047</f>
        <v>Belanja Jasa Sewa</v>
      </c>
      <c r="I495" s="497"/>
      <c r="J495" s="66"/>
      <c r="K495" s="1797" t="s">
        <v>3030</v>
      </c>
      <c r="L495" s="32"/>
      <c r="M495" s="32"/>
      <c r="N495" s="32"/>
      <c r="O495" s="32"/>
      <c r="P495" s="32"/>
      <c r="Q495" s="32"/>
      <c r="R495" s="497"/>
      <c r="S495" s="32"/>
      <c r="T495" s="32"/>
      <c r="U495" s="32"/>
      <c r="V495" s="32"/>
      <c r="W495" s="32"/>
      <c r="X495" s="1750">
        <f t="shared" si="16"/>
        <v>0</v>
      </c>
      <c r="Y495" s="175">
        <f t="shared" si="17"/>
        <v>0</v>
      </c>
    </row>
    <row r="496" spans="1:25" ht="30" x14ac:dyDescent="0.25">
      <c r="A496" s="32"/>
      <c r="B496" s="32"/>
      <c r="C496" s="1340"/>
      <c r="D496" s="32"/>
      <c r="E496" s="32"/>
      <c r="F496" s="32"/>
      <c r="G496" s="1340" t="s">
        <v>2703</v>
      </c>
      <c r="H496" s="66" t="str">
        <f>'BID II'!B1048</f>
        <v>Belanja Jasa Sewa Mobilitas</v>
      </c>
      <c r="I496" s="497">
        <f>'BID II'!F1049</f>
        <v>2000000</v>
      </c>
      <c r="J496" s="66" t="s">
        <v>2627</v>
      </c>
      <c r="K496" s="1797" t="s">
        <v>3030</v>
      </c>
      <c r="L496" s="32"/>
      <c r="M496" s="32"/>
      <c r="N496" s="32"/>
      <c r="O496" s="32"/>
      <c r="P496" s="32"/>
      <c r="Q496" s="32"/>
      <c r="R496" s="497">
        <v>2000000</v>
      </c>
      <c r="S496" s="32"/>
      <c r="T496" s="32"/>
      <c r="U496" s="32"/>
      <c r="V496" s="32"/>
      <c r="W496" s="32"/>
      <c r="X496" s="1750">
        <f t="shared" si="16"/>
        <v>2000000</v>
      </c>
      <c r="Y496" s="175">
        <f t="shared" si="17"/>
        <v>0</v>
      </c>
    </row>
    <row r="497" spans="1:25" ht="30" x14ac:dyDescent="0.25">
      <c r="A497" s="32"/>
      <c r="B497" s="32"/>
      <c r="C497" s="1340"/>
      <c r="D497" s="32"/>
      <c r="E497" s="32"/>
      <c r="F497" s="32"/>
      <c r="G497" s="1340"/>
      <c r="H497" s="66" t="str">
        <f>'BID II'!B1051</f>
        <v>Kegiatan</v>
      </c>
      <c r="I497" s="497"/>
      <c r="J497" s="66"/>
      <c r="K497" s="1797" t="s">
        <v>3030</v>
      </c>
      <c r="L497" s="32"/>
      <c r="M497" s="32"/>
      <c r="N497" s="32"/>
      <c r="O497" s="32"/>
      <c r="P497" s="32"/>
      <c r="Q497" s="32"/>
      <c r="R497" s="497"/>
      <c r="S497" s="32"/>
      <c r="T497" s="32"/>
      <c r="U497" s="32"/>
      <c r="V497" s="32"/>
      <c r="W497" s="32"/>
      <c r="X497" s="1750">
        <f t="shared" si="16"/>
        <v>0</v>
      </c>
      <c r="Y497" s="175">
        <f t="shared" si="17"/>
        <v>0</v>
      </c>
    </row>
    <row r="498" spans="1:25" ht="30" x14ac:dyDescent="0.25">
      <c r="A498" s="32"/>
      <c r="B498" s="32"/>
      <c r="C498" s="32"/>
      <c r="D498" s="32">
        <v>5</v>
      </c>
      <c r="E498" s="32">
        <v>2</v>
      </c>
      <c r="F498" s="32"/>
      <c r="G498" s="32"/>
      <c r="H498" s="66" t="str">
        <f>'BID II'!B1052</f>
        <v>Belanja Barang Jasa</v>
      </c>
      <c r="I498" s="32"/>
      <c r="J498" s="66"/>
      <c r="K498" s="1797" t="s">
        <v>3030</v>
      </c>
      <c r="L498" s="32"/>
      <c r="M498" s="32"/>
      <c r="N498" s="32"/>
      <c r="O498" s="32"/>
      <c r="P498" s="32"/>
      <c r="Q498" s="32"/>
      <c r="R498" s="497"/>
      <c r="S498" s="32"/>
      <c r="T498" s="32"/>
      <c r="U498" s="32"/>
      <c r="V498" s="32"/>
      <c r="W498" s="32"/>
      <c r="X498" s="1750">
        <f t="shared" si="16"/>
        <v>0</v>
      </c>
      <c r="Y498" s="175">
        <f t="shared" si="17"/>
        <v>0</v>
      </c>
    </row>
    <row r="499" spans="1:25" ht="30" x14ac:dyDescent="0.25">
      <c r="A499" s="32"/>
      <c r="B499" s="32"/>
      <c r="C499" s="32"/>
      <c r="D499" s="32"/>
      <c r="E499" s="32"/>
      <c r="F499" s="32">
        <v>1</v>
      </c>
      <c r="G499" s="32"/>
      <c r="H499" s="66" t="str">
        <f>'BID II'!B1053</f>
        <v>Belanja Barang Perlengkapan</v>
      </c>
      <c r="I499" s="32"/>
      <c r="J499" s="66"/>
      <c r="K499" s="1797" t="s">
        <v>3030</v>
      </c>
      <c r="L499" s="32"/>
      <c r="M499" s="32"/>
      <c r="N499" s="32"/>
      <c r="O499" s="32"/>
      <c r="P499" s="32"/>
      <c r="Q499" s="32"/>
      <c r="R499" s="497"/>
      <c r="S499" s="32"/>
      <c r="T499" s="32"/>
      <c r="U499" s="32"/>
      <c r="V499" s="32"/>
      <c r="W499" s="32"/>
      <c r="X499" s="1750">
        <f t="shared" si="16"/>
        <v>0</v>
      </c>
      <c r="Y499" s="175">
        <f t="shared" si="17"/>
        <v>0</v>
      </c>
    </row>
    <row r="500" spans="1:25" ht="30" x14ac:dyDescent="0.25">
      <c r="A500" s="32"/>
      <c r="B500" s="32"/>
      <c r="C500" s="32"/>
      <c r="D500" s="32"/>
      <c r="E500" s="32"/>
      <c r="F500" s="32"/>
      <c r="G500" s="1340" t="s">
        <v>2705</v>
      </c>
      <c r="H500" s="66" t="str">
        <f>'BID II'!B1054</f>
        <v>Belanja Perlengkapan Barang Konsumsi</v>
      </c>
      <c r="I500" s="174">
        <f>SUM('BID II'!F1056)</f>
        <v>900000</v>
      </c>
      <c r="J500" s="66" t="s">
        <v>2627</v>
      </c>
      <c r="K500" s="1797" t="s">
        <v>3030</v>
      </c>
      <c r="L500" s="32"/>
      <c r="M500" s="32"/>
      <c r="N500" s="32"/>
      <c r="O500" s="32"/>
      <c r="P500" s="32"/>
      <c r="Q500" s="32"/>
      <c r="R500" s="497">
        <v>900000</v>
      </c>
      <c r="S500" s="32"/>
      <c r="T500" s="32"/>
      <c r="U500" s="32"/>
      <c r="V500" s="32"/>
      <c r="W500" s="32"/>
      <c r="X500" s="1750">
        <f t="shared" si="16"/>
        <v>900000</v>
      </c>
      <c r="Y500" s="175">
        <f t="shared" si="17"/>
        <v>0</v>
      </c>
    </row>
    <row r="501" spans="1:25" ht="30" x14ac:dyDescent="0.25">
      <c r="A501" s="32"/>
      <c r="B501" s="32"/>
      <c r="C501" s="32"/>
      <c r="D501" s="32"/>
      <c r="E501" s="32"/>
      <c r="F501" s="32"/>
      <c r="G501" s="1340" t="s">
        <v>2707</v>
      </c>
      <c r="H501" s="66" t="str">
        <f>'BID II'!B1057</f>
        <v>Bekanja Spanduk</v>
      </c>
      <c r="I501" s="174">
        <f>'BID II'!F1058</f>
        <v>90000</v>
      </c>
      <c r="J501" s="66" t="s">
        <v>2627</v>
      </c>
      <c r="K501" s="1797" t="s">
        <v>3030</v>
      </c>
      <c r="L501" s="32"/>
      <c r="M501" s="32"/>
      <c r="N501" s="32"/>
      <c r="O501" s="32"/>
      <c r="P501" s="32"/>
      <c r="Q501" s="32"/>
      <c r="R501" s="497">
        <v>90000</v>
      </c>
      <c r="S501" s="32"/>
      <c r="T501" s="32"/>
      <c r="U501" s="32"/>
      <c r="V501" s="32"/>
      <c r="W501" s="32"/>
      <c r="X501" s="1750">
        <f t="shared" si="16"/>
        <v>90000</v>
      </c>
      <c r="Y501" s="175">
        <f t="shared" si="17"/>
        <v>0</v>
      </c>
    </row>
    <row r="502" spans="1:25" ht="30" x14ac:dyDescent="0.25">
      <c r="A502" s="32"/>
      <c r="B502" s="32"/>
      <c r="C502" s="32"/>
      <c r="D502" s="32">
        <v>5</v>
      </c>
      <c r="E502" s="32">
        <v>2</v>
      </c>
      <c r="F502" s="32">
        <v>2</v>
      </c>
      <c r="G502" s="32"/>
      <c r="H502" s="66" t="str">
        <f>'BID II'!B1059</f>
        <v>Belanja Jasa Honorarium</v>
      </c>
      <c r="I502" s="32"/>
      <c r="J502" s="66"/>
      <c r="K502" s="1797" t="s">
        <v>3030</v>
      </c>
      <c r="L502" s="32"/>
      <c r="M502" s="32"/>
      <c r="N502" s="32"/>
      <c r="O502" s="32"/>
      <c r="P502" s="32"/>
      <c r="Q502" s="32"/>
      <c r="R502" s="497"/>
      <c r="S502" s="32"/>
      <c r="T502" s="32"/>
      <c r="U502" s="32"/>
      <c r="V502" s="32"/>
      <c r="W502" s="32"/>
      <c r="X502" s="1750">
        <f t="shared" si="16"/>
        <v>0</v>
      </c>
      <c r="Y502" s="175">
        <f t="shared" si="17"/>
        <v>0</v>
      </c>
    </row>
    <row r="503" spans="1:25" ht="30" x14ac:dyDescent="0.25">
      <c r="A503" s="32"/>
      <c r="B503" s="32"/>
      <c r="C503" s="32"/>
      <c r="D503" s="32"/>
      <c r="E503" s="32"/>
      <c r="F503" s="32"/>
      <c r="G503" s="1340" t="s">
        <v>2706</v>
      </c>
      <c r="H503" s="66" t="str">
        <f>'BID II'!B1060</f>
        <v>Belanja Jasa Honorarium Petugas</v>
      </c>
      <c r="I503" s="174">
        <f>'BID II'!F1061</f>
        <v>6000000</v>
      </c>
      <c r="J503" s="66" t="s">
        <v>2627</v>
      </c>
      <c r="K503" s="1797" t="s">
        <v>3030</v>
      </c>
      <c r="L503" s="32"/>
      <c r="M503" s="32"/>
      <c r="N503" s="32"/>
      <c r="O503" s="32"/>
      <c r="P503" s="32"/>
      <c r="Q503" s="32"/>
      <c r="R503" s="497">
        <v>6000000</v>
      </c>
      <c r="S503" s="32"/>
      <c r="T503" s="32"/>
      <c r="U503" s="32"/>
      <c r="V503" s="32"/>
      <c r="W503" s="32"/>
      <c r="X503" s="1750">
        <f t="shared" si="16"/>
        <v>6000000</v>
      </c>
      <c r="Y503" s="175">
        <f t="shared" si="17"/>
        <v>0</v>
      </c>
    </row>
    <row r="504" spans="1:25" ht="45" x14ac:dyDescent="0.25">
      <c r="A504" s="1344">
        <v>2</v>
      </c>
      <c r="B504" s="1344">
        <v>2</v>
      </c>
      <c r="C504" s="1346" t="s">
        <v>2705</v>
      </c>
      <c r="D504" s="1344"/>
      <c r="E504" s="1344"/>
      <c r="F504" s="1344"/>
      <c r="G504" s="1344"/>
      <c r="H504" s="1345" t="str">
        <f>'BID II'!B1076</f>
        <v>: Pengasuhan Bersama atau Bina Keluarga Balita (Pembinaan Kader BKB)</v>
      </c>
      <c r="I504" s="1347">
        <f>SUM(I505:I516)</f>
        <v>18283000</v>
      </c>
      <c r="J504" s="1345" t="s">
        <v>2627</v>
      </c>
      <c r="K504" s="1796" t="s">
        <v>3030</v>
      </c>
      <c r="L504" s="1344"/>
      <c r="M504" s="1344"/>
      <c r="N504" s="1344"/>
      <c r="O504" s="1344"/>
      <c r="P504" s="1344"/>
      <c r="Q504" s="1344"/>
      <c r="R504" s="1344"/>
      <c r="S504" s="1344"/>
      <c r="T504" s="1344"/>
      <c r="U504" s="1344"/>
      <c r="V504" s="1344"/>
      <c r="W504" s="1344"/>
      <c r="X504" s="1353">
        <f t="shared" si="16"/>
        <v>0</v>
      </c>
      <c r="Y504" s="175">
        <f t="shared" si="17"/>
        <v>-18283000</v>
      </c>
    </row>
    <row r="505" spans="1:25" ht="30" x14ac:dyDescent="0.25">
      <c r="A505" s="32"/>
      <c r="B505" s="32"/>
      <c r="C505" s="32"/>
      <c r="D505" s="32"/>
      <c r="E505" s="32"/>
      <c r="F505" s="32"/>
      <c r="G505" s="32"/>
      <c r="H505" s="66" t="str">
        <f>'BID II'!B1082</f>
        <v>Pembinaan Kader BKB</v>
      </c>
      <c r="I505" s="32"/>
      <c r="J505" s="66"/>
      <c r="K505" s="1797" t="s">
        <v>3030</v>
      </c>
      <c r="L505" s="32"/>
      <c r="M505" s="32"/>
      <c r="N505" s="32"/>
      <c r="O505" s="32"/>
      <c r="P505" s="32"/>
      <c r="Q505" s="32"/>
      <c r="R505" s="32"/>
      <c r="S505" s="32"/>
      <c r="T505" s="32"/>
      <c r="U505" s="32"/>
      <c r="V505" s="32"/>
      <c r="W505" s="32"/>
      <c r="X505" s="1750">
        <f t="shared" si="16"/>
        <v>0</v>
      </c>
      <c r="Y505" s="175">
        <f t="shared" si="17"/>
        <v>0</v>
      </c>
    </row>
    <row r="506" spans="1:25" ht="30" x14ac:dyDescent="0.25">
      <c r="A506" s="32"/>
      <c r="B506" s="32"/>
      <c r="C506" s="32"/>
      <c r="D506" s="32">
        <v>5</v>
      </c>
      <c r="E506" s="32">
        <v>2</v>
      </c>
      <c r="F506" s="32"/>
      <c r="G506" s="32"/>
      <c r="H506" s="66" t="str">
        <f>'BID II'!B1083</f>
        <v>Belanja Barang Jasa</v>
      </c>
      <c r="I506" s="32"/>
      <c r="J506" s="66"/>
      <c r="K506" s="1797" t="s">
        <v>3030</v>
      </c>
      <c r="L506" s="32"/>
      <c r="M506" s="32"/>
      <c r="N506" s="32"/>
      <c r="O506" s="32"/>
      <c r="P506" s="32"/>
      <c r="Q506" s="32"/>
      <c r="R506" s="32"/>
      <c r="S506" s="32"/>
      <c r="T506" s="32"/>
      <c r="U506" s="32"/>
      <c r="V506" s="32"/>
      <c r="W506" s="32"/>
      <c r="X506" s="1750">
        <f t="shared" si="16"/>
        <v>0</v>
      </c>
      <c r="Y506" s="175">
        <f t="shared" si="17"/>
        <v>0</v>
      </c>
    </row>
    <row r="507" spans="1:25" ht="30" x14ac:dyDescent="0.25">
      <c r="A507" s="32"/>
      <c r="B507" s="32"/>
      <c r="C507" s="32"/>
      <c r="D507" s="32"/>
      <c r="E507" s="32"/>
      <c r="F507" s="32">
        <v>1</v>
      </c>
      <c r="G507" s="1340" t="s">
        <v>2719</v>
      </c>
      <c r="H507" s="66" t="str">
        <f>'BID II'!B1084</f>
        <v>Belanja Barang Perlengkapan</v>
      </c>
      <c r="I507" s="32"/>
      <c r="J507" s="66"/>
      <c r="K507" s="1797" t="s">
        <v>3030</v>
      </c>
      <c r="L507" s="32"/>
      <c r="M507" s="32"/>
      <c r="N507" s="32"/>
      <c r="O507" s="32"/>
      <c r="P507" s="32"/>
      <c r="Q507" s="32"/>
      <c r="R507" s="32"/>
      <c r="S507" s="32"/>
      <c r="T507" s="32"/>
      <c r="U507" s="32"/>
      <c r="V507" s="32"/>
      <c r="W507" s="32"/>
      <c r="X507" s="1750">
        <f t="shared" si="16"/>
        <v>0</v>
      </c>
      <c r="Y507" s="175">
        <f t="shared" si="17"/>
        <v>0</v>
      </c>
    </row>
    <row r="508" spans="1:25" ht="30" x14ac:dyDescent="0.25">
      <c r="A508" s="32"/>
      <c r="B508" s="32"/>
      <c r="C508" s="32"/>
      <c r="D508" s="32"/>
      <c r="E508" s="32"/>
      <c r="F508" s="32"/>
      <c r="G508" s="1340" t="s">
        <v>2720</v>
      </c>
      <c r="H508" s="66" t="str">
        <f>'BID II'!B1085</f>
        <v>Belanja Alat Tulis Kantor dan Benda Pos</v>
      </c>
      <c r="I508" s="470">
        <f>SUM('BID II'!F1086:F1090)</f>
        <v>3363000</v>
      </c>
      <c r="J508" s="66" t="s">
        <v>2627</v>
      </c>
      <c r="K508" s="1797" t="s">
        <v>3030</v>
      </c>
      <c r="L508" s="32"/>
      <c r="M508" s="32"/>
      <c r="N508" s="32"/>
      <c r="O508" s="32"/>
      <c r="P508" s="32"/>
      <c r="Q508" s="32"/>
      <c r="R508" s="32"/>
      <c r="S508" s="497">
        <v>3363000</v>
      </c>
      <c r="T508" s="32"/>
      <c r="U508" s="32"/>
      <c r="V508" s="32"/>
      <c r="W508" s="32"/>
      <c r="X508" s="1750">
        <f t="shared" si="16"/>
        <v>3363000</v>
      </c>
      <c r="Y508" s="175">
        <f t="shared" si="17"/>
        <v>0</v>
      </c>
    </row>
    <row r="509" spans="1:25" ht="30" x14ac:dyDescent="0.25">
      <c r="A509" s="32"/>
      <c r="B509" s="32"/>
      <c r="C509" s="32"/>
      <c r="D509" s="32"/>
      <c r="E509" s="32"/>
      <c r="F509" s="32"/>
      <c r="G509" s="1340" t="s">
        <v>2705</v>
      </c>
      <c r="H509" s="66" t="str">
        <f>'BID II'!B1092</f>
        <v>Belanja Perlengkapan Barang Konsumsi</v>
      </c>
      <c r="I509" s="174">
        <f>'BID II'!F1093</f>
        <v>1020000</v>
      </c>
      <c r="J509" s="66" t="s">
        <v>2627</v>
      </c>
      <c r="K509" s="1797" t="s">
        <v>3030</v>
      </c>
      <c r="L509" s="32"/>
      <c r="M509" s="32"/>
      <c r="N509" s="32"/>
      <c r="O509" s="32"/>
      <c r="P509" s="32"/>
      <c r="Q509" s="32"/>
      <c r="R509" s="32"/>
      <c r="S509" s="497">
        <v>1020000</v>
      </c>
      <c r="T509" s="32"/>
      <c r="U509" s="32"/>
      <c r="V509" s="32"/>
      <c r="W509" s="32"/>
      <c r="X509" s="1750">
        <f t="shared" si="16"/>
        <v>1020000</v>
      </c>
      <c r="Y509" s="175">
        <f t="shared" si="17"/>
        <v>0</v>
      </c>
    </row>
    <row r="510" spans="1:25" ht="30" x14ac:dyDescent="0.25">
      <c r="A510" s="32"/>
      <c r="B510" s="32"/>
      <c r="C510" s="32"/>
      <c r="D510" s="32"/>
      <c r="E510" s="32"/>
      <c r="F510" s="32"/>
      <c r="G510" s="1340" t="s">
        <v>2707</v>
      </c>
      <c r="H510" s="66" t="str">
        <f>'BID II'!B1095</f>
        <v>Belanja Bendera/ Umbul-umbul/ Spanduk</v>
      </c>
      <c r="I510" s="174">
        <f>'BID II'!F1096</f>
        <v>90000</v>
      </c>
      <c r="J510" s="66" t="s">
        <v>2627</v>
      </c>
      <c r="K510" s="1797" t="s">
        <v>3030</v>
      </c>
      <c r="L510" s="32"/>
      <c r="M510" s="32"/>
      <c r="N510" s="32"/>
      <c r="O510" s="32"/>
      <c r="P510" s="32"/>
      <c r="Q510" s="32"/>
      <c r="R510" s="32"/>
      <c r="S510" s="497">
        <v>90000</v>
      </c>
      <c r="T510" s="32"/>
      <c r="U510" s="32"/>
      <c r="V510" s="32"/>
      <c r="W510" s="32"/>
      <c r="X510" s="1750">
        <f t="shared" si="16"/>
        <v>90000</v>
      </c>
      <c r="Y510" s="175">
        <f t="shared" si="17"/>
        <v>0</v>
      </c>
    </row>
    <row r="511" spans="1:25" ht="30" x14ac:dyDescent="0.25">
      <c r="A511" s="32"/>
      <c r="B511" s="32"/>
      <c r="C511" s="32"/>
      <c r="D511" s="32"/>
      <c r="E511" s="32"/>
      <c r="F511" s="32"/>
      <c r="G511" s="32">
        <v>90</v>
      </c>
      <c r="H511" s="66" t="str">
        <f>'BID II'!B1098</f>
        <v>Belanja Upakara, Upacara Dan Aci-Aci</v>
      </c>
      <c r="I511" s="174">
        <f>SUM('BID II'!F1099:F1101)</f>
        <v>310000</v>
      </c>
      <c r="J511" s="66" t="s">
        <v>2627</v>
      </c>
      <c r="K511" s="1797" t="s">
        <v>3030</v>
      </c>
      <c r="L511" s="32"/>
      <c r="M511" s="32"/>
      <c r="N511" s="32"/>
      <c r="O511" s="32"/>
      <c r="P511" s="32"/>
      <c r="Q511" s="32"/>
      <c r="R511" s="32"/>
      <c r="S511" s="497">
        <v>310000</v>
      </c>
      <c r="T511" s="32"/>
      <c r="U511" s="32"/>
      <c r="V511" s="32"/>
      <c r="W511" s="32"/>
      <c r="X511" s="1750">
        <f t="shared" si="16"/>
        <v>310000</v>
      </c>
      <c r="Y511" s="175">
        <f t="shared" si="17"/>
        <v>0</v>
      </c>
    </row>
    <row r="512" spans="1:25" ht="30" x14ac:dyDescent="0.25">
      <c r="A512" s="32"/>
      <c r="B512" s="32"/>
      <c r="C512" s="32"/>
      <c r="D512" s="32">
        <v>5</v>
      </c>
      <c r="E512" s="32">
        <v>2</v>
      </c>
      <c r="F512" s="32">
        <v>2</v>
      </c>
      <c r="G512" s="32"/>
      <c r="H512" s="66" t="str">
        <f>'BID II'!B1103</f>
        <v>Belanja Jasa Honorarium</v>
      </c>
      <c r="I512" s="32"/>
      <c r="J512" s="66"/>
      <c r="K512" s="1797" t="s">
        <v>3030</v>
      </c>
      <c r="L512" s="32"/>
      <c r="M512" s="32"/>
      <c r="N512" s="32"/>
      <c r="O512" s="32"/>
      <c r="P512" s="32"/>
      <c r="Q512" s="32"/>
      <c r="R512" s="32"/>
      <c r="S512" s="497"/>
      <c r="T512" s="32"/>
      <c r="U512" s="32"/>
      <c r="V512" s="32"/>
      <c r="W512" s="32"/>
      <c r="X512" s="1750">
        <f t="shared" si="16"/>
        <v>0</v>
      </c>
      <c r="Y512" s="175">
        <f t="shared" si="17"/>
        <v>0</v>
      </c>
    </row>
    <row r="513" spans="1:25" ht="30" x14ac:dyDescent="0.25">
      <c r="A513" s="32"/>
      <c r="B513" s="32"/>
      <c r="C513" s="32"/>
      <c r="D513" s="32"/>
      <c r="E513" s="32"/>
      <c r="F513" s="32"/>
      <c r="G513" s="1340" t="s">
        <v>2688</v>
      </c>
      <c r="H513" s="66" t="str">
        <f>'BID II'!B1104</f>
        <v>Honor Tim yang Melaksanakan Kegiatan</v>
      </c>
      <c r="I513" s="174">
        <f>SUM('BID II'!F1105:F1106)</f>
        <v>900000</v>
      </c>
      <c r="J513" s="66" t="s">
        <v>2627</v>
      </c>
      <c r="K513" s="1797" t="s">
        <v>3030</v>
      </c>
      <c r="L513" s="32"/>
      <c r="M513" s="32"/>
      <c r="N513" s="32"/>
      <c r="O513" s="32"/>
      <c r="P513" s="32"/>
      <c r="Q513" s="32"/>
      <c r="R513" s="32"/>
      <c r="S513" s="497">
        <v>900000</v>
      </c>
      <c r="T513" s="32"/>
      <c r="U513" s="32"/>
      <c r="V513" s="32"/>
      <c r="W513" s="32"/>
      <c r="X513" s="1750">
        <f t="shared" si="16"/>
        <v>900000</v>
      </c>
      <c r="Y513" s="175">
        <f t="shared" si="17"/>
        <v>0</v>
      </c>
    </row>
    <row r="514" spans="1:25" ht="60" x14ac:dyDescent="0.25">
      <c r="A514" s="32"/>
      <c r="B514" s="32"/>
      <c r="C514" s="32"/>
      <c r="D514" s="32"/>
      <c r="E514" s="32"/>
      <c r="F514" s="32"/>
      <c r="G514" s="1340" t="s">
        <v>2704</v>
      </c>
      <c r="H514" s="66" t="str">
        <f>'BID II'!B1108</f>
        <v>Belanja Jasa Honorarium Ahli/ Profesi/Konsultan/Narasumber</v>
      </c>
      <c r="I514" s="174">
        <f>'BID II'!F1109</f>
        <v>600000</v>
      </c>
      <c r="J514" s="66" t="s">
        <v>2627</v>
      </c>
      <c r="K514" s="1797" t="s">
        <v>3030</v>
      </c>
      <c r="L514" s="32"/>
      <c r="M514" s="32"/>
      <c r="N514" s="32"/>
      <c r="O514" s="32"/>
      <c r="P514" s="32"/>
      <c r="Q514" s="32"/>
      <c r="R514" s="32"/>
      <c r="S514" s="497">
        <v>600000</v>
      </c>
      <c r="T514" s="32"/>
      <c r="U514" s="32"/>
      <c r="V514" s="32"/>
      <c r="W514" s="32"/>
      <c r="X514" s="1750">
        <f t="shared" si="16"/>
        <v>600000</v>
      </c>
      <c r="Y514" s="175">
        <f t="shared" si="17"/>
        <v>0</v>
      </c>
    </row>
    <row r="515" spans="1:25" ht="30" x14ac:dyDescent="0.25">
      <c r="A515" s="32"/>
      <c r="B515" s="32"/>
      <c r="C515" s="32"/>
      <c r="D515" s="32">
        <v>5</v>
      </c>
      <c r="E515" s="32">
        <v>2</v>
      </c>
      <c r="F515" s="32">
        <v>4</v>
      </c>
      <c r="G515" s="32"/>
      <c r="H515" s="66" t="str">
        <f>'BID II'!B1110</f>
        <v>Belanja Jasa Sewa</v>
      </c>
      <c r="I515" s="32"/>
      <c r="J515" s="66"/>
      <c r="K515" s="1797" t="s">
        <v>3030</v>
      </c>
      <c r="L515" s="32"/>
      <c r="M515" s="32"/>
      <c r="N515" s="32"/>
      <c r="O515" s="32"/>
      <c r="P515" s="32"/>
      <c r="Q515" s="32"/>
      <c r="R515" s="32"/>
      <c r="S515" s="497"/>
      <c r="T515" s="32"/>
      <c r="U515" s="32"/>
      <c r="V515" s="32"/>
      <c r="W515" s="32"/>
      <c r="X515" s="1750">
        <f t="shared" si="16"/>
        <v>0</v>
      </c>
      <c r="Y515" s="175">
        <f t="shared" si="17"/>
        <v>0</v>
      </c>
    </row>
    <row r="516" spans="1:25" ht="30" x14ac:dyDescent="0.25">
      <c r="A516" s="32"/>
      <c r="B516" s="32"/>
      <c r="C516" s="32"/>
      <c r="D516" s="32"/>
      <c r="E516" s="32"/>
      <c r="F516" s="32"/>
      <c r="G516" s="1340" t="s">
        <v>2703</v>
      </c>
      <c r="H516" s="66" t="str">
        <f>'BID II'!B1111</f>
        <v>Belanja Jasa Sewa Sarana Mobilitas</v>
      </c>
      <c r="I516" s="470">
        <f>'BID II'!F1112</f>
        <v>12000000</v>
      </c>
      <c r="J516" s="66" t="s">
        <v>2627</v>
      </c>
      <c r="K516" s="1797" t="s">
        <v>3030</v>
      </c>
      <c r="L516" s="32"/>
      <c r="M516" s="32"/>
      <c r="N516" s="32"/>
      <c r="O516" s="32"/>
      <c r="P516" s="32"/>
      <c r="Q516" s="32"/>
      <c r="R516" s="32"/>
      <c r="S516" s="497">
        <v>12000000</v>
      </c>
      <c r="T516" s="32"/>
      <c r="U516" s="32"/>
      <c r="V516" s="32"/>
      <c r="W516" s="32"/>
      <c r="X516" s="1750">
        <f t="shared" si="16"/>
        <v>12000000</v>
      </c>
      <c r="Y516" s="175">
        <f t="shared" si="17"/>
        <v>0</v>
      </c>
    </row>
    <row r="517" spans="1:25" ht="75" x14ac:dyDescent="0.25">
      <c r="A517" s="1344">
        <v>2</v>
      </c>
      <c r="B517" s="1344">
        <v>2</v>
      </c>
      <c r="C517" s="1346" t="s">
        <v>2705</v>
      </c>
      <c r="D517" s="1344"/>
      <c r="E517" s="1344"/>
      <c r="F517" s="1344"/>
      <c r="G517" s="1344"/>
      <c r="H517" s="1345" t="str">
        <f>'BID II'!B1127</f>
        <v xml:space="preserve"> :  Pengasuhan Bersama atau Bina Keluarga Balita (Pembinaan Kegiatan Bina keluarga Remaja BKR )</v>
      </c>
      <c r="I517" s="1347">
        <f>SUM(I518:I529)</f>
        <v>4875000</v>
      </c>
      <c r="J517" s="1345"/>
      <c r="K517" s="1796" t="s">
        <v>3030</v>
      </c>
      <c r="L517" s="1344"/>
      <c r="M517" s="1344"/>
      <c r="N517" s="1344"/>
      <c r="O517" s="1344"/>
      <c r="P517" s="1344"/>
      <c r="Q517" s="1344"/>
      <c r="R517" s="1344"/>
      <c r="S517" s="1344"/>
      <c r="T517" s="1344"/>
      <c r="U517" s="1344"/>
      <c r="V517" s="1344"/>
      <c r="W517" s="1344"/>
      <c r="X517" s="1353">
        <f t="shared" si="16"/>
        <v>0</v>
      </c>
      <c r="Y517" s="175">
        <f t="shared" si="17"/>
        <v>-4875000</v>
      </c>
    </row>
    <row r="518" spans="1:25" ht="30" x14ac:dyDescent="0.25">
      <c r="A518" s="32"/>
      <c r="B518" s="32"/>
      <c r="C518" s="32"/>
      <c r="D518" s="32"/>
      <c r="E518" s="32"/>
      <c r="F518" s="32"/>
      <c r="G518" s="32"/>
      <c r="H518" s="66" t="str">
        <f>'BID II'!B1133</f>
        <v>Pembinaan Kader BKR</v>
      </c>
      <c r="I518" s="32"/>
      <c r="J518" s="66"/>
      <c r="K518" s="1797" t="s">
        <v>3030</v>
      </c>
      <c r="L518" s="32"/>
      <c r="M518" s="32"/>
      <c r="N518" s="32"/>
      <c r="O518" s="32"/>
      <c r="P518" s="32"/>
      <c r="Q518" s="32"/>
      <c r="R518" s="32"/>
      <c r="S518" s="32"/>
      <c r="T518" s="32"/>
      <c r="U518" s="32"/>
      <c r="V518" s="32"/>
      <c r="W518" s="32"/>
      <c r="X518" s="1750">
        <f t="shared" si="16"/>
        <v>0</v>
      </c>
      <c r="Y518" s="175">
        <f t="shared" si="17"/>
        <v>0</v>
      </c>
    </row>
    <row r="519" spans="1:25" ht="30" x14ac:dyDescent="0.25">
      <c r="A519" s="32"/>
      <c r="B519" s="32"/>
      <c r="C519" s="32"/>
      <c r="D519" s="32">
        <v>5</v>
      </c>
      <c r="E519" s="32">
        <v>2</v>
      </c>
      <c r="F519" s="32"/>
      <c r="G519" s="32"/>
      <c r="H519" s="66" t="str">
        <f>'BID II'!B1134</f>
        <v>Belanja Barang Jasa</v>
      </c>
      <c r="I519" s="32"/>
      <c r="J519" s="66"/>
      <c r="K519" s="1797" t="s">
        <v>3030</v>
      </c>
      <c r="L519" s="32"/>
      <c r="M519" s="32"/>
      <c r="N519" s="32"/>
      <c r="O519" s="32"/>
      <c r="P519" s="32"/>
      <c r="Q519" s="32"/>
      <c r="R519" s="32"/>
      <c r="S519" s="32"/>
      <c r="T519" s="32"/>
      <c r="U519" s="32"/>
      <c r="V519" s="32"/>
      <c r="W519" s="32"/>
      <c r="X519" s="1750">
        <f t="shared" si="16"/>
        <v>0</v>
      </c>
      <c r="Y519" s="175">
        <f t="shared" si="17"/>
        <v>0</v>
      </c>
    </row>
    <row r="520" spans="1:25" ht="30" x14ac:dyDescent="0.25">
      <c r="A520" s="32"/>
      <c r="B520" s="32"/>
      <c r="C520" s="32"/>
      <c r="D520" s="32"/>
      <c r="E520" s="32"/>
      <c r="F520" s="32">
        <v>1</v>
      </c>
      <c r="G520" s="32"/>
      <c r="H520" s="66" t="str">
        <f>'BID II'!B1135</f>
        <v>Belanja Barang Perlengkapan</v>
      </c>
      <c r="I520" s="32"/>
      <c r="J520" s="66"/>
      <c r="K520" s="1797" t="s">
        <v>3030</v>
      </c>
      <c r="L520" s="32"/>
      <c r="M520" s="32"/>
      <c r="N520" s="32"/>
      <c r="O520" s="32"/>
      <c r="P520" s="32"/>
      <c r="Q520" s="32"/>
      <c r="R520" s="32"/>
      <c r="S520" s="32"/>
      <c r="T520" s="32"/>
      <c r="U520" s="32"/>
      <c r="V520" s="32"/>
      <c r="W520" s="32"/>
      <c r="X520" s="1750">
        <f t="shared" si="16"/>
        <v>0</v>
      </c>
      <c r="Y520" s="175">
        <f t="shared" si="17"/>
        <v>0</v>
      </c>
    </row>
    <row r="521" spans="1:25" ht="30" x14ac:dyDescent="0.25">
      <c r="A521" s="32"/>
      <c r="B521" s="32"/>
      <c r="C521" s="32"/>
      <c r="D521" s="32"/>
      <c r="E521" s="32"/>
      <c r="F521" s="32"/>
      <c r="G521" s="1340" t="s">
        <v>2688</v>
      </c>
      <c r="H521" s="66" t="str">
        <f>'BID II'!B1136</f>
        <v>Belanja Alat Tulis Kantor dan Benda Pos</v>
      </c>
      <c r="I521" s="470">
        <f>'BID II'!F1137</f>
        <v>25000</v>
      </c>
      <c r="J521" s="66" t="s">
        <v>2625</v>
      </c>
      <c r="K521" s="1797" t="s">
        <v>3030</v>
      </c>
      <c r="L521" s="32"/>
      <c r="M521" s="32"/>
      <c r="N521" s="32"/>
      <c r="O521" s="32"/>
      <c r="P521" s="32"/>
      <c r="Q521" s="497">
        <v>25000</v>
      </c>
      <c r="R521" s="32"/>
      <c r="S521" s="32"/>
      <c r="T521" s="32"/>
      <c r="U521" s="32"/>
      <c r="V521" s="32"/>
      <c r="W521" s="32"/>
      <c r="X521" s="1750">
        <f t="shared" si="16"/>
        <v>25000</v>
      </c>
      <c r="Y521" s="175">
        <f t="shared" si="17"/>
        <v>0</v>
      </c>
    </row>
    <row r="522" spans="1:25" ht="30" x14ac:dyDescent="0.25">
      <c r="A522" s="32"/>
      <c r="B522" s="32"/>
      <c r="C522" s="32"/>
      <c r="D522" s="32"/>
      <c r="E522" s="32"/>
      <c r="F522" s="32"/>
      <c r="G522" s="1340" t="s">
        <v>2705</v>
      </c>
      <c r="H522" s="66" t="str">
        <f>'BID II'!B1139</f>
        <v>Belanja Perlengkapan Barang Konsumsi</v>
      </c>
      <c r="I522" s="174">
        <f>'BID II'!F1140</f>
        <v>225000</v>
      </c>
      <c r="J522" s="66" t="s">
        <v>2625</v>
      </c>
      <c r="K522" s="1797" t="s">
        <v>3030</v>
      </c>
      <c r="L522" s="32"/>
      <c r="M522" s="32"/>
      <c r="N522" s="32"/>
      <c r="O522" s="32"/>
      <c r="P522" s="32"/>
      <c r="Q522" s="174">
        <v>225000</v>
      </c>
      <c r="R522" s="32"/>
      <c r="S522" s="32"/>
      <c r="T522" s="32"/>
      <c r="U522" s="32"/>
      <c r="V522" s="32"/>
      <c r="W522" s="32"/>
      <c r="X522" s="1750">
        <f t="shared" si="16"/>
        <v>225000</v>
      </c>
      <c r="Y522" s="175">
        <f t="shared" si="17"/>
        <v>0</v>
      </c>
    </row>
    <row r="523" spans="1:25" ht="30" x14ac:dyDescent="0.25">
      <c r="A523" s="32"/>
      <c r="B523" s="32"/>
      <c r="C523" s="32"/>
      <c r="D523" s="32"/>
      <c r="E523" s="32"/>
      <c r="F523" s="32"/>
      <c r="G523" s="1340" t="s">
        <v>2709</v>
      </c>
      <c r="H523" s="66" t="str">
        <f>'BID II'!B1141</f>
        <v>Belanja Pakaian Dinas/ seragam/ atribut</v>
      </c>
      <c r="I523" s="174">
        <f>'BID II'!F1142</f>
        <v>1800000</v>
      </c>
      <c r="J523" s="66" t="s">
        <v>2625</v>
      </c>
      <c r="K523" s="1797" t="s">
        <v>3030</v>
      </c>
      <c r="L523" s="32"/>
      <c r="M523" s="32"/>
      <c r="N523" s="32"/>
      <c r="O523" s="32"/>
      <c r="P523" s="32"/>
      <c r="Q523" s="174">
        <v>1800000</v>
      </c>
      <c r="R523" s="32"/>
      <c r="S523" s="32"/>
      <c r="T523" s="32"/>
      <c r="U523" s="32"/>
      <c r="V523" s="32"/>
      <c r="W523" s="32"/>
      <c r="X523" s="1750">
        <f t="shared" si="16"/>
        <v>1800000</v>
      </c>
      <c r="Y523" s="175">
        <f t="shared" si="17"/>
        <v>0</v>
      </c>
    </row>
    <row r="524" spans="1:25" ht="30" x14ac:dyDescent="0.25">
      <c r="A524" s="32"/>
      <c r="B524" s="32"/>
      <c r="C524" s="32"/>
      <c r="D524" s="32"/>
      <c r="E524" s="32"/>
      <c r="F524" s="32"/>
      <c r="G524" s="1340" t="s">
        <v>2707</v>
      </c>
      <c r="H524" s="66" t="str">
        <f>'BID II'!B1144</f>
        <v>Belanja Bendera/ Umbul-umbul/ Spanduk</v>
      </c>
      <c r="I524" s="174">
        <f>'BID II'!F1145</f>
        <v>150000</v>
      </c>
      <c r="J524" s="66" t="s">
        <v>2625</v>
      </c>
      <c r="K524" s="1797" t="s">
        <v>3030</v>
      </c>
      <c r="L524" s="32"/>
      <c r="M524" s="32"/>
      <c r="N524" s="32"/>
      <c r="O524" s="32"/>
      <c r="P524" s="32"/>
      <c r="Q524" s="174">
        <v>150000</v>
      </c>
      <c r="R524" s="32"/>
      <c r="S524" s="32"/>
      <c r="T524" s="32"/>
      <c r="U524" s="32"/>
      <c r="V524" s="32"/>
      <c r="W524" s="32"/>
      <c r="X524" s="1750">
        <f t="shared" si="16"/>
        <v>150000</v>
      </c>
      <c r="Y524" s="175">
        <f t="shared" si="17"/>
        <v>0</v>
      </c>
    </row>
    <row r="525" spans="1:25" ht="30" x14ac:dyDescent="0.25">
      <c r="A525" s="32"/>
      <c r="B525" s="32"/>
      <c r="C525" s="32"/>
      <c r="D525" s="32"/>
      <c r="E525" s="32"/>
      <c r="F525" s="32"/>
      <c r="G525" s="32">
        <v>90</v>
      </c>
      <c r="H525" s="66" t="str">
        <f>'BID II'!B1147</f>
        <v>Belanja Upakara, Upacara Dan Aci-Aci</v>
      </c>
      <c r="I525" s="174">
        <f>'BID II'!F1148+'BID II'!F1149+'BID II'!F1150</f>
        <v>75000</v>
      </c>
      <c r="J525" s="66" t="s">
        <v>2625</v>
      </c>
      <c r="K525" s="1797" t="s">
        <v>3030</v>
      </c>
      <c r="L525" s="32"/>
      <c r="M525" s="32"/>
      <c r="N525" s="32"/>
      <c r="O525" s="32"/>
      <c r="P525" s="32"/>
      <c r="Q525" s="174">
        <v>75000</v>
      </c>
      <c r="R525" s="32"/>
      <c r="S525" s="32"/>
      <c r="T525" s="32"/>
      <c r="U525" s="32"/>
      <c r="V525" s="32"/>
      <c r="W525" s="32"/>
      <c r="X525" s="1750">
        <f t="shared" si="16"/>
        <v>75000</v>
      </c>
      <c r="Y525" s="175">
        <f t="shared" si="17"/>
        <v>0</v>
      </c>
    </row>
    <row r="526" spans="1:25" ht="30" x14ac:dyDescent="0.25">
      <c r="A526" s="32"/>
      <c r="B526" s="32"/>
      <c r="C526" s="32"/>
      <c r="D526" s="32">
        <v>5</v>
      </c>
      <c r="E526" s="32">
        <v>2</v>
      </c>
      <c r="F526" s="32">
        <v>2</v>
      </c>
      <c r="G526" s="32"/>
      <c r="H526" s="66" t="str">
        <f>'BID II'!B1152</f>
        <v>Belanja Jasa Honorarium</v>
      </c>
      <c r="I526" s="32"/>
      <c r="J526" s="66"/>
      <c r="K526" s="1797" t="s">
        <v>3030</v>
      </c>
      <c r="L526" s="32"/>
      <c r="M526" s="32"/>
      <c r="N526" s="32"/>
      <c r="O526" s="32"/>
      <c r="P526" s="32"/>
      <c r="Q526" s="32"/>
      <c r="R526" s="32"/>
      <c r="S526" s="32"/>
      <c r="T526" s="32"/>
      <c r="U526" s="32"/>
      <c r="V526" s="32"/>
      <c r="W526" s="32"/>
      <c r="X526" s="1750">
        <f t="shared" si="16"/>
        <v>0</v>
      </c>
      <c r="Y526" s="175">
        <f t="shared" si="17"/>
        <v>0</v>
      </c>
    </row>
    <row r="527" spans="1:25" ht="60" x14ac:dyDescent="0.25">
      <c r="A527" s="32"/>
      <c r="B527" s="32"/>
      <c r="C527" s="32"/>
      <c r="D527" s="32"/>
      <c r="E527" s="32"/>
      <c r="F527" s="32"/>
      <c r="G527" s="1340" t="s">
        <v>2704</v>
      </c>
      <c r="H527" s="66" t="str">
        <f>'BID II'!B1153</f>
        <v>Belanja Jasa Honorarium Ahli/ Profesi/Konsultan/Narasumber</v>
      </c>
      <c r="I527" s="174">
        <f>'BID II'!F1154</f>
        <v>600000</v>
      </c>
      <c r="J527" s="66" t="s">
        <v>2625</v>
      </c>
      <c r="K527" s="1797" t="s">
        <v>3030</v>
      </c>
      <c r="L527" s="32"/>
      <c r="M527" s="32"/>
      <c r="N527" s="32"/>
      <c r="O527" s="32"/>
      <c r="P527" s="32"/>
      <c r="Q527" s="174">
        <v>600000</v>
      </c>
      <c r="R527" s="32"/>
      <c r="S527" s="32"/>
      <c r="T527" s="32"/>
      <c r="U527" s="32"/>
      <c r="V527" s="32"/>
      <c r="W527" s="32"/>
      <c r="X527" s="1750">
        <f t="shared" si="16"/>
        <v>600000</v>
      </c>
      <c r="Y527" s="175">
        <f t="shared" si="17"/>
        <v>0</v>
      </c>
    </row>
    <row r="528" spans="1:25" ht="30" x14ac:dyDescent="0.25">
      <c r="A528" s="32"/>
      <c r="B528" s="32"/>
      <c r="C528" s="32"/>
      <c r="D528" s="32">
        <v>5</v>
      </c>
      <c r="E528" s="32">
        <v>2</v>
      </c>
      <c r="F528" s="32">
        <v>4</v>
      </c>
      <c r="G528" s="1340"/>
      <c r="H528" s="66" t="str">
        <f>'BID II'!B1156</f>
        <v>Belanja Jasa Sewa</v>
      </c>
      <c r="I528" s="174"/>
      <c r="J528" s="66"/>
      <c r="K528" s="1797" t="s">
        <v>3030</v>
      </c>
      <c r="L528" s="32"/>
      <c r="M528" s="32"/>
      <c r="N528" s="32"/>
      <c r="O528" s="32"/>
      <c r="P528" s="32"/>
      <c r="Q528" s="174"/>
      <c r="R528" s="32"/>
      <c r="S528" s="32"/>
      <c r="T528" s="32"/>
      <c r="U528" s="32"/>
      <c r="V528" s="32"/>
      <c r="W528" s="32"/>
      <c r="X528" s="1750">
        <f t="shared" si="16"/>
        <v>0</v>
      </c>
      <c r="Y528" s="175">
        <f t="shared" si="17"/>
        <v>0</v>
      </c>
    </row>
    <row r="529" spans="1:25" ht="30" x14ac:dyDescent="0.25">
      <c r="A529" s="32"/>
      <c r="B529" s="32"/>
      <c r="C529" s="32"/>
      <c r="D529" s="32"/>
      <c r="E529" s="32"/>
      <c r="F529" s="32"/>
      <c r="G529" s="1340" t="s">
        <v>2703</v>
      </c>
      <c r="H529" s="66" t="str">
        <f>'BID II'!B1157</f>
        <v>Belanja Jasa Sewa Mobilitas</v>
      </c>
      <c r="I529" s="174">
        <f>'BID II'!F1158</f>
        <v>2000000</v>
      </c>
      <c r="J529" s="66" t="s">
        <v>2620</v>
      </c>
      <c r="K529" s="1797" t="s">
        <v>3030</v>
      </c>
      <c r="L529" s="32"/>
      <c r="M529" s="32"/>
      <c r="N529" s="32"/>
      <c r="O529" s="32"/>
      <c r="P529" s="32"/>
      <c r="Q529" s="174">
        <v>2000000</v>
      </c>
      <c r="R529" s="32"/>
      <c r="S529" s="32"/>
      <c r="T529" s="32"/>
      <c r="U529" s="32"/>
      <c r="V529" s="32"/>
      <c r="W529" s="32"/>
      <c r="X529" s="1750">
        <f t="shared" si="16"/>
        <v>2000000</v>
      </c>
      <c r="Y529" s="175">
        <f t="shared" si="17"/>
        <v>0</v>
      </c>
    </row>
    <row r="530" spans="1:25" ht="60" x14ac:dyDescent="0.25">
      <c r="A530" s="1344">
        <v>2</v>
      </c>
      <c r="B530" s="1344">
        <v>2</v>
      </c>
      <c r="C530" s="1346" t="s">
        <v>2705</v>
      </c>
      <c r="D530" s="1344"/>
      <c r="E530" s="1344"/>
      <c r="F530" s="1344"/>
      <c r="G530" s="1344"/>
      <c r="H530" s="1345" t="str">
        <f>'BID II'!B1173</f>
        <v xml:space="preserve"> :  Pengasuhan Bersama atau Bina Keluarga Remaja (Penyelenggaraan BKR)</v>
      </c>
      <c r="I530" s="1347">
        <f>SUM(I531:I536)</f>
        <v>7471000</v>
      </c>
      <c r="J530" s="1345" t="s">
        <v>2621</v>
      </c>
      <c r="K530" s="1796" t="s">
        <v>3030</v>
      </c>
      <c r="L530" s="1344"/>
      <c r="M530" s="1344"/>
      <c r="N530" s="1344"/>
      <c r="O530" s="1344"/>
      <c r="P530" s="1344"/>
      <c r="Q530" s="1344"/>
      <c r="R530" s="1344"/>
      <c r="S530" s="1344"/>
      <c r="T530" s="1344"/>
      <c r="U530" s="1344"/>
      <c r="V530" s="1344"/>
      <c r="W530" s="1344"/>
      <c r="X530" s="1353">
        <f t="shared" si="16"/>
        <v>0</v>
      </c>
      <c r="Y530" s="175">
        <f t="shared" si="17"/>
        <v>-7471000</v>
      </c>
    </row>
    <row r="531" spans="1:25" ht="30" x14ac:dyDescent="0.25">
      <c r="A531" s="32"/>
      <c r="B531" s="32"/>
      <c r="C531" s="32"/>
      <c r="D531" s="32">
        <v>5</v>
      </c>
      <c r="E531" s="32">
        <v>2</v>
      </c>
      <c r="F531" s="32"/>
      <c r="G531" s="32"/>
      <c r="H531" s="32" t="str">
        <f>'BID II'!B1178</f>
        <v>Belanja Barang Jasa</v>
      </c>
      <c r="I531" s="32"/>
      <c r="J531" s="66"/>
      <c r="K531" s="1797" t="s">
        <v>3030</v>
      </c>
      <c r="L531" s="32"/>
      <c r="M531" s="32"/>
      <c r="N531" s="32"/>
      <c r="O531" s="32"/>
      <c r="P531" s="32"/>
      <c r="Q531" s="32"/>
      <c r="R531" s="32"/>
      <c r="S531" s="32"/>
      <c r="T531" s="32"/>
      <c r="U531" s="32"/>
      <c r="V531" s="32"/>
      <c r="W531" s="32"/>
      <c r="X531" s="1750">
        <f t="shared" si="16"/>
        <v>0</v>
      </c>
      <c r="Y531" s="175">
        <f t="shared" si="17"/>
        <v>0</v>
      </c>
    </row>
    <row r="532" spans="1:25" ht="30" x14ac:dyDescent="0.25">
      <c r="A532" s="32"/>
      <c r="B532" s="32"/>
      <c r="C532" s="32"/>
      <c r="D532" s="32"/>
      <c r="E532" s="32"/>
      <c r="F532" s="32">
        <v>1</v>
      </c>
      <c r="G532" s="32"/>
      <c r="H532" s="66" t="str">
        <f>'BID II'!B1179</f>
        <v>Belanja Barang Perlengkapan</v>
      </c>
      <c r="I532" s="32"/>
      <c r="J532" s="66"/>
      <c r="K532" s="1797" t="s">
        <v>3030</v>
      </c>
      <c r="L532" s="32"/>
      <c r="M532" s="32"/>
      <c r="N532" s="32"/>
      <c r="O532" s="32"/>
      <c r="P532" s="32"/>
      <c r="Q532" s="32"/>
      <c r="R532" s="32"/>
      <c r="S532" s="32"/>
      <c r="T532" s="32"/>
      <c r="U532" s="32"/>
      <c r="V532" s="32"/>
      <c r="W532" s="32"/>
      <c r="X532" s="1750">
        <f t="shared" si="16"/>
        <v>0</v>
      </c>
      <c r="Y532" s="175">
        <f t="shared" si="17"/>
        <v>0</v>
      </c>
    </row>
    <row r="533" spans="1:25" ht="30" x14ac:dyDescent="0.25">
      <c r="A533" s="32"/>
      <c r="B533" s="32"/>
      <c r="C533" s="32"/>
      <c r="D533" s="32"/>
      <c r="E533" s="32"/>
      <c r="F533" s="32"/>
      <c r="G533" s="1340" t="s">
        <v>2688</v>
      </c>
      <c r="H533" s="66" t="str">
        <f>'BID II'!B1180</f>
        <v>Belanja Alat Tulis Kantor dan Benda Pos</v>
      </c>
      <c r="I533" s="470">
        <f>'BID II'!F1181+'BID II'!F1182+'BID II'!F1183</f>
        <v>571000</v>
      </c>
      <c r="J533" s="66" t="s">
        <v>2621</v>
      </c>
      <c r="K533" s="1797" t="s">
        <v>3030</v>
      </c>
      <c r="L533" s="497">
        <v>571000</v>
      </c>
      <c r="M533" s="32"/>
      <c r="N533" s="32"/>
      <c r="O533" s="32"/>
      <c r="P533" s="32"/>
      <c r="Q533" s="32"/>
      <c r="R533" s="32"/>
      <c r="S533" s="32"/>
      <c r="T533" s="32"/>
      <c r="U533" s="32"/>
      <c r="V533" s="32"/>
      <c r="W533" s="32"/>
      <c r="X533" s="1750">
        <f t="shared" si="16"/>
        <v>571000</v>
      </c>
      <c r="Y533" s="175">
        <f t="shared" si="17"/>
        <v>0</v>
      </c>
    </row>
    <row r="534" spans="1:25" ht="30" x14ac:dyDescent="0.25">
      <c r="A534" s="32"/>
      <c r="B534" s="32"/>
      <c r="C534" s="32"/>
      <c r="D534" s="32"/>
      <c r="E534" s="32"/>
      <c r="F534" s="32"/>
      <c r="G534" s="1340" t="s">
        <v>2705</v>
      </c>
      <c r="H534" s="66" t="str">
        <f>'BID II'!B1185</f>
        <v>Belanja Perlengkapan Barang Konsumsi</v>
      </c>
      <c r="I534" s="174">
        <f>'BID II'!F1187</f>
        <v>900000</v>
      </c>
      <c r="J534" s="66" t="s">
        <v>2621</v>
      </c>
      <c r="K534" s="1797" t="s">
        <v>3030</v>
      </c>
      <c r="L534" s="497">
        <v>75000</v>
      </c>
      <c r="M534" s="497">
        <v>75000</v>
      </c>
      <c r="N534" s="497">
        <v>75000</v>
      </c>
      <c r="O534" s="497">
        <v>75000</v>
      </c>
      <c r="P534" s="497">
        <v>75000</v>
      </c>
      <c r="Q534" s="497">
        <v>75000</v>
      </c>
      <c r="R534" s="497">
        <v>75000</v>
      </c>
      <c r="S534" s="497">
        <v>75000</v>
      </c>
      <c r="T534" s="497">
        <v>75000</v>
      </c>
      <c r="U534" s="497">
        <v>75000</v>
      </c>
      <c r="V534" s="497">
        <v>75000</v>
      </c>
      <c r="W534" s="497">
        <v>75000</v>
      </c>
      <c r="X534" s="1750">
        <f t="shared" si="16"/>
        <v>900000</v>
      </c>
      <c r="Y534" s="175">
        <f t="shared" si="17"/>
        <v>0</v>
      </c>
    </row>
    <row r="535" spans="1:25" ht="30" x14ac:dyDescent="0.25">
      <c r="A535" s="32"/>
      <c r="B535" s="32"/>
      <c r="C535" s="32"/>
      <c r="D535" s="32">
        <v>5</v>
      </c>
      <c r="E535" s="32">
        <v>2</v>
      </c>
      <c r="F535" s="32">
        <v>2</v>
      </c>
      <c r="G535" s="32"/>
      <c r="H535" s="66" t="str">
        <f>'BID II'!B1189</f>
        <v>Belanja Jasa Honorarium</v>
      </c>
      <c r="I535" s="32"/>
      <c r="J535" s="66"/>
      <c r="K535" s="1797" t="s">
        <v>3030</v>
      </c>
      <c r="L535" s="32"/>
      <c r="M535" s="32"/>
      <c r="N535" s="32"/>
      <c r="O535" s="32"/>
      <c r="P535" s="32"/>
      <c r="Q535" s="32"/>
      <c r="R535" s="32"/>
      <c r="S535" s="32"/>
      <c r="T535" s="32"/>
      <c r="U535" s="32"/>
      <c r="V535" s="32"/>
      <c r="W535" s="32"/>
      <c r="X535" s="1750">
        <f t="shared" si="16"/>
        <v>0</v>
      </c>
      <c r="Y535" s="175">
        <f t="shared" si="17"/>
        <v>0</v>
      </c>
    </row>
    <row r="536" spans="1:25" ht="30" x14ac:dyDescent="0.25">
      <c r="A536" s="32"/>
      <c r="B536" s="32"/>
      <c r="C536" s="32"/>
      <c r="D536" s="32"/>
      <c r="E536" s="32"/>
      <c r="F536" s="32"/>
      <c r="G536" s="1340" t="s">
        <v>2706</v>
      </c>
      <c r="H536" s="66" t="str">
        <f>'BID II'!B1190</f>
        <v>Belanja Jasa Honorarium Petugas</v>
      </c>
      <c r="I536" s="174">
        <f>SUM('BID II'!F1191)</f>
        <v>6000000</v>
      </c>
      <c r="J536" s="66" t="s">
        <v>2621</v>
      </c>
      <c r="K536" s="1797" t="s">
        <v>3030</v>
      </c>
      <c r="L536" s="497">
        <v>500000</v>
      </c>
      <c r="M536" s="497">
        <v>500000</v>
      </c>
      <c r="N536" s="497">
        <v>500000</v>
      </c>
      <c r="O536" s="497">
        <v>500000</v>
      </c>
      <c r="P536" s="497">
        <v>500000</v>
      </c>
      <c r="Q536" s="497">
        <v>500000</v>
      </c>
      <c r="R536" s="497">
        <v>500000</v>
      </c>
      <c r="S536" s="497">
        <v>500000</v>
      </c>
      <c r="T536" s="497">
        <v>500000</v>
      </c>
      <c r="U536" s="497">
        <v>500000</v>
      </c>
      <c r="V536" s="497">
        <v>500000</v>
      </c>
      <c r="W536" s="497">
        <v>500000</v>
      </c>
      <c r="X536" s="1750">
        <f t="shared" si="16"/>
        <v>6000000</v>
      </c>
      <c r="Y536" s="175">
        <f t="shared" si="17"/>
        <v>0</v>
      </c>
    </row>
    <row r="537" spans="1:25" x14ac:dyDescent="0.25">
      <c r="A537" s="1344">
        <v>2</v>
      </c>
      <c r="B537" s="1344">
        <v>2</v>
      </c>
      <c r="C537" s="1344">
        <v>91</v>
      </c>
      <c r="D537" s="1344"/>
      <c r="E537" s="1344"/>
      <c r="F537" s="1344"/>
      <c r="G537" s="1344"/>
      <c r="H537" s="1344" t="str">
        <f>'BID II'!B1270</f>
        <v>:  Foging Fokus</v>
      </c>
      <c r="I537" s="1347">
        <f>SUM(I538:I546)</f>
        <v>42360000</v>
      </c>
      <c r="J537" s="1345" t="s">
        <v>1682</v>
      </c>
      <c r="K537" s="1347" t="s">
        <v>3031</v>
      </c>
      <c r="L537" s="1344"/>
      <c r="M537" s="1344"/>
      <c r="N537" s="1344"/>
      <c r="O537" s="1344"/>
      <c r="P537" s="1344"/>
      <c r="Q537" s="1344"/>
      <c r="R537" s="1344"/>
      <c r="S537" s="1344"/>
      <c r="T537" s="1344"/>
      <c r="U537" s="1344"/>
      <c r="V537" s="1344"/>
      <c r="W537" s="1344"/>
      <c r="X537" s="1353">
        <f t="shared" si="16"/>
        <v>0</v>
      </c>
      <c r="Y537" s="175">
        <f t="shared" si="17"/>
        <v>-42360000</v>
      </c>
    </row>
    <row r="538" spans="1:25" x14ac:dyDescent="0.25">
      <c r="A538" s="32"/>
      <c r="B538" s="32"/>
      <c r="C538" s="32"/>
      <c r="D538" s="32">
        <v>5</v>
      </c>
      <c r="E538" s="32">
        <v>2</v>
      </c>
      <c r="F538" s="32"/>
      <c r="G538" s="32"/>
      <c r="H538" s="66" t="str">
        <f>'BID II'!B1277</f>
        <v xml:space="preserve">Belanja Barang dan Jasa </v>
      </c>
      <c r="I538" s="32"/>
      <c r="J538" s="66"/>
      <c r="K538" s="497" t="s">
        <v>3031</v>
      </c>
      <c r="L538" s="32"/>
      <c r="M538" s="32"/>
      <c r="N538" s="32"/>
      <c r="O538" s="32"/>
      <c r="P538" s="32"/>
      <c r="Q538" s="32"/>
      <c r="R538" s="32"/>
      <c r="S538" s="32"/>
      <c r="T538" s="32"/>
      <c r="U538" s="32"/>
      <c r="V538" s="32"/>
      <c r="W538" s="32"/>
      <c r="X538" s="1750">
        <f t="shared" si="16"/>
        <v>0</v>
      </c>
      <c r="Y538" s="175">
        <f t="shared" si="17"/>
        <v>0</v>
      </c>
    </row>
    <row r="539" spans="1:25" ht="30" x14ac:dyDescent="0.25">
      <c r="A539" s="32"/>
      <c r="B539" s="32"/>
      <c r="C539" s="32"/>
      <c r="D539" s="32"/>
      <c r="E539" s="32"/>
      <c r="F539" s="32">
        <v>1</v>
      </c>
      <c r="G539" s="32"/>
      <c r="H539" s="66" t="str">
        <f>'BID II'!B1278</f>
        <v>Belanja Barang perlengkapan</v>
      </c>
      <c r="I539" s="32"/>
      <c r="J539" s="66"/>
      <c r="K539" s="497" t="s">
        <v>3031</v>
      </c>
      <c r="L539" s="32"/>
      <c r="M539" s="32"/>
      <c r="N539" s="32"/>
      <c r="O539" s="32"/>
      <c r="P539" s="32"/>
      <c r="Q539" s="32"/>
      <c r="R539" s="32"/>
      <c r="S539" s="32"/>
      <c r="T539" s="32"/>
      <c r="U539" s="32"/>
      <c r="V539" s="32"/>
      <c r="W539" s="32"/>
      <c r="X539" s="1750">
        <f t="shared" si="16"/>
        <v>0</v>
      </c>
      <c r="Y539" s="175">
        <f t="shared" si="17"/>
        <v>0</v>
      </c>
    </row>
    <row r="540" spans="1:25" ht="30" x14ac:dyDescent="0.25">
      <c r="A540" s="32"/>
      <c r="B540" s="32"/>
      <c r="C540" s="32"/>
      <c r="D540" s="32"/>
      <c r="E540" s="32"/>
      <c r="F540" s="32"/>
      <c r="G540" s="1340" t="s">
        <v>2705</v>
      </c>
      <c r="H540" s="66" t="str">
        <f>'BID II'!B1281</f>
        <v>Belanja Perlengkapan Barang konsumsi</v>
      </c>
      <c r="I540" s="174">
        <f>'BID II'!F1282</f>
        <v>900000</v>
      </c>
      <c r="J540" s="66" t="s">
        <v>1682</v>
      </c>
      <c r="K540" s="497" t="s">
        <v>3031</v>
      </c>
      <c r="L540" s="32"/>
      <c r="M540" s="32"/>
      <c r="N540" s="32"/>
      <c r="O540" s="497">
        <v>300000</v>
      </c>
      <c r="P540" s="32"/>
      <c r="Q540" s="32"/>
      <c r="R540" s="32"/>
      <c r="S540" s="497">
        <v>300000</v>
      </c>
      <c r="T540" s="32"/>
      <c r="U540" s="32"/>
      <c r="V540" s="497">
        <v>300000</v>
      </c>
      <c r="W540" s="32"/>
      <c r="X540" s="1750">
        <f t="shared" si="16"/>
        <v>900000</v>
      </c>
      <c r="Y540" s="175">
        <f t="shared" si="17"/>
        <v>0</v>
      </c>
    </row>
    <row r="541" spans="1:25" x14ac:dyDescent="0.25">
      <c r="A541" s="32"/>
      <c r="B541" s="32"/>
      <c r="C541" s="32"/>
      <c r="D541" s="32"/>
      <c r="E541" s="32"/>
      <c r="F541" s="32"/>
      <c r="G541" s="1340" t="s">
        <v>2708</v>
      </c>
      <c r="H541" s="32" t="str">
        <f>'BID II'!B1284</f>
        <v>Belanja Bahan /Material</v>
      </c>
      <c r="I541" s="174">
        <f>SUM('BID II'!F1285:F1290)</f>
        <v>32310000</v>
      </c>
      <c r="J541" s="66" t="s">
        <v>1682</v>
      </c>
      <c r="K541" s="497" t="s">
        <v>3031</v>
      </c>
      <c r="L541" s="32"/>
      <c r="M541" s="32"/>
      <c r="N541" s="32"/>
      <c r="O541" s="497">
        <v>10770000</v>
      </c>
      <c r="P541" s="32"/>
      <c r="Q541" s="32"/>
      <c r="R541" s="32"/>
      <c r="S541" s="497">
        <v>10770000</v>
      </c>
      <c r="T541" s="32"/>
      <c r="U541" s="32"/>
      <c r="V541" s="497">
        <v>10770000</v>
      </c>
      <c r="W541" s="32"/>
      <c r="X541" s="1750">
        <f t="shared" si="16"/>
        <v>32310000</v>
      </c>
      <c r="Y541" s="175">
        <f t="shared" si="17"/>
        <v>0</v>
      </c>
    </row>
    <row r="542" spans="1:25" x14ac:dyDescent="0.25">
      <c r="A542" s="32"/>
      <c r="B542" s="32"/>
      <c r="C542" s="32"/>
      <c r="D542" s="32">
        <v>5</v>
      </c>
      <c r="E542" s="32">
        <v>2</v>
      </c>
      <c r="F542" s="32">
        <v>2</v>
      </c>
      <c r="G542" s="32"/>
      <c r="H542" s="66" t="str">
        <f>'BID II'!B1291</f>
        <v>Belanja Jasa Honorarium</v>
      </c>
      <c r="I542" s="32"/>
      <c r="J542" s="66"/>
      <c r="K542" s="497" t="s">
        <v>3031</v>
      </c>
      <c r="L542" s="32"/>
      <c r="M542" s="32"/>
      <c r="N542" s="32"/>
      <c r="O542" s="497">
        <v>0</v>
      </c>
      <c r="P542" s="32"/>
      <c r="Q542" s="32"/>
      <c r="R542" s="32"/>
      <c r="S542" s="497">
        <v>0</v>
      </c>
      <c r="T542" s="32"/>
      <c r="U542" s="32"/>
      <c r="V542" s="497">
        <v>0</v>
      </c>
      <c r="W542" s="32"/>
      <c r="X542" s="1750">
        <f t="shared" si="16"/>
        <v>0</v>
      </c>
      <c r="Y542" s="175">
        <f t="shared" si="17"/>
        <v>0</v>
      </c>
    </row>
    <row r="543" spans="1:25" ht="45" x14ac:dyDescent="0.25">
      <c r="A543" s="32"/>
      <c r="B543" s="32"/>
      <c r="C543" s="32"/>
      <c r="D543" s="32"/>
      <c r="E543" s="32"/>
      <c r="F543" s="32"/>
      <c r="G543" s="1340" t="s">
        <v>2688</v>
      </c>
      <c r="H543" s="66" t="str">
        <f>'BID II'!B1292</f>
        <v>Belanja Jasa Honorarium Tim Yang Melaksanakan kegiatan</v>
      </c>
      <c r="I543" s="174">
        <f>SUM('BID II'!F1293:F1295)</f>
        <v>1150000</v>
      </c>
      <c r="J543" s="66" t="s">
        <v>1682</v>
      </c>
      <c r="K543" s="497" t="s">
        <v>3031</v>
      </c>
      <c r="L543" s="32"/>
      <c r="M543" s="32"/>
      <c r="N543" s="32"/>
      <c r="O543" s="497">
        <v>383333.33333333331</v>
      </c>
      <c r="P543" s="32"/>
      <c r="Q543" s="32"/>
      <c r="R543" s="32"/>
      <c r="S543" s="497">
        <v>383333.33333333331</v>
      </c>
      <c r="T543" s="32"/>
      <c r="U543" s="32"/>
      <c r="V543" s="497">
        <v>383333.33333333331</v>
      </c>
      <c r="W543" s="32"/>
      <c r="X543" s="1750">
        <f t="shared" si="16"/>
        <v>1150000</v>
      </c>
      <c r="Y543" s="175">
        <f t="shared" si="17"/>
        <v>0</v>
      </c>
    </row>
    <row r="544" spans="1:25" ht="30" x14ac:dyDescent="0.25">
      <c r="A544" s="32"/>
      <c r="B544" s="32"/>
      <c r="C544" s="32"/>
      <c r="D544" s="32"/>
      <c r="E544" s="32"/>
      <c r="F544" s="32"/>
      <c r="G544" s="1340" t="s">
        <v>2706</v>
      </c>
      <c r="H544" s="66" t="str">
        <f>'BID II'!B1297</f>
        <v>Belanja Jasa Honorarium Petugas</v>
      </c>
      <c r="I544" s="174">
        <f>SUM('BID II'!F1298)</f>
        <v>3000000</v>
      </c>
      <c r="J544" s="66" t="s">
        <v>1682</v>
      </c>
      <c r="K544" s="497" t="s">
        <v>3031</v>
      </c>
      <c r="L544" s="32"/>
      <c r="M544" s="32"/>
      <c r="N544" s="32"/>
      <c r="O544" s="497">
        <v>1000000</v>
      </c>
      <c r="P544" s="32"/>
      <c r="Q544" s="32"/>
      <c r="R544" s="32"/>
      <c r="S544" s="497">
        <v>1000000</v>
      </c>
      <c r="T544" s="32"/>
      <c r="U544" s="32"/>
      <c r="V544" s="497">
        <v>1000000</v>
      </c>
      <c r="W544" s="32"/>
      <c r="X544" s="1750">
        <f t="shared" ref="X544:X607" si="18">SUM(L544:W544)</f>
        <v>3000000</v>
      </c>
      <c r="Y544" s="175">
        <f t="shared" si="17"/>
        <v>0</v>
      </c>
    </row>
    <row r="545" spans="1:25" x14ac:dyDescent="0.25">
      <c r="A545" s="32"/>
      <c r="B545" s="32"/>
      <c r="C545" s="32"/>
      <c r="D545" s="32">
        <v>5</v>
      </c>
      <c r="E545" s="32">
        <v>2</v>
      </c>
      <c r="F545" s="32">
        <v>6</v>
      </c>
      <c r="G545" s="32"/>
      <c r="H545" s="32" t="str">
        <f>'BID II'!B1300</f>
        <v>Belanja pemeliharaan</v>
      </c>
      <c r="I545" s="32"/>
      <c r="J545" s="66"/>
      <c r="K545" s="497" t="s">
        <v>3031</v>
      </c>
      <c r="L545" s="32"/>
      <c r="M545" s="32"/>
      <c r="N545" s="32"/>
      <c r="O545" s="497">
        <v>0</v>
      </c>
      <c r="P545" s="32"/>
      <c r="Q545" s="32"/>
      <c r="R545" s="32"/>
      <c r="S545" s="497">
        <v>0</v>
      </c>
      <c r="T545" s="32"/>
      <c r="U545" s="32"/>
      <c r="V545" s="497">
        <v>0</v>
      </c>
      <c r="W545" s="32"/>
      <c r="X545" s="1750">
        <f t="shared" si="18"/>
        <v>0</v>
      </c>
      <c r="Y545" s="175">
        <f t="shared" si="17"/>
        <v>0</v>
      </c>
    </row>
    <row r="546" spans="1:25" x14ac:dyDescent="0.25">
      <c r="A546" s="32"/>
      <c r="B546" s="32"/>
      <c r="C546" s="32"/>
      <c r="D546" s="32"/>
      <c r="E546" s="32"/>
      <c r="F546" s="32"/>
      <c r="G546" s="1340" t="s">
        <v>2688</v>
      </c>
      <c r="H546" s="32" t="str">
        <f>'BID II'!B1301</f>
        <v>Perawatan Mesin</v>
      </c>
      <c r="I546" s="174">
        <f>'BID II'!F1301</f>
        <v>5000000</v>
      </c>
      <c r="J546" s="66" t="s">
        <v>1682</v>
      </c>
      <c r="K546" s="497" t="s">
        <v>3031</v>
      </c>
      <c r="L546" s="32"/>
      <c r="M546" s="32"/>
      <c r="N546" s="32"/>
      <c r="O546" s="497">
        <v>1666666.6666666667</v>
      </c>
      <c r="P546" s="32"/>
      <c r="Q546" s="32"/>
      <c r="R546" s="32"/>
      <c r="S546" s="497">
        <v>1666666.6666666667</v>
      </c>
      <c r="T546" s="32"/>
      <c r="U546" s="32"/>
      <c r="V546" s="497">
        <v>1666666.6666666667</v>
      </c>
      <c r="W546" s="32"/>
      <c r="X546" s="1750">
        <f t="shared" si="18"/>
        <v>5000000</v>
      </c>
      <c r="Y546" s="175">
        <f t="shared" si="17"/>
        <v>0</v>
      </c>
    </row>
    <row r="547" spans="1:25" ht="30" x14ac:dyDescent="0.25">
      <c r="A547" s="1344">
        <v>2</v>
      </c>
      <c r="B547" s="1344">
        <v>2</v>
      </c>
      <c r="C547" s="1344">
        <v>92</v>
      </c>
      <c r="D547" s="1344"/>
      <c r="E547" s="1344"/>
      <c r="F547" s="1344"/>
      <c r="G547" s="1344"/>
      <c r="H547" s="1345" t="str">
        <f>'BID II'!B1316</f>
        <v>: Gerakan Serentak PSN dan Lomba PSN</v>
      </c>
      <c r="I547" s="1347">
        <f>SUM(I548:I563)</f>
        <v>45123000</v>
      </c>
      <c r="J547" s="1345" t="s">
        <v>2620</v>
      </c>
      <c r="K547" s="1347" t="s">
        <v>3031</v>
      </c>
      <c r="L547" s="1344"/>
      <c r="M547" s="1344"/>
      <c r="N547" s="1344"/>
      <c r="O547" s="1344"/>
      <c r="P547" s="1344"/>
      <c r="Q547" s="1344"/>
      <c r="R547" s="1344"/>
      <c r="S547" s="1344"/>
      <c r="T547" s="1344"/>
      <c r="U547" s="1344"/>
      <c r="V547" s="1344"/>
      <c r="W547" s="1344"/>
      <c r="X547" s="1353">
        <f t="shared" si="18"/>
        <v>0</v>
      </c>
      <c r="Y547" s="175">
        <f t="shared" si="17"/>
        <v>-45123000</v>
      </c>
    </row>
    <row r="548" spans="1:25" x14ac:dyDescent="0.25">
      <c r="A548" s="32"/>
      <c r="B548" s="32"/>
      <c r="C548" s="32"/>
      <c r="D548" s="32">
        <v>5</v>
      </c>
      <c r="E548" s="32">
        <v>2</v>
      </c>
      <c r="F548" s="32"/>
      <c r="G548" s="32"/>
      <c r="H548" s="66" t="str">
        <f>'BID II'!B1324</f>
        <v xml:space="preserve">Belanja Barang dan Jasa </v>
      </c>
      <c r="I548" s="32"/>
      <c r="J548" s="66"/>
      <c r="K548" s="497" t="s">
        <v>3031</v>
      </c>
      <c r="L548" s="32"/>
      <c r="M548" s="32"/>
      <c r="N548" s="32"/>
      <c r="O548" s="32"/>
      <c r="P548" s="32"/>
      <c r="Q548" s="32"/>
      <c r="R548" s="32"/>
      <c r="S548" s="32"/>
      <c r="T548" s="32"/>
      <c r="U548" s="32"/>
      <c r="V548" s="32"/>
      <c r="W548" s="32"/>
      <c r="X548" s="1750">
        <f t="shared" si="18"/>
        <v>0</v>
      </c>
      <c r="Y548" s="175">
        <f t="shared" si="17"/>
        <v>0</v>
      </c>
    </row>
    <row r="549" spans="1:25" ht="30" x14ac:dyDescent="0.25">
      <c r="A549" s="32"/>
      <c r="B549" s="32"/>
      <c r="C549" s="32"/>
      <c r="D549" s="32"/>
      <c r="E549" s="32"/>
      <c r="F549" s="32">
        <v>1</v>
      </c>
      <c r="G549" s="32"/>
      <c r="H549" s="66" t="str">
        <f>'BID II'!B1325</f>
        <v>Belanja Barang perlengkapan</v>
      </c>
      <c r="I549" s="32"/>
      <c r="J549" s="66"/>
      <c r="K549" s="497" t="s">
        <v>3031</v>
      </c>
      <c r="L549" s="32"/>
      <c r="M549" s="32"/>
      <c r="N549" s="32"/>
      <c r="O549" s="32"/>
      <c r="P549" s="32"/>
      <c r="Q549" s="32"/>
      <c r="R549" s="32"/>
      <c r="S549" s="32"/>
      <c r="T549" s="32"/>
      <c r="U549" s="32"/>
      <c r="V549" s="32"/>
      <c r="W549" s="32"/>
      <c r="X549" s="1750">
        <f t="shared" si="18"/>
        <v>0</v>
      </c>
      <c r="Y549" s="175">
        <f t="shared" si="17"/>
        <v>0</v>
      </c>
    </row>
    <row r="550" spans="1:25" ht="45" x14ac:dyDescent="0.25">
      <c r="A550" s="32"/>
      <c r="B550" s="32"/>
      <c r="C550" s="32"/>
      <c r="D550" s="32"/>
      <c r="E550" s="32"/>
      <c r="F550" s="32"/>
      <c r="G550" s="1340" t="s">
        <v>2688</v>
      </c>
      <c r="H550" s="66" t="str">
        <f>'BID II'!B1326</f>
        <v>Belanja Perlengkapan Alat Tulis Kantor Dan Benda Pos</v>
      </c>
      <c r="I550" s="174">
        <f>SUM('BID II'!F1327:F1329)</f>
        <v>188000</v>
      </c>
      <c r="J550" s="66" t="s">
        <v>2620</v>
      </c>
      <c r="K550" s="497" t="s">
        <v>3031</v>
      </c>
      <c r="L550" s="32"/>
      <c r="M550" s="32"/>
      <c r="N550" s="32"/>
      <c r="O550" s="32"/>
      <c r="P550" s="32"/>
      <c r="Q550" s="32"/>
      <c r="R550" s="497">
        <v>188000</v>
      </c>
      <c r="S550" s="32"/>
      <c r="T550" s="32"/>
      <c r="U550" s="32"/>
      <c r="V550" s="32"/>
      <c r="W550" s="32"/>
      <c r="X550" s="1750">
        <f t="shared" si="18"/>
        <v>188000</v>
      </c>
      <c r="Y550" s="175">
        <f t="shared" si="17"/>
        <v>0</v>
      </c>
    </row>
    <row r="551" spans="1:25" ht="30" x14ac:dyDescent="0.25">
      <c r="A551" s="32"/>
      <c r="B551" s="32"/>
      <c r="C551" s="32"/>
      <c r="D551" s="32"/>
      <c r="E551" s="32"/>
      <c r="F551" s="32"/>
      <c r="G551" s="1340" t="s">
        <v>2705</v>
      </c>
      <c r="H551" s="66" t="str">
        <f>'BID II'!B1331</f>
        <v>Belanja Perlengkapan Barang Konsumsi</v>
      </c>
      <c r="I551" s="174">
        <f>SUM('BID II'!F1332:F1333)</f>
        <v>20175000</v>
      </c>
      <c r="J551" s="66" t="s">
        <v>2620</v>
      </c>
      <c r="K551" s="497" t="s">
        <v>3031</v>
      </c>
      <c r="L551" s="32"/>
      <c r="M551" s="32"/>
      <c r="N551" s="32"/>
      <c r="O551" s="32"/>
      <c r="P551" s="32"/>
      <c r="Q551" s="32"/>
      <c r="R551" s="497">
        <v>20175000</v>
      </c>
      <c r="S551" s="32"/>
      <c r="T551" s="32"/>
      <c r="U551" s="32"/>
      <c r="V551" s="32"/>
      <c r="W551" s="32"/>
      <c r="X551" s="1750">
        <f t="shared" si="18"/>
        <v>20175000</v>
      </c>
      <c r="Y551" s="175">
        <f t="shared" si="17"/>
        <v>0</v>
      </c>
    </row>
    <row r="552" spans="1:25" ht="30" x14ac:dyDescent="0.25">
      <c r="A552" s="32"/>
      <c r="B552" s="32"/>
      <c r="C552" s="32"/>
      <c r="D552" s="32"/>
      <c r="E552" s="32"/>
      <c r="F552" s="32"/>
      <c r="G552" s="1340" t="s">
        <v>2707</v>
      </c>
      <c r="H552" s="66" t="str">
        <f>'BID II'!B1335</f>
        <v>Belanja Bendera/ Umbul-umbul/ Spanduk</v>
      </c>
      <c r="I552" s="174">
        <f>'BID II'!F1336+'BID II'!F1337</f>
        <v>4170000</v>
      </c>
      <c r="J552" s="66" t="s">
        <v>2620</v>
      </c>
      <c r="K552" s="497" t="s">
        <v>3031</v>
      </c>
      <c r="L552" s="32"/>
      <c r="M552" s="32"/>
      <c r="N552" s="32"/>
      <c r="O552" s="32"/>
      <c r="P552" s="32"/>
      <c r="Q552" s="32"/>
      <c r="R552" s="497">
        <v>4170000</v>
      </c>
      <c r="S552" s="32"/>
      <c r="T552" s="32"/>
      <c r="U552" s="32"/>
      <c r="V552" s="32"/>
      <c r="W552" s="32"/>
      <c r="X552" s="1750">
        <f t="shared" si="18"/>
        <v>4170000</v>
      </c>
      <c r="Y552" s="175">
        <f t="shared" si="17"/>
        <v>0</v>
      </c>
    </row>
    <row r="553" spans="1:25" x14ac:dyDescent="0.25">
      <c r="A553" s="32"/>
      <c r="B553" s="32"/>
      <c r="C553" s="32"/>
      <c r="D553" s="32"/>
      <c r="E553" s="32"/>
      <c r="F553" s="32"/>
      <c r="G553" s="32"/>
      <c r="H553" s="32" t="str">
        <f>'BID II'!B1339</f>
        <v>Lomba PSN</v>
      </c>
      <c r="I553" s="32"/>
      <c r="J553" s="66"/>
      <c r="K553" s="497" t="s">
        <v>3031</v>
      </c>
      <c r="L553" s="32"/>
      <c r="M553" s="32"/>
      <c r="N553" s="32"/>
      <c r="O553" s="32"/>
      <c r="P553" s="32"/>
      <c r="Q553" s="32"/>
      <c r="R553" s="497"/>
      <c r="S553" s="32"/>
      <c r="T553" s="32"/>
      <c r="U553" s="32"/>
      <c r="V553" s="32"/>
      <c r="W553" s="32"/>
      <c r="X553" s="1750">
        <f t="shared" si="18"/>
        <v>0</v>
      </c>
      <c r="Y553" s="175">
        <f t="shared" si="17"/>
        <v>0</v>
      </c>
    </row>
    <row r="554" spans="1:25" x14ac:dyDescent="0.25">
      <c r="A554" s="32"/>
      <c r="B554" s="32"/>
      <c r="C554" s="32"/>
      <c r="D554" s="32">
        <v>5</v>
      </c>
      <c r="E554" s="32">
        <v>2</v>
      </c>
      <c r="F554" s="32"/>
      <c r="G554" s="32"/>
      <c r="H554" s="66" t="str">
        <f>'BID II'!B1341</f>
        <v xml:space="preserve">Belanja Barang dan Jasa </v>
      </c>
      <c r="I554" s="32"/>
      <c r="J554" s="66"/>
      <c r="K554" s="497" t="s">
        <v>3031</v>
      </c>
      <c r="L554" s="32"/>
      <c r="M554" s="32"/>
      <c r="N554" s="32"/>
      <c r="O554" s="32"/>
      <c r="P554" s="32"/>
      <c r="Q554" s="32"/>
      <c r="R554" s="497"/>
      <c r="S554" s="32"/>
      <c r="T554" s="32"/>
      <c r="U554" s="32"/>
      <c r="V554" s="32"/>
      <c r="W554" s="32"/>
      <c r="X554" s="1750">
        <f t="shared" si="18"/>
        <v>0</v>
      </c>
      <c r="Y554" s="175">
        <f t="shared" ref="Y554:Y617" si="19">X554-I554</f>
        <v>0</v>
      </c>
    </row>
    <row r="555" spans="1:25" ht="30" x14ac:dyDescent="0.25">
      <c r="A555" s="32"/>
      <c r="B555" s="32"/>
      <c r="C555" s="32"/>
      <c r="D555" s="32"/>
      <c r="E555" s="32"/>
      <c r="F555" s="32">
        <v>1</v>
      </c>
      <c r="G555" s="32"/>
      <c r="H555" s="66" t="str">
        <f>'BID II'!B1342</f>
        <v>Belanja Barang perlengkapan</v>
      </c>
      <c r="I555" s="32"/>
      <c r="J555" s="66"/>
      <c r="K555" s="497" t="s">
        <v>3031</v>
      </c>
      <c r="L555" s="32"/>
      <c r="M555" s="32"/>
      <c r="N555" s="32"/>
      <c r="O555" s="32"/>
      <c r="P555" s="32"/>
      <c r="Q555" s="32"/>
      <c r="R555" s="497"/>
      <c r="S555" s="32"/>
      <c r="T555" s="32"/>
      <c r="U555" s="32"/>
      <c r="V555" s="32"/>
      <c r="W555" s="32"/>
      <c r="X555" s="1750">
        <f t="shared" si="18"/>
        <v>0</v>
      </c>
      <c r="Y555" s="175">
        <f t="shared" si="19"/>
        <v>0</v>
      </c>
    </row>
    <row r="556" spans="1:25" ht="30" x14ac:dyDescent="0.25">
      <c r="A556" s="32"/>
      <c r="B556" s="32"/>
      <c r="C556" s="32"/>
      <c r="D556" s="32"/>
      <c r="E556" s="32"/>
      <c r="F556" s="32"/>
      <c r="G556" s="1340" t="s">
        <v>2705</v>
      </c>
      <c r="H556" s="66" t="str">
        <f>'BID II'!B1343</f>
        <v>Belanja Perlengkapan Barang Konsumsi</v>
      </c>
      <c r="I556" s="174">
        <f>SUM('BID II'!F1344:F1345)</f>
        <v>1500000</v>
      </c>
      <c r="J556" s="66" t="s">
        <v>2620</v>
      </c>
      <c r="K556" s="497" t="s">
        <v>3031</v>
      </c>
      <c r="L556" s="32"/>
      <c r="M556" s="32"/>
      <c r="N556" s="32"/>
      <c r="O556" s="32"/>
      <c r="P556" s="32"/>
      <c r="Q556" s="32"/>
      <c r="R556" s="497">
        <v>1500000</v>
      </c>
      <c r="S556" s="32"/>
      <c r="T556" s="32"/>
      <c r="U556" s="32"/>
      <c r="V556" s="32"/>
      <c r="W556" s="32"/>
      <c r="X556" s="1750">
        <f t="shared" si="18"/>
        <v>1500000</v>
      </c>
      <c r="Y556" s="175">
        <f t="shared" si="19"/>
        <v>0</v>
      </c>
    </row>
    <row r="557" spans="1:25" ht="30" x14ac:dyDescent="0.25">
      <c r="A557" s="32"/>
      <c r="B557" s="32"/>
      <c r="C557" s="32"/>
      <c r="D557" s="32"/>
      <c r="E557" s="32"/>
      <c r="F557" s="32"/>
      <c r="G557" s="1340" t="s">
        <v>2707</v>
      </c>
      <c r="H557" s="66" t="str">
        <f>'BID II'!B1347</f>
        <v>Belanja Bendera/ Umbul-umbul/ Spanduk</v>
      </c>
      <c r="I557" s="174">
        <f>'BID II'!F1348</f>
        <v>1170000</v>
      </c>
      <c r="J557" s="66" t="s">
        <v>2620</v>
      </c>
      <c r="K557" s="497" t="s">
        <v>3031</v>
      </c>
      <c r="L557" s="32"/>
      <c r="M557" s="32"/>
      <c r="N557" s="32"/>
      <c r="O557" s="32"/>
      <c r="P557" s="32"/>
      <c r="Q557" s="32"/>
      <c r="R557" s="497">
        <v>1170000</v>
      </c>
      <c r="S557" s="32"/>
      <c r="T557" s="32"/>
      <c r="U557" s="32"/>
      <c r="V557" s="32"/>
      <c r="W557" s="32"/>
      <c r="X557" s="1750">
        <f t="shared" si="18"/>
        <v>1170000</v>
      </c>
      <c r="Y557" s="175">
        <f t="shared" si="19"/>
        <v>0</v>
      </c>
    </row>
    <row r="558" spans="1:25" ht="30" x14ac:dyDescent="0.25">
      <c r="A558" s="32"/>
      <c r="B558" s="32"/>
      <c r="C558" s="32"/>
      <c r="D558" s="32"/>
      <c r="E558" s="32"/>
      <c r="F558" s="32"/>
      <c r="G558" s="1340" t="s">
        <v>2709</v>
      </c>
      <c r="H558" s="66" t="str">
        <f>'BID II'!B1350</f>
        <v>Belanja Pakaian Dinas / Seragam/ Atribut</v>
      </c>
      <c r="I558" s="174">
        <f>SUM('BID II'!F1351:F1355)</f>
        <v>3520000</v>
      </c>
      <c r="J558" s="66" t="s">
        <v>2620</v>
      </c>
      <c r="K558" s="497" t="s">
        <v>3031</v>
      </c>
      <c r="L558" s="32"/>
      <c r="M558" s="32"/>
      <c r="N558" s="32"/>
      <c r="O558" s="32"/>
      <c r="P558" s="32"/>
      <c r="Q558" s="32"/>
      <c r="R558" s="497">
        <v>3520000</v>
      </c>
      <c r="S558" s="32"/>
      <c r="T558" s="32"/>
      <c r="U558" s="32"/>
      <c r="V558" s="32"/>
      <c r="W558" s="32"/>
      <c r="X558" s="1750">
        <f t="shared" si="18"/>
        <v>3520000</v>
      </c>
      <c r="Y558" s="175">
        <f t="shared" si="19"/>
        <v>0</v>
      </c>
    </row>
    <row r="559" spans="1:25" x14ac:dyDescent="0.25">
      <c r="A559" s="32"/>
      <c r="B559" s="32"/>
      <c r="C559" s="32"/>
      <c r="D559" s="32">
        <v>5</v>
      </c>
      <c r="E559" s="32">
        <v>2</v>
      </c>
      <c r="F559" s="32">
        <v>2</v>
      </c>
      <c r="G559" s="32"/>
      <c r="H559" s="66" t="str">
        <f>'BID II'!B1357</f>
        <v>Belanaj Jasa Honorarium</v>
      </c>
      <c r="I559" s="32"/>
      <c r="J559" s="66"/>
      <c r="K559" s="497" t="s">
        <v>3031</v>
      </c>
      <c r="L559" s="32"/>
      <c r="M559" s="32"/>
      <c r="N559" s="32"/>
      <c r="O559" s="32"/>
      <c r="P559" s="32"/>
      <c r="Q559" s="32"/>
      <c r="R559" s="497"/>
      <c r="S559" s="32"/>
      <c r="T559" s="32"/>
      <c r="U559" s="32"/>
      <c r="V559" s="32"/>
      <c r="W559" s="32"/>
      <c r="X559" s="1750">
        <f t="shared" si="18"/>
        <v>0</v>
      </c>
      <c r="Y559" s="175">
        <f t="shared" si="19"/>
        <v>0</v>
      </c>
    </row>
    <row r="560" spans="1:25" ht="30" x14ac:dyDescent="0.25">
      <c r="A560" s="32"/>
      <c r="B560" s="32"/>
      <c r="C560" s="32"/>
      <c r="D560" s="32"/>
      <c r="E560" s="32"/>
      <c r="F560" s="32"/>
      <c r="G560" s="1340" t="s">
        <v>2688</v>
      </c>
      <c r="H560" s="66" t="str">
        <f>'BID II'!B1358</f>
        <v>Honor Tim yang Melaksanakan Kegiatan</v>
      </c>
      <c r="I560" s="174">
        <f>'BID II'!F1359+'BID II'!F1360</f>
        <v>700000</v>
      </c>
      <c r="J560" s="66" t="s">
        <v>2620</v>
      </c>
      <c r="K560" s="497" t="s">
        <v>3031</v>
      </c>
      <c r="L560" s="32"/>
      <c r="M560" s="32"/>
      <c r="N560" s="32"/>
      <c r="O560" s="32"/>
      <c r="P560" s="32"/>
      <c r="Q560" s="32"/>
      <c r="R560" s="497">
        <v>700000</v>
      </c>
      <c r="S560" s="32"/>
      <c r="T560" s="32"/>
      <c r="U560" s="32"/>
      <c r="V560" s="32"/>
      <c r="W560" s="32"/>
      <c r="X560" s="1750">
        <f t="shared" si="18"/>
        <v>700000</v>
      </c>
      <c r="Y560" s="175">
        <f t="shared" si="19"/>
        <v>0</v>
      </c>
    </row>
    <row r="561" spans="1:25" ht="60" x14ac:dyDescent="0.25">
      <c r="A561" s="32"/>
      <c r="B561" s="32"/>
      <c r="C561" s="32"/>
      <c r="D561" s="32"/>
      <c r="E561" s="32"/>
      <c r="F561" s="32"/>
      <c r="G561" s="1340" t="s">
        <v>2704</v>
      </c>
      <c r="H561" s="66" t="str">
        <f>'BID II'!B1362</f>
        <v>Belanja Jasa Honorarium Ahli/ Profesi/Konsultan/Narasumber</v>
      </c>
      <c r="I561" s="174">
        <f>'BID II'!F1363</f>
        <v>4200000</v>
      </c>
      <c r="J561" s="66" t="s">
        <v>2620</v>
      </c>
      <c r="K561" s="497" t="s">
        <v>3031</v>
      </c>
      <c r="L561" s="32"/>
      <c r="M561" s="32"/>
      <c r="N561" s="32"/>
      <c r="O561" s="32"/>
      <c r="P561" s="32"/>
      <c r="Q561" s="32"/>
      <c r="R561" s="497">
        <v>4200000</v>
      </c>
      <c r="S561" s="32"/>
      <c r="T561" s="32"/>
      <c r="U561" s="32"/>
      <c r="V561" s="32"/>
      <c r="W561" s="32"/>
      <c r="X561" s="1750">
        <f t="shared" si="18"/>
        <v>4200000</v>
      </c>
      <c r="Y561" s="175">
        <f t="shared" si="19"/>
        <v>0</v>
      </c>
    </row>
    <row r="562" spans="1:25" ht="30" x14ac:dyDescent="0.25">
      <c r="A562" s="32"/>
      <c r="B562" s="32"/>
      <c r="C562" s="32"/>
      <c r="D562" s="32">
        <v>5</v>
      </c>
      <c r="E562" s="32">
        <v>2</v>
      </c>
      <c r="F562" s="32">
        <v>7</v>
      </c>
      <c r="G562" s="32"/>
      <c r="H562" s="66" t="str">
        <f>'BID II'!B1365</f>
        <v>Belanja Barang dan Jasa Yang Di Serahkan</v>
      </c>
      <c r="I562" s="32"/>
      <c r="J562" s="66"/>
      <c r="K562" s="497" t="s">
        <v>3031</v>
      </c>
      <c r="L562" s="32"/>
      <c r="M562" s="32"/>
      <c r="N562" s="32"/>
      <c r="O562" s="32"/>
      <c r="P562" s="32"/>
      <c r="Q562" s="32"/>
      <c r="R562" s="497"/>
      <c r="S562" s="32"/>
      <c r="T562" s="32"/>
      <c r="U562" s="32"/>
      <c r="V562" s="32"/>
      <c r="W562" s="32"/>
      <c r="X562" s="1750">
        <f t="shared" si="18"/>
        <v>0</v>
      </c>
      <c r="Y562" s="175">
        <f t="shared" si="19"/>
        <v>0</v>
      </c>
    </row>
    <row r="563" spans="1:25" x14ac:dyDescent="0.25">
      <c r="A563" s="32"/>
      <c r="B563" s="32"/>
      <c r="C563" s="32"/>
      <c r="D563" s="32"/>
      <c r="E563" s="32"/>
      <c r="F563" s="32"/>
      <c r="G563" s="32">
        <v>90</v>
      </c>
      <c r="H563" s="66" t="str">
        <f>'BID II'!B1366</f>
        <v>Hadiah</v>
      </c>
      <c r="I563" s="174">
        <f>SUM('BID II'!F1367:F1369)</f>
        <v>9500000</v>
      </c>
      <c r="J563" s="66" t="s">
        <v>2620</v>
      </c>
      <c r="K563" s="497" t="s">
        <v>3031</v>
      </c>
      <c r="L563" s="32"/>
      <c r="M563" s="32"/>
      <c r="N563" s="32"/>
      <c r="O563" s="32"/>
      <c r="P563" s="32"/>
      <c r="Q563" s="32"/>
      <c r="R563" s="497">
        <v>9500000</v>
      </c>
      <c r="S563" s="32"/>
      <c r="T563" s="32"/>
      <c r="U563" s="32"/>
      <c r="V563" s="32"/>
      <c r="W563" s="32"/>
      <c r="X563" s="1750">
        <f t="shared" si="18"/>
        <v>9500000</v>
      </c>
      <c r="Y563" s="175">
        <f t="shared" si="19"/>
        <v>0</v>
      </c>
    </row>
    <row r="564" spans="1:25" ht="30" x14ac:dyDescent="0.25">
      <c r="A564" s="1344">
        <v>2</v>
      </c>
      <c r="B564" s="1344">
        <v>2</v>
      </c>
      <c r="C564" s="1344">
        <v>93</v>
      </c>
      <c r="D564" s="1344"/>
      <c r="E564" s="1344"/>
      <c r="F564" s="1344"/>
      <c r="G564" s="1344"/>
      <c r="H564" s="1345" t="str">
        <f>'BID II'!B1384</f>
        <v xml:space="preserve">Penyelengggaraan TPPS Desa </v>
      </c>
      <c r="I564" s="1347">
        <f>SUM(I565:I570)</f>
        <v>6108500</v>
      </c>
      <c r="J564" s="1345" t="s">
        <v>2625</v>
      </c>
      <c r="K564" s="1796" t="s">
        <v>3030</v>
      </c>
      <c r="L564" s="1344"/>
      <c r="M564" s="1344"/>
      <c r="N564" s="1344"/>
      <c r="O564" s="1344"/>
      <c r="P564" s="1344"/>
      <c r="Q564" s="1344"/>
      <c r="R564" s="1344"/>
      <c r="S564" s="1344"/>
      <c r="T564" s="1344"/>
      <c r="U564" s="1344"/>
      <c r="V564" s="1344"/>
      <c r="W564" s="1344"/>
      <c r="X564" s="1353">
        <f t="shared" si="18"/>
        <v>0</v>
      </c>
      <c r="Y564" s="175">
        <f t="shared" si="19"/>
        <v>-6108500</v>
      </c>
    </row>
    <row r="565" spans="1:25" ht="30" x14ac:dyDescent="0.25">
      <c r="A565" s="32"/>
      <c r="B565" s="32"/>
      <c r="C565" s="32"/>
      <c r="D565" s="32">
        <v>5</v>
      </c>
      <c r="E565" s="32">
        <v>2</v>
      </c>
      <c r="F565" s="32"/>
      <c r="G565" s="32"/>
      <c r="H565" s="66" t="str">
        <f>'BID II'!B1389</f>
        <v>Belanja Barang Jasa :</v>
      </c>
      <c r="I565" s="32"/>
      <c r="J565" s="66"/>
      <c r="K565" s="1797" t="s">
        <v>3030</v>
      </c>
      <c r="L565" s="32"/>
      <c r="M565" s="32"/>
      <c r="N565" s="32"/>
      <c r="O565" s="32"/>
      <c r="P565" s="32"/>
      <c r="Q565" s="32"/>
      <c r="R565" s="32"/>
      <c r="S565" s="32"/>
      <c r="T565" s="32"/>
      <c r="U565" s="32"/>
      <c r="V565" s="32"/>
      <c r="W565" s="32"/>
      <c r="X565" s="1750">
        <f t="shared" si="18"/>
        <v>0</v>
      </c>
      <c r="Y565" s="175">
        <f t="shared" si="19"/>
        <v>0</v>
      </c>
    </row>
    <row r="566" spans="1:25" ht="30" x14ac:dyDescent="0.25">
      <c r="A566" s="32"/>
      <c r="B566" s="32"/>
      <c r="C566" s="32"/>
      <c r="D566" s="32"/>
      <c r="E566" s="32"/>
      <c r="F566" s="32">
        <v>1</v>
      </c>
      <c r="G566" s="32"/>
      <c r="H566" s="66" t="str">
        <f>'BID II'!B1390</f>
        <v>Belanja Barang Perlengkapan</v>
      </c>
      <c r="I566" s="32"/>
      <c r="J566" s="66"/>
      <c r="K566" s="1797" t="s">
        <v>3030</v>
      </c>
      <c r="L566" s="32"/>
      <c r="M566" s="32"/>
      <c r="N566" s="32"/>
      <c r="O566" s="32"/>
      <c r="P566" s="32"/>
      <c r="Q566" s="32"/>
      <c r="R566" s="32"/>
      <c r="S566" s="32"/>
      <c r="T566" s="32"/>
      <c r="U566" s="32"/>
      <c r="V566" s="32"/>
      <c r="W566" s="32"/>
      <c r="X566" s="1750">
        <f t="shared" si="18"/>
        <v>0</v>
      </c>
      <c r="Y566" s="175">
        <f t="shared" si="19"/>
        <v>0</v>
      </c>
    </row>
    <row r="567" spans="1:25" ht="45" x14ac:dyDescent="0.25">
      <c r="A567" s="32"/>
      <c r="B567" s="32"/>
      <c r="C567" s="32"/>
      <c r="D567" s="32"/>
      <c r="E567" s="32"/>
      <c r="F567" s="32"/>
      <c r="G567" s="1340" t="s">
        <v>2688</v>
      </c>
      <c r="H567" s="66" t="str">
        <f>'BID II'!B1391</f>
        <v>Belanja perlengkapan alat tulis kantor dan Benda Pos</v>
      </c>
      <c r="I567" s="513">
        <f>SUM('BID II'!F1392:F1399)</f>
        <v>1508500</v>
      </c>
      <c r="J567" s="66" t="s">
        <v>2625</v>
      </c>
      <c r="K567" s="1797" t="s">
        <v>3030</v>
      </c>
      <c r="L567" s="32"/>
      <c r="M567" s="32"/>
      <c r="N567" s="32"/>
      <c r="O567" s="32"/>
      <c r="P567" s="32"/>
      <c r="Q567" s="32"/>
      <c r="R567" s="513">
        <v>1508500</v>
      </c>
      <c r="S567" s="32"/>
      <c r="T567" s="32"/>
      <c r="U567" s="32"/>
      <c r="V567" s="32"/>
      <c r="W567" s="32"/>
      <c r="X567" s="1750">
        <f t="shared" si="18"/>
        <v>1508500</v>
      </c>
      <c r="Y567" s="175">
        <f t="shared" si="19"/>
        <v>0</v>
      </c>
    </row>
    <row r="568" spans="1:25" ht="60" x14ac:dyDescent="0.25">
      <c r="A568" s="32"/>
      <c r="B568" s="32"/>
      <c r="C568" s="32"/>
      <c r="D568" s="32"/>
      <c r="E568" s="32"/>
      <c r="F568" s="32"/>
      <c r="G568" s="1340" t="s">
        <v>2705</v>
      </c>
      <c r="H568" s="66" t="str">
        <f>'BID II'!B1403</f>
        <v>Belanja perlengkapan barang konsumsi (makan/ minum) Belanja Barang konsumsi</v>
      </c>
      <c r="I568" s="513">
        <f>'BID II'!F1404</f>
        <v>3000000</v>
      </c>
      <c r="J568" s="66" t="s">
        <v>2625</v>
      </c>
      <c r="K568" s="1797" t="s">
        <v>3030</v>
      </c>
      <c r="L568" s="32"/>
      <c r="M568" s="32"/>
      <c r="N568" s="32"/>
      <c r="O568" s="32"/>
      <c r="P568" s="32"/>
      <c r="Q568" s="32"/>
      <c r="R568" s="513">
        <v>3000000</v>
      </c>
      <c r="S568" s="32"/>
      <c r="T568" s="32"/>
      <c r="U568" s="32"/>
      <c r="V568" s="32"/>
      <c r="W568" s="32"/>
      <c r="X568" s="1750">
        <f t="shared" si="18"/>
        <v>3000000</v>
      </c>
      <c r="Y568" s="175">
        <f t="shared" si="19"/>
        <v>0</v>
      </c>
    </row>
    <row r="569" spans="1:25" ht="45" x14ac:dyDescent="0.25">
      <c r="A569" s="32"/>
      <c r="B569" s="32"/>
      <c r="C569" s="32"/>
      <c r="D569" s="32">
        <v>5</v>
      </c>
      <c r="E569" s="32">
        <v>2</v>
      </c>
      <c r="F569" s="32">
        <v>7</v>
      </c>
      <c r="G569" s="32"/>
      <c r="H569" s="66" t="str">
        <f>'BID II'!B1409</f>
        <v>Belanja Barang dan jasa yang diesrahkan kepada Masyarakat</v>
      </c>
      <c r="I569" s="32"/>
      <c r="J569" s="66"/>
      <c r="K569" s="1797" t="s">
        <v>3030</v>
      </c>
      <c r="L569" s="32"/>
      <c r="M569" s="32"/>
      <c r="N569" s="32"/>
      <c r="O569" s="32"/>
      <c r="P569" s="32"/>
      <c r="Q569" s="32"/>
      <c r="R569" s="32"/>
      <c r="S569" s="32"/>
      <c r="T569" s="32"/>
      <c r="U569" s="32"/>
      <c r="V569" s="32"/>
      <c r="W569" s="32"/>
      <c r="X569" s="1750">
        <f t="shared" si="18"/>
        <v>0</v>
      </c>
      <c r="Y569" s="175">
        <f t="shared" si="19"/>
        <v>0</v>
      </c>
    </row>
    <row r="570" spans="1:25" ht="30" x14ac:dyDescent="0.25">
      <c r="A570" s="32"/>
      <c r="B570" s="32"/>
      <c r="C570" s="32"/>
      <c r="D570" s="32"/>
      <c r="E570" s="32"/>
      <c r="F570" s="32"/>
      <c r="G570" s="32">
        <v>91</v>
      </c>
      <c r="H570" s="66" t="str">
        <f>'BID II'!B1410</f>
        <v>Belanja Uang Saku</v>
      </c>
      <c r="I570" s="470">
        <f>'BID II'!F1411</f>
        <v>1600000</v>
      </c>
      <c r="J570" s="66" t="s">
        <v>2625</v>
      </c>
      <c r="K570" s="1797" t="s">
        <v>3030</v>
      </c>
      <c r="L570" s="32"/>
      <c r="M570" s="32"/>
      <c r="N570" s="32"/>
      <c r="O570" s="32"/>
      <c r="P570" s="32"/>
      <c r="Q570" s="32"/>
      <c r="R570" s="497">
        <v>1600000</v>
      </c>
      <c r="S570" s="32"/>
      <c r="T570" s="32"/>
      <c r="U570" s="32"/>
      <c r="V570" s="32"/>
      <c r="W570" s="32"/>
      <c r="X570" s="1750">
        <f t="shared" si="18"/>
        <v>1600000</v>
      </c>
      <c r="Y570" s="175">
        <f t="shared" si="19"/>
        <v>0</v>
      </c>
    </row>
    <row r="571" spans="1:25" ht="30" x14ac:dyDescent="0.25">
      <c r="A571" s="1344">
        <v>2</v>
      </c>
      <c r="B571" s="1344">
        <v>2</v>
      </c>
      <c r="C571" s="1344">
        <v>93</v>
      </c>
      <c r="D571" s="1344"/>
      <c r="E571" s="1344"/>
      <c r="F571" s="1344"/>
      <c r="G571" s="1344"/>
      <c r="H571" s="1344" t="str">
        <f>'BID II'!B1425</f>
        <v>: Rembuk Stunting</v>
      </c>
      <c r="I571" s="1347">
        <f>SUM(I572:I579)</f>
        <v>3160000</v>
      </c>
      <c r="J571" s="1345" t="s">
        <v>2625</v>
      </c>
      <c r="K571" s="1796" t="s">
        <v>3030</v>
      </c>
      <c r="L571" s="1344"/>
      <c r="M571" s="1344"/>
      <c r="N571" s="1344"/>
      <c r="O571" s="1344"/>
      <c r="P571" s="1344"/>
      <c r="Q571" s="1344"/>
      <c r="R571" s="1344"/>
      <c r="S571" s="1344"/>
      <c r="T571" s="1344"/>
      <c r="U571" s="1344"/>
      <c r="V571" s="1344"/>
      <c r="W571" s="1344"/>
      <c r="X571" s="1353">
        <f t="shared" si="18"/>
        <v>0</v>
      </c>
      <c r="Y571" s="175">
        <f t="shared" si="19"/>
        <v>-3160000</v>
      </c>
    </row>
    <row r="572" spans="1:25" ht="30" x14ac:dyDescent="0.25">
      <c r="A572" s="32"/>
      <c r="B572" s="32"/>
      <c r="C572" s="32"/>
      <c r="D572" s="32">
        <v>5</v>
      </c>
      <c r="E572" s="32">
        <v>2</v>
      </c>
      <c r="F572" s="32"/>
      <c r="G572" s="32"/>
      <c r="H572" s="66" t="str">
        <f>'BID II'!B1428</f>
        <v>Belanja Barang Jasa</v>
      </c>
      <c r="I572" s="32"/>
      <c r="J572" s="66"/>
      <c r="K572" s="1797" t="s">
        <v>3030</v>
      </c>
      <c r="L572" s="32"/>
      <c r="M572" s="32"/>
      <c r="N572" s="32"/>
      <c r="O572" s="32"/>
      <c r="P572" s="32"/>
      <c r="Q572" s="32"/>
      <c r="R572" s="32"/>
      <c r="S572" s="32"/>
      <c r="T572" s="32"/>
      <c r="U572" s="32"/>
      <c r="V572" s="32"/>
      <c r="W572" s="32"/>
      <c r="X572" s="1750">
        <f t="shared" si="18"/>
        <v>0</v>
      </c>
      <c r="Y572" s="175">
        <f t="shared" si="19"/>
        <v>0</v>
      </c>
    </row>
    <row r="573" spans="1:25" ht="30" x14ac:dyDescent="0.25">
      <c r="A573" s="32"/>
      <c r="B573" s="32"/>
      <c r="C573" s="32"/>
      <c r="D573" s="32"/>
      <c r="E573" s="32"/>
      <c r="F573" s="32">
        <v>1</v>
      </c>
      <c r="G573" s="32"/>
      <c r="H573" s="66" t="str">
        <f>'BID II'!B1429</f>
        <v>Belanja Barang Perlengkapan</v>
      </c>
      <c r="I573" s="32"/>
      <c r="J573" s="66"/>
      <c r="K573" s="1797" t="s">
        <v>3030</v>
      </c>
      <c r="L573" s="32"/>
      <c r="M573" s="32"/>
      <c r="N573" s="32"/>
      <c r="O573" s="32"/>
      <c r="P573" s="32"/>
      <c r="Q573" s="32"/>
      <c r="R573" s="32"/>
      <c r="S573" s="32"/>
      <c r="T573" s="32"/>
      <c r="U573" s="32"/>
      <c r="V573" s="32"/>
      <c r="W573" s="32"/>
      <c r="X573" s="1750">
        <f t="shared" si="18"/>
        <v>0</v>
      </c>
      <c r="Y573" s="175">
        <f t="shared" si="19"/>
        <v>0</v>
      </c>
    </row>
    <row r="574" spans="1:25" ht="30" x14ac:dyDescent="0.25">
      <c r="A574" s="32"/>
      <c r="B574" s="32"/>
      <c r="C574" s="32"/>
      <c r="D574" s="32"/>
      <c r="E574" s="32"/>
      <c r="F574" s="32"/>
      <c r="G574" s="1340" t="s">
        <v>2688</v>
      </c>
      <c r="H574" s="66" t="str">
        <f>'BID II'!B1430</f>
        <v>Belanja Alat Tulis Kantor dan Benda Pos</v>
      </c>
      <c r="I574" s="174">
        <f>SUM('BID II'!F1431:F1434)</f>
        <v>520000</v>
      </c>
      <c r="J574" s="66" t="s">
        <v>2625</v>
      </c>
      <c r="K574" s="1797" t="s">
        <v>3030</v>
      </c>
      <c r="L574" s="32"/>
      <c r="M574" s="32"/>
      <c r="N574" s="32"/>
      <c r="O574" s="32"/>
      <c r="P574" s="32"/>
      <c r="Q574" s="32"/>
      <c r="R574" s="497">
        <v>520000</v>
      </c>
      <c r="S574" s="32"/>
      <c r="T574" s="32"/>
      <c r="U574" s="32"/>
      <c r="V574" s="32"/>
      <c r="W574" s="32"/>
      <c r="X574" s="1750">
        <f t="shared" si="18"/>
        <v>520000</v>
      </c>
      <c r="Y574" s="175">
        <f t="shared" si="19"/>
        <v>0</v>
      </c>
    </row>
    <row r="575" spans="1:25" ht="30" x14ac:dyDescent="0.25">
      <c r="A575" s="32"/>
      <c r="B575" s="32"/>
      <c r="C575" s="32"/>
      <c r="D575" s="32"/>
      <c r="E575" s="32"/>
      <c r="F575" s="32"/>
      <c r="G575" s="1340" t="s">
        <v>2705</v>
      </c>
      <c r="H575" s="66" t="str">
        <f>'BID II'!B1436</f>
        <v>Belanja Perlengkapan Barang Konsumsi</v>
      </c>
      <c r="I575" s="174">
        <f>'BID II'!F1437</f>
        <v>900000</v>
      </c>
      <c r="J575" s="66" t="s">
        <v>2625</v>
      </c>
      <c r="K575" s="1797" t="s">
        <v>3030</v>
      </c>
      <c r="L575" s="32"/>
      <c r="M575" s="32"/>
      <c r="N575" s="32"/>
      <c r="O575" s="32"/>
      <c r="P575" s="32"/>
      <c r="Q575" s="32"/>
      <c r="R575" s="497">
        <v>900000</v>
      </c>
      <c r="S575" s="32"/>
      <c r="T575" s="32"/>
      <c r="U575" s="32"/>
      <c r="V575" s="32"/>
      <c r="W575" s="32"/>
      <c r="X575" s="1750">
        <f t="shared" si="18"/>
        <v>900000</v>
      </c>
      <c r="Y575" s="175">
        <f t="shared" si="19"/>
        <v>0</v>
      </c>
    </row>
    <row r="576" spans="1:25" ht="30" x14ac:dyDescent="0.25">
      <c r="A576" s="32"/>
      <c r="B576" s="32"/>
      <c r="C576" s="32"/>
      <c r="D576" s="32"/>
      <c r="E576" s="32"/>
      <c r="F576" s="32"/>
      <c r="G576" s="1340" t="s">
        <v>2707</v>
      </c>
      <c r="H576" s="66" t="str">
        <f>'BID II'!B1439</f>
        <v>Belanja Bendera/ Umbul-umbul/ Spanduk</v>
      </c>
      <c r="I576" s="174">
        <f>'BID II'!F1440</f>
        <v>90000</v>
      </c>
      <c r="J576" s="66" t="s">
        <v>2625</v>
      </c>
      <c r="K576" s="1797" t="s">
        <v>3030</v>
      </c>
      <c r="L576" s="32"/>
      <c r="M576" s="32"/>
      <c r="N576" s="32"/>
      <c r="O576" s="32"/>
      <c r="P576" s="32"/>
      <c r="Q576" s="32"/>
      <c r="R576" s="497">
        <v>90000</v>
      </c>
      <c r="S576" s="32"/>
      <c r="T576" s="32"/>
      <c r="U576" s="32"/>
      <c r="V576" s="32"/>
      <c r="W576" s="32"/>
      <c r="X576" s="1750">
        <f t="shared" si="18"/>
        <v>90000</v>
      </c>
      <c r="Y576" s="175">
        <f t="shared" si="19"/>
        <v>0</v>
      </c>
    </row>
    <row r="577" spans="1:25" ht="30" x14ac:dyDescent="0.25">
      <c r="A577" s="32"/>
      <c r="B577" s="32"/>
      <c r="C577" s="32"/>
      <c r="D577" s="32">
        <v>5</v>
      </c>
      <c r="E577" s="32">
        <v>2</v>
      </c>
      <c r="F577" s="32">
        <v>2</v>
      </c>
      <c r="G577" s="32"/>
      <c r="H577" s="66" t="str">
        <f>'BID II'!B1442</f>
        <v>Belanja Jasa Honorarium</v>
      </c>
      <c r="I577" s="32"/>
      <c r="J577" s="66"/>
      <c r="K577" s="1797" t="s">
        <v>3030</v>
      </c>
      <c r="L577" s="32"/>
      <c r="M577" s="32"/>
      <c r="N577" s="32"/>
      <c r="O577" s="32"/>
      <c r="P577" s="32"/>
      <c r="Q577" s="32"/>
      <c r="R577" s="497"/>
      <c r="S577" s="32"/>
      <c r="T577" s="32"/>
      <c r="U577" s="32"/>
      <c r="V577" s="32"/>
      <c r="W577" s="32"/>
      <c r="X577" s="1750">
        <f t="shared" si="18"/>
        <v>0</v>
      </c>
      <c r="Y577" s="175">
        <f t="shared" si="19"/>
        <v>0</v>
      </c>
    </row>
    <row r="578" spans="1:25" ht="45" x14ac:dyDescent="0.25">
      <c r="A578" s="32"/>
      <c r="B578" s="32"/>
      <c r="C578" s="32"/>
      <c r="D578" s="32"/>
      <c r="E578" s="32"/>
      <c r="F578" s="32"/>
      <c r="G578" s="1340" t="s">
        <v>2688</v>
      </c>
      <c r="H578" s="66" t="str">
        <f>'BID II'!B1443</f>
        <v>Belanja Jasa Honorarium Tim yang Melaksanakan Kegiatan (TPK )</v>
      </c>
      <c r="I578" s="174">
        <f>SUM('BID II'!F1444:F1446)</f>
        <v>1150000</v>
      </c>
      <c r="J578" s="66" t="s">
        <v>2625</v>
      </c>
      <c r="K578" s="1797" t="s">
        <v>3030</v>
      </c>
      <c r="L578" s="32"/>
      <c r="M578" s="32"/>
      <c r="N578" s="32"/>
      <c r="O578" s="32"/>
      <c r="P578" s="32"/>
      <c r="Q578" s="32"/>
      <c r="R578" s="497">
        <v>1150000</v>
      </c>
      <c r="S578" s="32"/>
      <c r="T578" s="32"/>
      <c r="U578" s="32"/>
      <c r="V578" s="32"/>
      <c r="W578" s="32"/>
      <c r="X578" s="1750">
        <f t="shared" si="18"/>
        <v>1150000</v>
      </c>
      <c r="Y578" s="175">
        <f t="shared" si="19"/>
        <v>0</v>
      </c>
    </row>
    <row r="579" spans="1:25" ht="60" x14ac:dyDescent="0.25">
      <c r="A579" s="32"/>
      <c r="B579" s="32"/>
      <c r="C579" s="32"/>
      <c r="D579" s="32"/>
      <c r="E579" s="32"/>
      <c r="F579" s="32"/>
      <c r="G579" s="1340" t="s">
        <v>2704</v>
      </c>
      <c r="H579" s="66" t="str">
        <f>'BID II'!B1448</f>
        <v>Belanja Jasa Honorarium Ahli/ Profesi/Konsultan/Narasumber</v>
      </c>
      <c r="I579" s="174">
        <f>'BID II'!F1449+'BID II'!F1450</f>
        <v>500000</v>
      </c>
      <c r="J579" s="66" t="s">
        <v>2625</v>
      </c>
      <c r="K579" s="1797" t="s">
        <v>3030</v>
      </c>
      <c r="L579" s="32"/>
      <c r="M579" s="32"/>
      <c r="N579" s="32"/>
      <c r="O579" s="32"/>
      <c r="P579" s="32"/>
      <c r="Q579" s="32"/>
      <c r="R579" s="497">
        <v>500000</v>
      </c>
      <c r="S579" s="32"/>
      <c r="T579" s="32"/>
      <c r="U579" s="32"/>
      <c r="V579" s="32"/>
      <c r="W579" s="32"/>
      <c r="X579" s="1750">
        <f t="shared" si="18"/>
        <v>500000</v>
      </c>
      <c r="Y579" s="175">
        <f t="shared" si="19"/>
        <v>0</v>
      </c>
    </row>
    <row r="580" spans="1:25" ht="30" x14ac:dyDescent="0.25">
      <c r="A580" s="1344">
        <v>2</v>
      </c>
      <c r="B580" s="1344">
        <v>2</v>
      </c>
      <c r="C580" s="1346" t="s">
        <v>2702</v>
      </c>
      <c r="D580" s="1344"/>
      <c r="E580" s="1344"/>
      <c r="F580" s="1344"/>
      <c r="G580" s="1344"/>
      <c r="H580" s="1345" t="str">
        <f>'BID II'!B1467</f>
        <v>: Pembinaan Posyandu Remaja</v>
      </c>
      <c r="I580" s="1347">
        <f>SUM(I581:I587)</f>
        <v>3526500</v>
      </c>
      <c r="J580" s="1345" t="s">
        <v>2625</v>
      </c>
      <c r="K580" s="1796" t="s">
        <v>3030</v>
      </c>
      <c r="L580" s="1344"/>
      <c r="M580" s="1344"/>
      <c r="N580" s="1344"/>
      <c r="O580" s="1344"/>
      <c r="P580" s="1344"/>
      <c r="Q580" s="1344"/>
      <c r="R580" s="1344"/>
      <c r="S580" s="1344"/>
      <c r="T580" s="1344"/>
      <c r="U580" s="1344"/>
      <c r="V580" s="1344"/>
      <c r="W580" s="1344"/>
      <c r="X580" s="1353">
        <f t="shared" si="18"/>
        <v>0</v>
      </c>
      <c r="Y580" s="175">
        <f t="shared" si="19"/>
        <v>-3526500</v>
      </c>
    </row>
    <row r="581" spans="1:25" ht="30" x14ac:dyDescent="0.25">
      <c r="A581" s="32"/>
      <c r="B581" s="32"/>
      <c r="C581" s="32"/>
      <c r="D581" s="32">
        <v>5</v>
      </c>
      <c r="E581" s="32">
        <v>2</v>
      </c>
      <c r="F581" s="32"/>
      <c r="G581" s="32"/>
      <c r="H581" s="66" t="str">
        <f>'BID II'!B1473</f>
        <v>Belanja Barang dan Jasa</v>
      </c>
      <c r="I581" s="32"/>
      <c r="J581" s="66"/>
      <c r="K581" s="1797" t="s">
        <v>3030</v>
      </c>
      <c r="L581" s="32"/>
      <c r="M581" s="32"/>
      <c r="N581" s="32"/>
      <c r="O581" s="32"/>
      <c r="P581" s="32"/>
      <c r="Q581" s="32"/>
      <c r="R581" s="32"/>
      <c r="S581" s="32"/>
      <c r="T581" s="32"/>
      <c r="U581" s="32"/>
      <c r="V581" s="32"/>
      <c r="W581" s="32"/>
      <c r="X581" s="1750">
        <f t="shared" si="18"/>
        <v>0</v>
      </c>
      <c r="Y581" s="175">
        <f t="shared" si="19"/>
        <v>0</v>
      </c>
    </row>
    <row r="582" spans="1:25" ht="30" x14ac:dyDescent="0.25">
      <c r="A582" s="32"/>
      <c r="B582" s="32"/>
      <c r="C582" s="32"/>
      <c r="D582" s="32"/>
      <c r="E582" s="32"/>
      <c r="F582" s="32">
        <v>1</v>
      </c>
      <c r="G582" s="32"/>
      <c r="H582" s="66" t="str">
        <f>'BID II'!B1474</f>
        <v>Belanaja Barang Pelengkapan</v>
      </c>
      <c r="I582" s="32"/>
      <c r="J582" s="66"/>
      <c r="K582" s="1797" t="s">
        <v>3030</v>
      </c>
      <c r="L582" s="32"/>
      <c r="M582" s="32"/>
      <c r="N582" s="32"/>
      <c r="O582" s="32"/>
      <c r="P582" s="32"/>
      <c r="Q582" s="32"/>
      <c r="R582" s="32"/>
      <c r="S582" s="32"/>
      <c r="T582" s="32"/>
      <c r="U582" s="32"/>
      <c r="V582" s="32"/>
      <c r="W582" s="32"/>
      <c r="X582" s="1750">
        <f t="shared" si="18"/>
        <v>0</v>
      </c>
      <c r="Y582" s="175">
        <f t="shared" si="19"/>
        <v>0</v>
      </c>
    </row>
    <row r="583" spans="1:25" ht="30" x14ac:dyDescent="0.25">
      <c r="A583" s="32"/>
      <c r="B583" s="32"/>
      <c r="C583" s="32"/>
      <c r="D583" s="32"/>
      <c r="E583" s="32"/>
      <c r="F583" s="32"/>
      <c r="G583" s="1340" t="s">
        <v>2688</v>
      </c>
      <c r="H583" s="66" t="str">
        <f>'BID II'!B1475</f>
        <v>Perlangakapan Alat Tulis Kantor dan Benda POS</v>
      </c>
      <c r="I583" s="174">
        <f>SUM('BID II'!F1476:F1480)</f>
        <v>2286500</v>
      </c>
      <c r="J583" s="66" t="s">
        <v>2625</v>
      </c>
      <c r="K583" s="1797" t="s">
        <v>3030</v>
      </c>
      <c r="L583" s="32"/>
      <c r="M583" s="32"/>
      <c r="N583" s="32"/>
      <c r="O583" s="32"/>
      <c r="P583" s="32"/>
      <c r="Q583" s="32"/>
      <c r="R583" s="32"/>
      <c r="S583" s="497">
        <v>2286500</v>
      </c>
      <c r="T583" s="32"/>
      <c r="U583" s="32"/>
      <c r="V583" s="32"/>
      <c r="W583" s="32"/>
      <c r="X583" s="1750">
        <f t="shared" si="18"/>
        <v>2286500</v>
      </c>
      <c r="Y583" s="175">
        <f t="shared" si="19"/>
        <v>0</v>
      </c>
    </row>
    <row r="584" spans="1:25" ht="30" x14ac:dyDescent="0.25">
      <c r="A584" s="32"/>
      <c r="B584" s="32"/>
      <c r="C584" s="32"/>
      <c r="D584" s="32"/>
      <c r="E584" s="32"/>
      <c r="F584" s="32"/>
      <c r="G584" s="1340" t="s">
        <v>2705</v>
      </c>
      <c r="H584" s="66" t="str">
        <f>'BID II'!B1482</f>
        <v>Belanja Perlengkapan Barang Konsumsi</v>
      </c>
      <c r="I584" s="174">
        <f>SUM('BID II'!F1484)</f>
        <v>450000</v>
      </c>
      <c r="J584" s="66" t="s">
        <v>2625</v>
      </c>
      <c r="K584" s="1797" t="s">
        <v>3030</v>
      </c>
      <c r="L584" s="32"/>
      <c r="M584" s="32"/>
      <c r="N584" s="32"/>
      <c r="O584" s="32"/>
      <c r="P584" s="32"/>
      <c r="Q584" s="32"/>
      <c r="R584" s="32"/>
      <c r="S584" s="497">
        <v>450000</v>
      </c>
      <c r="T584" s="32"/>
      <c r="U584" s="32"/>
      <c r="V584" s="32"/>
      <c r="W584" s="32"/>
      <c r="X584" s="1750">
        <f t="shared" si="18"/>
        <v>450000</v>
      </c>
      <c r="Y584" s="175">
        <f t="shared" si="19"/>
        <v>0</v>
      </c>
    </row>
    <row r="585" spans="1:25" ht="30" x14ac:dyDescent="0.25">
      <c r="A585" s="32"/>
      <c r="B585" s="32"/>
      <c r="C585" s="32"/>
      <c r="D585" s="32"/>
      <c r="E585" s="32"/>
      <c r="F585" s="32"/>
      <c r="G585" s="1340" t="s">
        <v>2707</v>
      </c>
      <c r="H585" s="66" t="str">
        <f>'BID II'!B1486</f>
        <v>Belanja Bendera/Umbul - umbul Spanduk</v>
      </c>
      <c r="I585" s="174">
        <f>'BID II'!F1487</f>
        <v>90000</v>
      </c>
      <c r="J585" s="66" t="s">
        <v>2625</v>
      </c>
      <c r="K585" s="1797" t="s">
        <v>3030</v>
      </c>
      <c r="L585" s="32"/>
      <c r="M585" s="32"/>
      <c r="N585" s="32"/>
      <c r="O585" s="32"/>
      <c r="P585" s="32"/>
      <c r="Q585" s="32"/>
      <c r="R585" s="32"/>
      <c r="S585" s="497">
        <v>90000</v>
      </c>
      <c r="T585" s="32"/>
      <c r="U585" s="32"/>
      <c r="V585" s="32"/>
      <c r="W585" s="32"/>
      <c r="X585" s="1750">
        <f t="shared" si="18"/>
        <v>90000</v>
      </c>
      <c r="Y585" s="175">
        <f t="shared" si="19"/>
        <v>0</v>
      </c>
    </row>
    <row r="586" spans="1:25" ht="30" x14ac:dyDescent="0.25">
      <c r="A586" s="32"/>
      <c r="B586" s="32"/>
      <c r="C586" s="32"/>
      <c r="D586" s="32">
        <v>5</v>
      </c>
      <c r="E586" s="32">
        <v>2</v>
      </c>
      <c r="F586" s="32">
        <v>2</v>
      </c>
      <c r="G586" s="32"/>
      <c r="H586" s="1041" t="str">
        <f>'BID II'!B1489</f>
        <v>Belanja Honorarium</v>
      </c>
      <c r="I586" s="32"/>
      <c r="J586" s="66"/>
      <c r="K586" s="1797" t="s">
        <v>3030</v>
      </c>
      <c r="L586" s="32"/>
      <c r="M586" s="32"/>
      <c r="N586" s="32"/>
      <c r="O586" s="32"/>
      <c r="P586" s="32"/>
      <c r="Q586" s="32"/>
      <c r="R586" s="32"/>
      <c r="S586" s="497"/>
      <c r="T586" s="32"/>
      <c r="U586" s="32"/>
      <c r="V586" s="32"/>
      <c r="W586" s="32"/>
      <c r="X586" s="1750">
        <f t="shared" si="18"/>
        <v>0</v>
      </c>
      <c r="Y586" s="175">
        <f t="shared" si="19"/>
        <v>0</v>
      </c>
    </row>
    <row r="587" spans="1:25" ht="30" x14ac:dyDescent="0.25">
      <c r="A587" s="32"/>
      <c r="B587" s="32"/>
      <c r="C587" s="32"/>
      <c r="D587" s="32"/>
      <c r="E587" s="32"/>
      <c r="F587" s="32"/>
      <c r="G587" s="1340" t="s">
        <v>2704</v>
      </c>
      <c r="H587" s="1041" t="str">
        <f>'BID II'!B1490</f>
        <v xml:space="preserve">Honor Narasumber 2or </v>
      </c>
      <c r="I587" s="174">
        <f>'BID II'!F1490</f>
        <v>700000</v>
      </c>
      <c r="J587" s="66" t="s">
        <v>2625</v>
      </c>
      <c r="K587" s="1797" t="s">
        <v>3030</v>
      </c>
      <c r="L587" s="32"/>
      <c r="M587" s="32"/>
      <c r="N587" s="32"/>
      <c r="O587" s="32"/>
      <c r="P587" s="32"/>
      <c r="Q587" s="32"/>
      <c r="R587" s="32"/>
      <c r="S587" s="497">
        <v>700000</v>
      </c>
      <c r="T587" s="32"/>
      <c r="U587" s="32"/>
      <c r="V587" s="32"/>
      <c r="W587" s="32"/>
      <c r="X587" s="1750">
        <f t="shared" si="18"/>
        <v>700000</v>
      </c>
      <c r="Y587" s="175">
        <f t="shared" si="19"/>
        <v>0</v>
      </c>
    </row>
    <row r="588" spans="1:25" ht="30" x14ac:dyDescent="0.25">
      <c r="A588" s="1344">
        <v>2</v>
      </c>
      <c r="B588" s="1344">
        <v>2</v>
      </c>
      <c r="C588" s="1346" t="s">
        <v>2705</v>
      </c>
      <c r="D588" s="1344"/>
      <c r="E588" s="1344"/>
      <c r="F588" s="1344"/>
      <c r="G588" s="1344"/>
      <c r="H588" s="1345" t="str">
        <f>'BID II'!B1505</f>
        <v>Penyelenggaraan Posyandu Remaja</v>
      </c>
      <c r="I588" s="1347">
        <f>SUM(I589:I595)</f>
        <v>35530000</v>
      </c>
      <c r="J588" s="1345" t="s">
        <v>2625</v>
      </c>
      <c r="K588" s="1796" t="s">
        <v>3030</v>
      </c>
      <c r="L588" s="1344"/>
      <c r="M588" s="1344"/>
      <c r="N588" s="1344"/>
      <c r="O588" s="1344"/>
      <c r="P588" s="1344"/>
      <c r="Q588" s="1344"/>
      <c r="R588" s="1344"/>
      <c r="S588" s="1344"/>
      <c r="T588" s="1344"/>
      <c r="U588" s="1344"/>
      <c r="V588" s="1344"/>
      <c r="W588" s="1344"/>
      <c r="X588" s="1353">
        <f t="shared" si="18"/>
        <v>0</v>
      </c>
      <c r="Y588" s="175">
        <f t="shared" si="19"/>
        <v>-35530000</v>
      </c>
    </row>
    <row r="589" spans="1:25" ht="30" x14ac:dyDescent="0.25">
      <c r="A589" s="32"/>
      <c r="B589" s="32"/>
      <c r="C589" s="32"/>
      <c r="D589" s="32">
        <v>5</v>
      </c>
      <c r="E589" s="32">
        <v>2</v>
      </c>
      <c r="F589" s="32"/>
      <c r="G589" s="32"/>
      <c r="H589" s="66" t="str">
        <f>'BID II'!B1510</f>
        <v>Belanja Barang Jasa</v>
      </c>
      <c r="I589" s="32"/>
      <c r="J589" s="66"/>
      <c r="K589" s="1797" t="s">
        <v>3030</v>
      </c>
      <c r="L589" s="32"/>
      <c r="M589" s="32"/>
      <c r="N589" s="32"/>
      <c r="O589" s="32"/>
      <c r="P589" s="32"/>
      <c r="Q589" s="32"/>
      <c r="R589" s="32"/>
      <c r="S589" s="32"/>
      <c r="T589" s="32"/>
      <c r="U589" s="32"/>
      <c r="V589" s="32"/>
      <c r="W589" s="32"/>
      <c r="X589" s="1750">
        <f t="shared" si="18"/>
        <v>0</v>
      </c>
      <c r="Y589" s="175">
        <f t="shared" si="19"/>
        <v>0</v>
      </c>
    </row>
    <row r="590" spans="1:25" ht="30" x14ac:dyDescent="0.25">
      <c r="A590" s="32"/>
      <c r="B590" s="32"/>
      <c r="C590" s="32"/>
      <c r="D590" s="32"/>
      <c r="E590" s="32"/>
      <c r="F590" s="32">
        <v>1</v>
      </c>
      <c r="G590" s="32"/>
      <c r="H590" s="66" t="str">
        <f>'BID II'!B1511</f>
        <v>Belanja Barang Perlengkapan</v>
      </c>
      <c r="I590" s="32"/>
      <c r="J590" s="66"/>
      <c r="K590" s="1797" t="s">
        <v>3030</v>
      </c>
      <c r="L590" s="32"/>
      <c r="M590" s="32"/>
      <c r="N590" s="32"/>
      <c r="O590" s="32"/>
      <c r="P590" s="32"/>
      <c r="Q590" s="32"/>
      <c r="R590" s="32"/>
      <c r="S590" s="32"/>
      <c r="T590" s="32"/>
      <c r="U590" s="32"/>
      <c r="V590" s="32"/>
      <c r="W590" s="32"/>
      <c r="X590" s="1750">
        <f t="shared" si="18"/>
        <v>0</v>
      </c>
      <c r="Y590" s="175">
        <f t="shared" si="19"/>
        <v>0</v>
      </c>
    </row>
    <row r="591" spans="1:25" ht="30" x14ac:dyDescent="0.25">
      <c r="A591" s="32"/>
      <c r="B591" s="32"/>
      <c r="C591" s="32"/>
      <c r="D591" s="32"/>
      <c r="E591" s="32"/>
      <c r="F591" s="32"/>
      <c r="G591" s="1340" t="s">
        <v>2688</v>
      </c>
      <c r="H591" s="66" t="str">
        <f>'BID II'!B1512</f>
        <v>Belanja Alat Tulis Kantor dan Benda Pos</v>
      </c>
      <c r="I591" s="470">
        <f>SUM('BID II'!F1513:F1515)</f>
        <v>2480000</v>
      </c>
      <c r="J591" s="66" t="s">
        <v>2625</v>
      </c>
      <c r="K591" s="1797" t="s">
        <v>3030</v>
      </c>
      <c r="L591" s="497">
        <v>2480000</v>
      </c>
      <c r="M591" s="32"/>
      <c r="N591" s="32"/>
      <c r="O591" s="32"/>
      <c r="P591" s="32"/>
      <c r="Q591" s="32"/>
      <c r="R591" s="32"/>
      <c r="S591" s="32"/>
      <c r="T591" s="32"/>
      <c r="U591" s="32"/>
      <c r="V591" s="32"/>
      <c r="W591" s="32"/>
      <c r="X591" s="1750">
        <f t="shared" si="18"/>
        <v>2480000</v>
      </c>
      <c r="Y591" s="175">
        <f t="shared" si="19"/>
        <v>0</v>
      </c>
    </row>
    <row r="592" spans="1:25" ht="30" x14ac:dyDescent="0.25">
      <c r="A592" s="32"/>
      <c r="B592" s="32"/>
      <c r="C592" s="32"/>
      <c r="D592" s="32"/>
      <c r="E592" s="32"/>
      <c r="F592" s="32"/>
      <c r="G592" s="1340" t="s">
        <v>2705</v>
      </c>
      <c r="H592" s="66" t="str">
        <f>'BID II'!B1517</f>
        <v>Belanja Perlengkapan Barang Konsumsi</v>
      </c>
      <c r="I592" s="174">
        <f>'BID II'!F1519+'BID II'!F1520</f>
        <v>9700000</v>
      </c>
      <c r="J592" s="66" t="s">
        <v>2625</v>
      </c>
      <c r="K592" s="1797" t="s">
        <v>3030</v>
      </c>
      <c r="L592" s="497">
        <v>808333</v>
      </c>
      <c r="M592" s="497">
        <v>808333</v>
      </c>
      <c r="N592" s="497">
        <v>808333</v>
      </c>
      <c r="O592" s="497">
        <v>808333</v>
      </c>
      <c r="P592" s="497">
        <v>808333</v>
      </c>
      <c r="Q592" s="497">
        <v>808333</v>
      </c>
      <c r="R592" s="497">
        <v>808333</v>
      </c>
      <c r="S592" s="497">
        <v>808333</v>
      </c>
      <c r="T592" s="497">
        <v>808333</v>
      </c>
      <c r="U592" s="497">
        <v>808333</v>
      </c>
      <c r="V592" s="497">
        <v>808333</v>
      </c>
      <c r="W592" s="497">
        <v>808337</v>
      </c>
      <c r="X592" s="1750">
        <f t="shared" si="18"/>
        <v>9700000</v>
      </c>
      <c r="Y592" s="175">
        <f t="shared" si="19"/>
        <v>0</v>
      </c>
    </row>
    <row r="593" spans="1:25" ht="30" x14ac:dyDescent="0.25">
      <c r="A593" s="32"/>
      <c r="B593" s="32"/>
      <c r="C593" s="32"/>
      <c r="D593" s="32"/>
      <c r="E593" s="32"/>
      <c r="F593" s="32"/>
      <c r="G593" s="32">
        <v>10</v>
      </c>
      <c r="H593" s="32" t="str">
        <f>'BID II'!B1522</f>
        <v>Belanja Obat Obatan</v>
      </c>
      <c r="I593" s="174">
        <f>SUM('BID II'!F1523:F1525)</f>
        <v>5350000</v>
      </c>
      <c r="J593" s="66" t="s">
        <v>2625</v>
      </c>
      <c r="K593" s="1797" t="s">
        <v>3030</v>
      </c>
      <c r="L593" s="497">
        <v>5350000</v>
      </c>
      <c r="M593" s="32"/>
      <c r="N593" s="32"/>
      <c r="O593" s="32"/>
      <c r="P593" s="32"/>
      <c r="Q593" s="32"/>
      <c r="R593" s="32"/>
      <c r="S593" s="32"/>
      <c r="T593" s="32"/>
      <c r="U593" s="32"/>
      <c r="V593" s="32"/>
      <c r="W593" s="32"/>
      <c r="X593" s="1750">
        <f t="shared" si="18"/>
        <v>5350000</v>
      </c>
      <c r="Y593" s="175">
        <f t="shared" si="19"/>
        <v>0</v>
      </c>
    </row>
    <row r="594" spans="1:25" ht="30" x14ac:dyDescent="0.25">
      <c r="A594" s="32"/>
      <c r="B594" s="32"/>
      <c r="C594" s="32"/>
      <c r="D594" s="32">
        <v>5</v>
      </c>
      <c r="E594" s="32">
        <v>2</v>
      </c>
      <c r="F594" s="32">
        <v>2</v>
      </c>
      <c r="G594" s="32"/>
      <c r="H594" s="32" t="str">
        <f>'BID II'!B1527</f>
        <v>Belanja Jasa Honorarium</v>
      </c>
      <c r="I594" s="32"/>
      <c r="J594" s="66"/>
      <c r="K594" s="1797" t="s">
        <v>3030</v>
      </c>
      <c r="L594" s="32"/>
      <c r="M594" s="32"/>
      <c r="N594" s="32"/>
      <c r="O594" s="32"/>
      <c r="P594" s="32"/>
      <c r="Q594" s="32"/>
      <c r="R594" s="32"/>
      <c r="S594" s="32"/>
      <c r="T594" s="32"/>
      <c r="U594" s="32"/>
      <c r="V594" s="32"/>
      <c r="W594" s="32"/>
      <c r="X594" s="1750">
        <f t="shared" si="18"/>
        <v>0</v>
      </c>
      <c r="Y594" s="175">
        <f t="shared" si="19"/>
        <v>0</v>
      </c>
    </row>
    <row r="595" spans="1:25" ht="30" x14ac:dyDescent="0.25">
      <c r="A595" s="32"/>
      <c r="B595" s="32"/>
      <c r="C595" s="32"/>
      <c r="D595" s="32"/>
      <c r="E595" s="32"/>
      <c r="F595" s="32"/>
      <c r="G595" s="1340" t="s">
        <v>2706</v>
      </c>
      <c r="H595" s="66" t="str">
        <f>'BID II'!B1528</f>
        <v>Belanja Jasa Honorarium Petugas</v>
      </c>
      <c r="I595" s="174">
        <f>SUM('BID II'!F1529)</f>
        <v>18000000</v>
      </c>
      <c r="J595" s="66" t="s">
        <v>2625</v>
      </c>
      <c r="K595" s="1797" t="s">
        <v>3030</v>
      </c>
      <c r="L595" s="497">
        <v>1500000</v>
      </c>
      <c r="M595" s="497">
        <v>1500000</v>
      </c>
      <c r="N595" s="497">
        <v>1500000</v>
      </c>
      <c r="O595" s="497">
        <v>1500000</v>
      </c>
      <c r="P595" s="497">
        <v>1500000</v>
      </c>
      <c r="Q595" s="497">
        <v>1500000</v>
      </c>
      <c r="R595" s="497">
        <v>1500000</v>
      </c>
      <c r="S595" s="497">
        <v>1500000</v>
      </c>
      <c r="T595" s="497">
        <v>1500000</v>
      </c>
      <c r="U595" s="497">
        <v>1500000</v>
      </c>
      <c r="V595" s="497">
        <v>1500000</v>
      </c>
      <c r="W595" s="497">
        <v>1500000</v>
      </c>
      <c r="X595" s="1750">
        <f t="shared" si="18"/>
        <v>18000000</v>
      </c>
      <c r="Y595" s="175">
        <f t="shared" si="19"/>
        <v>0</v>
      </c>
    </row>
    <row r="596" spans="1:25" ht="60" x14ac:dyDescent="0.25">
      <c r="A596" s="1344">
        <v>2</v>
      </c>
      <c r="B596" s="1344">
        <v>3</v>
      </c>
      <c r="C596" s="1346" t="s">
        <v>2702</v>
      </c>
      <c r="D596" s="1344"/>
      <c r="E596" s="1344"/>
      <c r="F596" s="1344"/>
      <c r="G596" s="1344"/>
      <c r="H596" s="1345" t="str">
        <f>'BID II'!B1545</f>
        <v>Pemeliharaan Jalan Lingkungan Permukiman/Gang Sekar Gunung</v>
      </c>
      <c r="I596" s="1347">
        <f>SUM(I597:I601)</f>
        <v>85218000</v>
      </c>
      <c r="J596" s="1345" t="s">
        <v>2626</v>
      </c>
      <c r="K596" s="1796" t="s">
        <v>3030</v>
      </c>
      <c r="L596" s="1344"/>
      <c r="M596" s="1344"/>
      <c r="N596" s="1344"/>
      <c r="O596" s="1344"/>
      <c r="P596" s="1344"/>
      <c r="Q596" s="1344"/>
      <c r="R596" s="1344"/>
      <c r="S596" s="1344"/>
      <c r="T596" s="1344"/>
      <c r="U596" s="1344"/>
      <c r="V596" s="1344"/>
      <c r="W596" s="1344"/>
      <c r="X596" s="1353">
        <f t="shared" si="18"/>
        <v>0</v>
      </c>
      <c r="Y596" s="175">
        <f t="shared" si="19"/>
        <v>-85218000</v>
      </c>
    </row>
    <row r="597" spans="1:25" ht="30" x14ac:dyDescent="0.25">
      <c r="A597" s="32"/>
      <c r="B597" s="32"/>
      <c r="C597" s="32"/>
      <c r="D597" s="32">
        <v>5</v>
      </c>
      <c r="E597" s="32">
        <v>3</v>
      </c>
      <c r="F597" s="32"/>
      <c r="G597" s="32"/>
      <c r="H597" s="66" t="str">
        <f>'BID II'!B1552</f>
        <v xml:space="preserve">Belanja Modal </v>
      </c>
      <c r="I597" s="470"/>
      <c r="J597" s="66"/>
      <c r="K597" s="1797" t="s">
        <v>3030</v>
      </c>
      <c r="L597" s="32"/>
      <c r="M597" s="32"/>
      <c r="N597" s="32"/>
      <c r="O597" s="32"/>
      <c r="P597" s="32"/>
      <c r="Q597" s="32"/>
      <c r="R597" s="32"/>
      <c r="S597" s="32"/>
      <c r="T597" s="32"/>
      <c r="U597" s="32"/>
      <c r="V597" s="32"/>
      <c r="W597" s="32"/>
      <c r="X597" s="1750">
        <f t="shared" si="18"/>
        <v>0</v>
      </c>
      <c r="Y597" s="175">
        <f t="shared" si="19"/>
        <v>0</v>
      </c>
    </row>
    <row r="598" spans="1:25" ht="30" x14ac:dyDescent="0.25">
      <c r="A598" s="32"/>
      <c r="B598" s="32"/>
      <c r="C598" s="32"/>
      <c r="D598" s="32"/>
      <c r="E598" s="32"/>
      <c r="F598" s="32">
        <v>5</v>
      </c>
      <c r="G598" s="32"/>
      <c r="H598" s="66" t="str">
        <f>'BID II'!B1553</f>
        <v>Belanja Modal Jalan</v>
      </c>
      <c r="I598" s="470"/>
      <c r="J598" s="66"/>
      <c r="K598" s="1797" t="s">
        <v>3030</v>
      </c>
      <c r="L598" s="32"/>
      <c r="M598" s="32"/>
      <c r="N598" s="32"/>
      <c r="O598" s="32"/>
      <c r="P598" s="32"/>
      <c r="Q598" s="32"/>
      <c r="R598" s="32"/>
      <c r="S598" s="32"/>
      <c r="T598" s="32"/>
      <c r="U598" s="32"/>
      <c r="V598" s="32"/>
      <c r="W598" s="32"/>
      <c r="X598" s="1750">
        <f t="shared" si="18"/>
        <v>0</v>
      </c>
      <c r="Y598" s="175">
        <f t="shared" si="19"/>
        <v>0</v>
      </c>
    </row>
    <row r="599" spans="1:25" ht="30" x14ac:dyDescent="0.25">
      <c r="A599" s="32"/>
      <c r="B599" s="32"/>
      <c r="C599" s="32"/>
      <c r="D599" s="32"/>
      <c r="E599" s="32"/>
      <c r="F599" s="32"/>
      <c r="G599" s="1340" t="s">
        <v>2688</v>
      </c>
      <c r="H599" s="66" t="str">
        <f>'BID II'!B1554</f>
        <v>Honorarium Tim Yang Melaksanakan Kegiatan</v>
      </c>
      <c r="I599" s="470">
        <f>'BID II'!F1556</f>
        <v>1670000</v>
      </c>
      <c r="J599" s="66" t="s">
        <v>2626</v>
      </c>
      <c r="K599" s="1797" t="s">
        <v>3030</v>
      </c>
      <c r="L599" s="32"/>
      <c r="M599" s="32"/>
      <c r="N599" s="32"/>
      <c r="O599" s="32"/>
      <c r="P599" s="32"/>
      <c r="Q599" s="32"/>
      <c r="R599" s="497">
        <v>1670000</v>
      </c>
      <c r="S599" s="32"/>
      <c r="T599" s="32"/>
      <c r="U599" s="32"/>
      <c r="V599" s="32"/>
      <c r="W599" s="32"/>
      <c r="X599" s="1750">
        <f t="shared" si="18"/>
        <v>1670000</v>
      </c>
      <c r="Y599" s="175">
        <f t="shared" si="19"/>
        <v>0</v>
      </c>
    </row>
    <row r="600" spans="1:25" ht="30" x14ac:dyDescent="0.25">
      <c r="A600" s="32"/>
      <c r="B600" s="32"/>
      <c r="C600" s="32"/>
      <c r="D600" s="32"/>
      <c r="E600" s="32"/>
      <c r="F600" s="32"/>
      <c r="G600" s="1340" t="s">
        <v>2702</v>
      </c>
      <c r="H600" s="32" t="str">
        <f>'BID II'!B1557</f>
        <v>Belanja Upah</v>
      </c>
      <c r="I600" s="470">
        <f>'BID II'!F1560</f>
        <v>12896000</v>
      </c>
      <c r="J600" s="66" t="s">
        <v>2626</v>
      </c>
      <c r="K600" s="1797" t="s">
        <v>3030</v>
      </c>
      <c r="L600" s="32"/>
      <c r="M600" s="32"/>
      <c r="N600" s="32"/>
      <c r="O600" s="32"/>
      <c r="P600" s="32"/>
      <c r="Q600" s="32"/>
      <c r="R600" s="497">
        <v>12896000</v>
      </c>
      <c r="S600" s="32"/>
      <c r="T600" s="32"/>
      <c r="U600" s="32"/>
      <c r="V600" s="32"/>
      <c r="W600" s="32"/>
      <c r="X600" s="1750">
        <f t="shared" si="18"/>
        <v>12896000</v>
      </c>
      <c r="Y600" s="175">
        <f t="shared" si="19"/>
        <v>0</v>
      </c>
    </row>
    <row r="601" spans="1:25" ht="30" x14ac:dyDescent="0.25">
      <c r="A601" s="32"/>
      <c r="B601" s="32"/>
      <c r="C601" s="32"/>
      <c r="D601" s="32"/>
      <c r="E601" s="32"/>
      <c r="F601" s="32"/>
      <c r="G601" s="1340" t="s">
        <v>2703</v>
      </c>
      <c r="H601" s="32" t="str">
        <f>'BID II'!B1561</f>
        <v>Bahan Baku</v>
      </c>
      <c r="I601" s="470">
        <f>'BID II'!F1568</f>
        <v>70652000</v>
      </c>
      <c r="J601" s="66" t="s">
        <v>2626</v>
      </c>
      <c r="K601" s="1797" t="s">
        <v>3030</v>
      </c>
      <c r="L601" s="32"/>
      <c r="M601" s="32"/>
      <c r="N601" s="32"/>
      <c r="O601" s="32"/>
      <c r="P601" s="32"/>
      <c r="Q601" s="32"/>
      <c r="R601" s="497">
        <v>70652000</v>
      </c>
      <c r="S601" s="32"/>
      <c r="T601" s="32"/>
      <c r="U601" s="32"/>
      <c r="V601" s="32"/>
      <c r="W601" s="32"/>
      <c r="X601" s="1750">
        <f t="shared" si="18"/>
        <v>70652000</v>
      </c>
      <c r="Y601" s="175">
        <f t="shared" si="19"/>
        <v>0</v>
      </c>
    </row>
    <row r="602" spans="1:25" ht="75" x14ac:dyDescent="0.25">
      <c r="A602" s="1344">
        <v>2</v>
      </c>
      <c r="B602" s="1344">
        <v>3</v>
      </c>
      <c r="C602" s="1346" t="s">
        <v>2703</v>
      </c>
      <c r="D602" s="1344"/>
      <c r="E602" s="1344"/>
      <c r="F602" s="1344"/>
      <c r="G602" s="1346"/>
      <c r="H602" s="1345" t="str">
        <f>'BID II'!B1588</f>
        <v>: Pemeliharaan Jalan Usaha Tani (KETAHANAN PANGAN) (Subak Pohmanis Bongkar Paving)</v>
      </c>
      <c r="I602" s="1347">
        <f>SUM(I603:I606)</f>
        <v>3712000</v>
      </c>
      <c r="J602" s="1345" t="s">
        <v>2626</v>
      </c>
      <c r="K602" s="1796" t="s">
        <v>3030</v>
      </c>
      <c r="L602" s="1344"/>
      <c r="M602" s="1344"/>
      <c r="N602" s="1344"/>
      <c r="O602" s="1344"/>
      <c r="P602" s="1344"/>
      <c r="Q602" s="1344"/>
      <c r="R602" s="1344"/>
      <c r="S602" s="1344"/>
      <c r="T602" s="1344"/>
      <c r="U602" s="1344"/>
      <c r="V602" s="1344"/>
      <c r="W602" s="1344"/>
      <c r="X602" s="1353">
        <f t="shared" si="18"/>
        <v>0</v>
      </c>
      <c r="Y602" s="175">
        <f t="shared" si="19"/>
        <v>-3712000</v>
      </c>
    </row>
    <row r="603" spans="1:25" ht="30" x14ac:dyDescent="0.25">
      <c r="A603" s="32"/>
      <c r="B603" s="32"/>
      <c r="C603" s="32"/>
      <c r="D603" s="32">
        <v>5</v>
      </c>
      <c r="E603" s="32">
        <v>3</v>
      </c>
      <c r="F603" s="32"/>
      <c r="G603" s="1340"/>
      <c r="H603" s="66" t="str">
        <f>'BID II'!B1595</f>
        <v xml:space="preserve">Belanja Modal </v>
      </c>
      <c r="I603" s="470"/>
      <c r="J603" s="66"/>
      <c r="K603" s="1797" t="s">
        <v>3030</v>
      </c>
      <c r="L603" s="32"/>
      <c r="M603" s="32"/>
      <c r="N603" s="32"/>
      <c r="O603" s="32"/>
      <c r="P603" s="32"/>
      <c r="Q603" s="32"/>
      <c r="R603" s="32"/>
      <c r="S603" s="32"/>
      <c r="T603" s="32"/>
      <c r="U603" s="32"/>
      <c r="V603" s="32"/>
      <c r="W603" s="32"/>
      <c r="X603" s="1750">
        <f t="shared" si="18"/>
        <v>0</v>
      </c>
      <c r="Y603" s="175">
        <f t="shared" si="19"/>
        <v>0</v>
      </c>
    </row>
    <row r="604" spans="1:25" ht="30" x14ac:dyDescent="0.25">
      <c r="A604" s="32"/>
      <c r="B604" s="32"/>
      <c r="C604" s="32"/>
      <c r="D604" s="32"/>
      <c r="E604" s="32"/>
      <c r="F604" s="32">
        <v>5</v>
      </c>
      <c r="G604" s="1340"/>
      <c r="H604" s="66" t="str">
        <f>'BID II'!B1596</f>
        <v>Belanja Modal Jalan</v>
      </c>
      <c r="I604" s="470"/>
      <c r="J604" s="66"/>
      <c r="K604" s="1797" t="s">
        <v>3030</v>
      </c>
      <c r="L604" s="32"/>
      <c r="M604" s="32"/>
      <c r="N604" s="32"/>
      <c r="O604" s="32"/>
      <c r="P604" s="32"/>
      <c r="Q604" s="32"/>
      <c r="R604" s="32"/>
      <c r="S604" s="32"/>
      <c r="T604" s="32"/>
      <c r="U604" s="32"/>
      <c r="V604" s="32"/>
      <c r="W604" s="32"/>
      <c r="X604" s="1750">
        <f t="shared" si="18"/>
        <v>0</v>
      </c>
      <c r="Y604" s="175">
        <f t="shared" si="19"/>
        <v>0</v>
      </c>
    </row>
    <row r="605" spans="1:25" ht="30" x14ac:dyDescent="0.25">
      <c r="A605" s="32"/>
      <c r="B605" s="32"/>
      <c r="C605" s="32"/>
      <c r="D605" s="32"/>
      <c r="E605" s="32"/>
      <c r="F605" s="32"/>
      <c r="G605" s="1340" t="s">
        <v>2688</v>
      </c>
      <c r="H605" s="66" t="str">
        <f>'BID II'!B1597</f>
        <v>Honorarium Tim Yang Melaksanakan Kegiatan</v>
      </c>
      <c r="I605" s="470">
        <f>'BID II'!F1599</f>
        <v>72000</v>
      </c>
      <c r="J605" s="66" t="s">
        <v>2626</v>
      </c>
      <c r="K605" s="1797" t="s">
        <v>3030</v>
      </c>
      <c r="L605" s="32"/>
      <c r="M605" s="32"/>
      <c r="N605" s="32"/>
      <c r="O605" s="32"/>
      <c r="P605" s="32"/>
      <c r="Q605" s="32"/>
      <c r="R605" s="497">
        <v>72000</v>
      </c>
      <c r="S605" s="32"/>
      <c r="T605" s="32"/>
      <c r="U605" s="32"/>
      <c r="V605" s="32"/>
      <c r="W605" s="32"/>
      <c r="X605" s="1750">
        <f t="shared" si="18"/>
        <v>72000</v>
      </c>
      <c r="Y605" s="175">
        <f t="shared" si="19"/>
        <v>0</v>
      </c>
    </row>
    <row r="606" spans="1:25" ht="30" x14ac:dyDescent="0.25">
      <c r="A606" s="32"/>
      <c r="B606" s="32"/>
      <c r="C606" s="32"/>
      <c r="D606" s="32"/>
      <c r="E606" s="32"/>
      <c r="F606" s="32"/>
      <c r="G606" s="1340" t="s">
        <v>2702</v>
      </c>
      <c r="H606" s="32" t="str">
        <f>'BID II'!B1600</f>
        <v>Belanja Upah</v>
      </c>
      <c r="I606" s="470">
        <f>'BID II'!F1602</f>
        <v>3640000</v>
      </c>
      <c r="J606" s="66" t="s">
        <v>2626</v>
      </c>
      <c r="K606" s="1797" t="s">
        <v>3030</v>
      </c>
      <c r="L606" s="32"/>
      <c r="M606" s="32"/>
      <c r="N606" s="32"/>
      <c r="O606" s="32"/>
      <c r="P606" s="32"/>
      <c r="Q606" s="32"/>
      <c r="R606" s="497">
        <v>3640000</v>
      </c>
      <c r="S606" s="32"/>
      <c r="T606" s="32"/>
      <c r="U606" s="32"/>
      <c r="V606" s="32"/>
      <c r="W606" s="32"/>
      <c r="X606" s="1750">
        <f t="shared" si="18"/>
        <v>3640000</v>
      </c>
      <c r="Y606" s="175">
        <f t="shared" si="19"/>
        <v>0</v>
      </c>
    </row>
    <row r="607" spans="1:25" ht="75" x14ac:dyDescent="0.25">
      <c r="A607" s="1344">
        <v>2</v>
      </c>
      <c r="B607" s="1344">
        <v>3</v>
      </c>
      <c r="C607" s="1346" t="s">
        <v>2703</v>
      </c>
      <c r="D607" s="1344"/>
      <c r="E607" s="1344"/>
      <c r="F607" s="1344"/>
      <c r="G607" s="1346"/>
      <c r="H607" s="1345" t="str">
        <f>'BID II'!B1622</f>
        <v>: Pemeliharaan Jalan Usaha Tani (KETAHANAN PANGAN) (Subak Pohmanis Urug Limestone)</v>
      </c>
      <c r="I607" s="1347">
        <f>SUM(I608:I612)</f>
        <v>54884000</v>
      </c>
      <c r="J607" s="1345" t="s">
        <v>2626</v>
      </c>
      <c r="K607" s="1796" t="s">
        <v>3030</v>
      </c>
      <c r="L607" s="1344"/>
      <c r="M607" s="1344"/>
      <c r="N607" s="1344"/>
      <c r="O607" s="1344"/>
      <c r="P607" s="1344"/>
      <c r="Q607" s="1344"/>
      <c r="R607" s="1344"/>
      <c r="S607" s="1344"/>
      <c r="T607" s="1344"/>
      <c r="U607" s="1344"/>
      <c r="V607" s="1344"/>
      <c r="W607" s="1344"/>
      <c r="X607" s="1353">
        <f t="shared" si="18"/>
        <v>0</v>
      </c>
      <c r="Y607" s="175">
        <f t="shared" si="19"/>
        <v>-54884000</v>
      </c>
    </row>
    <row r="608" spans="1:25" ht="30" x14ac:dyDescent="0.25">
      <c r="A608" s="32"/>
      <c r="B608" s="32"/>
      <c r="C608" s="32"/>
      <c r="D608" s="32">
        <v>5</v>
      </c>
      <c r="E608" s="32">
        <v>3</v>
      </c>
      <c r="F608" s="32"/>
      <c r="G608" s="1340"/>
      <c r="H608" s="66" t="str">
        <f>'BID II'!B1629</f>
        <v xml:space="preserve">Belanja Modal </v>
      </c>
      <c r="I608" s="470"/>
      <c r="J608" s="66"/>
      <c r="K608" s="1797" t="s">
        <v>3030</v>
      </c>
      <c r="L608" s="32"/>
      <c r="M608" s="32"/>
      <c r="N608" s="32"/>
      <c r="O608" s="32"/>
      <c r="P608" s="32"/>
      <c r="Q608" s="32"/>
      <c r="R608" s="32"/>
      <c r="S608" s="32"/>
      <c r="T608" s="32"/>
      <c r="U608" s="32"/>
      <c r="V608" s="32"/>
      <c r="W608" s="32"/>
      <c r="X608" s="1750">
        <f t="shared" ref="X608:X671" si="20">SUM(L608:W608)</f>
        <v>0</v>
      </c>
      <c r="Y608" s="175">
        <f t="shared" si="19"/>
        <v>0</v>
      </c>
    </row>
    <row r="609" spans="1:25" ht="30" x14ac:dyDescent="0.25">
      <c r="A609" s="32"/>
      <c r="B609" s="32"/>
      <c r="C609" s="32"/>
      <c r="D609" s="32"/>
      <c r="E609" s="32"/>
      <c r="F609" s="32">
        <v>5</v>
      </c>
      <c r="G609" s="1340"/>
      <c r="H609" s="66" t="str">
        <f>'BID II'!B1630</f>
        <v>Belanja Modal Jalan</v>
      </c>
      <c r="I609" s="470"/>
      <c r="J609" s="66"/>
      <c r="K609" s="1797" t="s">
        <v>3030</v>
      </c>
      <c r="L609" s="32"/>
      <c r="M609" s="32"/>
      <c r="N609" s="32"/>
      <c r="O609" s="32"/>
      <c r="P609" s="32"/>
      <c r="Q609" s="32"/>
      <c r="R609" s="32"/>
      <c r="S609" s="32"/>
      <c r="T609" s="32"/>
      <c r="U609" s="32"/>
      <c r="V609" s="32"/>
      <c r="W609" s="32"/>
      <c r="X609" s="1750">
        <f t="shared" si="20"/>
        <v>0</v>
      </c>
      <c r="Y609" s="175">
        <f t="shared" si="19"/>
        <v>0</v>
      </c>
    </row>
    <row r="610" spans="1:25" ht="30" x14ac:dyDescent="0.25">
      <c r="A610" s="32"/>
      <c r="B610" s="32"/>
      <c r="C610" s="32"/>
      <c r="D610" s="32"/>
      <c r="E610" s="32"/>
      <c r="F610" s="32"/>
      <c r="G610" s="1340" t="s">
        <v>2688</v>
      </c>
      <c r="H610" s="66" t="str">
        <f>'BID II'!B1631</f>
        <v>Honorarium Tim Yang Melaksanakan Kegiatan</v>
      </c>
      <c r="I610" s="470">
        <f>'BID II'!F1633</f>
        <v>1076000</v>
      </c>
      <c r="J610" s="66" t="s">
        <v>2626</v>
      </c>
      <c r="K610" s="1797" t="s">
        <v>3030</v>
      </c>
      <c r="L610" s="32"/>
      <c r="M610" s="32"/>
      <c r="N610" s="32"/>
      <c r="O610" s="32"/>
      <c r="P610" s="32"/>
      <c r="Q610" s="32"/>
      <c r="R610" s="497">
        <v>1076000</v>
      </c>
      <c r="S610" s="32"/>
      <c r="T610" s="32"/>
      <c r="U610" s="32"/>
      <c r="V610" s="32"/>
      <c r="W610" s="32"/>
      <c r="X610" s="1750">
        <f t="shared" si="20"/>
        <v>1076000</v>
      </c>
      <c r="Y610" s="175">
        <f t="shared" si="19"/>
        <v>0</v>
      </c>
    </row>
    <row r="611" spans="1:25" ht="30" x14ac:dyDescent="0.25">
      <c r="A611" s="32"/>
      <c r="B611" s="32"/>
      <c r="C611" s="32"/>
      <c r="D611" s="32"/>
      <c r="E611" s="32"/>
      <c r="F611" s="32"/>
      <c r="G611" s="1340" t="s">
        <v>2702</v>
      </c>
      <c r="H611" s="32" t="str">
        <f>'BID II'!B1634</f>
        <v>Belanja Upah</v>
      </c>
      <c r="I611" s="470">
        <f>'BID II'!F1635</f>
        <v>1170000</v>
      </c>
      <c r="J611" s="66" t="s">
        <v>2626</v>
      </c>
      <c r="K611" s="1797" t="s">
        <v>3030</v>
      </c>
      <c r="L611" s="32"/>
      <c r="M611" s="32"/>
      <c r="N611" s="32"/>
      <c r="O611" s="32"/>
      <c r="P611" s="32"/>
      <c r="Q611" s="32"/>
      <c r="R611" s="497">
        <v>1170000</v>
      </c>
      <c r="S611" s="32"/>
      <c r="T611" s="32"/>
      <c r="U611" s="32"/>
      <c r="V611" s="32"/>
      <c r="W611" s="32"/>
      <c r="X611" s="1750">
        <f t="shared" si="20"/>
        <v>1170000</v>
      </c>
      <c r="Y611" s="175">
        <f t="shared" si="19"/>
        <v>0</v>
      </c>
    </row>
    <row r="612" spans="1:25" ht="30" x14ac:dyDescent="0.25">
      <c r="A612" s="32"/>
      <c r="B612" s="32"/>
      <c r="C612" s="32"/>
      <c r="D612" s="32"/>
      <c r="E612" s="32"/>
      <c r="F612" s="32"/>
      <c r="G612" s="1340" t="s">
        <v>2703</v>
      </c>
      <c r="H612" s="32" t="str">
        <f>'BID II'!B1638</f>
        <v>Bahan Baku</v>
      </c>
      <c r="I612" s="470">
        <f>'BID II'!F1642</f>
        <v>52638000</v>
      </c>
      <c r="J612" s="66" t="s">
        <v>2626</v>
      </c>
      <c r="K612" s="1797" t="s">
        <v>3030</v>
      </c>
      <c r="L612" s="32"/>
      <c r="M612" s="32"/>
      <c r="N612" s="32"/>
      <c r="O612" s="32"/>
      <c r="P612" s="32"/>
      <c r="Q612" s="32"/>
      <c r="R612" s="497">
        <v>52638000</v>
      </c>
      <c r="S612" s="32"/>
      <c r="T612" s="32"/>
      <c r="U612" s="32"/>
      <c r="V612" s="32"/>
      <c r="W612" s="32"/>
      <c r="X612" s="1750">
        <f t="shared" si="20"/>
        <v>52638000</v>
      </c>
      <c r="Y612" s="175">
        <f t="shared" si="19"/>
        <v>0</v>
      </c>
    </row>
    <row r="613" spans="1:25" ht="60" x14ac:dyDescent="0.25">
      <c r="A613" s="1344">
        <v>2</v>
      </c>
      <c r="B613" s="1344">
        <v>3</v>
      </c>
      <c r="C613" s="1346" t="s">
        <v>2703</v>
      </c>
      <c r="D613" s="1344"/>
      <c r="E613" s="1344"/>
      <c r="F613" s="1344"/>
      <c r="G613" s="1346"/>
      <c r="H613" s="1345" t="str">
        <f>'BID II'!B1661</f>
        <v>: Pemeliharaan Jalan Usaha Tani (KETAHANAN PAGAN) (Subak Pohmanis Urug Pasir)</v>
      </c>
      <c r="I613" s="1347">
        <f>SUM(I614:I618)</f>
        <v>10850000</v>
      </c>
      <c r="J613" s="1345" t="s">
        <v>1682</v>
      </c>
      <c r="K613" s="1796" t="s">
        <v>3030</v>
      </c>
      <c r="L613" s="1344"/>
      <c r="M613" s="1344"/>
      <c r="N613" s="1344"/>
      <c r="O613" s="1344"/>
      <c r="P613" s="1344"/>
      <c r="Q613" s="1344"/>
      <c r="R613" s="1344"/>
      <c r="S613" s="1344"/>
      <c r="T613" s="1344"/>
      <c r="U613" s="1344"/>
      <c r="V613" s="1344"/>
      <c r="W613" s="1344"/>
      <c r="X613" s="1353">
        <f t="shared" si="20"/>
        <v>0</v>
      </c>
      <c r="Y613" s="175">
        <f t="shared" si="19"/>
        <v>-10850000</v>
      </c>
    </row>
    <row r="614" spans="1:25" ht="30" x14ac:dyDescent="0.25">
      <c r="A614" s="32"/>
      <c r="B614" s="32"/>
      <c r="C614" s="32"/>
      <c r="D614" s="32">
        <v>5</v>
      </c>
      <c r="E614" s="32">
        <v>3</v>
      </c>
      <c r="F614" s="32"/>
      <c r="G614" s="1340"/>
      <c r="H614" s="66" t="str">
        <f>'BID II'!B1668</f>
        <v xml:space="preserve">Belanja Modal </v>
      </c>
      <c r="I614" s="470"/>
      <c r="J614" s="66"/>
      <c r="K614" s="1797" t="s">
        <v>3030</v>
      </c>
      <c r="L614" s="32"/>
      <c r="M614" s="32"/>
      <c r="N614" s="32"/>
      <c r="O614" s="32"/>
      <c r="P614" s="32"/>
      <c r="Q614" s="32"/>
      <c r="R614" s="32"/>
      <c r="S614" s="32"/>
      <c r="T614" s="32"/>
      <c r="U614" s="32"/>
      <c r="V614" s="32"/>
      <c r="W614" s="32"/>
      <c r="X614" s="1750">
        <f t="shared" si="20"/>
        <v>0</v>
      </c>
      <c r="Y614" s="175">
        <f t="shared" si="19"/>
        <v>0</v>
      </c>
    </row>
    <row r="615" spans="1:25" ht="30" x14ac:dyDescent="0.25">
      <c r="A615" s="32"/>
      <c r="B615" s="32"/>
      <c r="C615" s="32"/>
      <c r="D615" s="32"/>
      <c r="E615" s="32"/>
      <c r="F615" s="32">
        <v>5</v>
      </c>
      <c r="G615" s="1340"/>
      <c r="H615" s="66" t="str">
        <f>'BID II'!B1669</f>
        <v>Belanja Modal Jalan</v>
      </c>
      <c r="I615" s="470"/>
      <c r="J615" s="66"/>
      <c r="K615" s="1797" t="s">
        <v>3030</v>
      </c>
      <c r="L615" s="32"/>
      <c r="M615" s="32"/>
      <c r="N615" s="32"/>
      <c r="O615" s="32"/>
      <c r="P615" s="32"/>
      <c r="Q615" s="32"/>
      <c r="R615" s="32"/>
      <c r="S615" s="32"/>
      <c r="T615" s="32"/>
      <c r="U615" s="32"/>
      <c r="V615" s="32"/>
      <c r="W615" s="32"/>
      <c r="X615" s="1750">
        <f t="shared" si="20"/>
        <v>0</v>
      </c>
      <c r="Y615" s="175">
        <f t="shared" si="19"/>
        <v>0</v>
      </c>
    </row>
    <row r="616" spans="1:25" ht="30" x14ac:dyDescent="0.25">
      <c r="A616" s="32"/>
      <c r="B616" s="32"/>
      <c r="C616" s="32"/>
      <c r="D616" s="32"/>
      <c r="E616" s="32"/>
      <c r="F616" s="32"/>
      <c r="G616" s="1340" t="s">
        <v>2688</v>
      </c>
      <c r="H616" s="66" t="str">
        <f>'BID II'!B1670</f>
        <v>Honorarium Tim Yang Melaksanakan Kegiatan</v>
      </c>
      <c r="I616" s="470">
        <f>'BID II'!F1672</f>
        <v>212000</v>
      </c>
      <c r="J616" s="66" t="s">
        <v>1682</v>
      </c>
      <c r="K616" s="1797" t="s">
        <v>3030</v>
      </c>
      <c r="L616" s="32"/>
      <c r="M616" s="32"/>
      <c r="N616" s="32"/>
      <c r="O616" s="32"/>
      <c r="P616" s="32"/>
      <c r="Q616" s="32"/>
      <c r="R616" s="497">
        <v>212000</v>
      </c>
      <c r="S616" s="32"/>
      <c r="T616" s="32"/>
      <c r="U616" s="32"/>
      <c r="V616" s="32"/>
      <c r="W616" s="32"/>
      <c r="X616" s="1750">
        <f t="shared" si="20"/>
        <v>212000</v>
      </c>
      <c r="Y616" s="175">
        <f t="shared" si="19"/>
        <v>0</v>
      </c>
    </row>
    <row r="617" spans="1:25" ht="30" x14ac:dyDescent="0.25">
      <c r="A617" s="32"/>
      <c r="B617" s="32"/>
      <c r="C617" s="32"/>
      <c r="D617" s="32"/>
      <c r="E617" s="32"/>
      <c r="F617" s="32"/>
      <c r="G617" s="1340" t="s">
        <v>2702</v>
      </c>
      <c r="H617" s="32" t="str">
        <f>'BID II'!B1673</f>
        <v>Belanja Upah</v>
      </c>
      <c r="I617" s="470">
        <f>'BID II'!F1675</f>
        <v>1560000</v>
      </c>
      <c r="J617" s="66" t="s">
        <v>1682</v>
      </c>
      <c r="K617" s="1797" t="s">
        <v>3030</v>
      </c>
      <c r="L617" s="32"/>
      <c r="M617" s="32"/>
      <c r="N617" s="32"/>
      <c r="O617" s="32"/>
      <c r="P617" s="32"/>
      <c r="Q617" s="32"/>
      <c r="R617" s="497">
        <v>1560000</v>
      </c>
      <c r="S617" s="32"/>
      <c r="T617" s="32"/>
      <c r="U617" s="32"/>
      <c r="V617" s="32"/>
      <c r="W617" s="32"/>
      <c r="X617" s="1750">
        <f t="shared" si="20"/>
        <v>1560000</v>
      </c>
      <c r="Y617" s="175">
        <f t="shared" si="19"/>
        <v>0</v>
      </c>
    </row>
    <row r="618" spans="1:25" ht="30" x14ac:dyDescent="0.25">
      <c r="A618" s="32"/>
      <c r="B618" s="32"/>
      <c r="C618" s="32"/>
      <c r="D618" s="32"/>
      <c r="E618" s="32"/>
      <c r="F618" s="32"/>
      <c r="G618" s="1340" t="s">
        <v>2703</v>
      </c>
      <c r="H618" s="32" t="str">
        <f>'BID II'!B1677</f>
        <v>Pasir Urug</v>
      </c>
      <c r="I618" s="470">
        <f>'BID II'!F1679</f>
        <v>9078000</v>
      </c>
      <c r="J618" s="66" t="s">
        <v>1682</v>
      </c>
      <c r="K618" s="1797" t="s">
        <v>3030</v>
      </c>
      <c r="L618" s="32"/>
      <c r="M618" s="32"/>
      <c r="N618" s="32"/>
      <c r="O618" s="32"/>
      <c r="P618" s="32"/>
      <c r="Q618" s="32"/>
      <c r="R618" s="497">
        <v>9078000</v>
      </c>
      <c r="S618" s="32"/>
      <c r="T618" s="32"/>
      <c r="U618" s="32"/>
      <c r="V618" s="32"/>
      <c r="W618" s="32"/>
      <c r="X618" s="1750">
        <f t="shared" si="20"/>
        <v>9078000</v>
      </c>
      <c r="Y618" s="175">
        <f t="shared" ref="Y618:Y681" si="21">X618-I618</f>
        <v>0</v>
      </c>
    </row>
    <row r="619" spans="1:25" ht="45" x14ac:dyDescent="0.25">
      <c r="A619" s="1344">
        <v>2</v>
      </c>
      <c r="B619" s="1344">
        <v>3</v>
      </c>
      <c r="C619" s="1346" t="s">
        <v>2703</v>
      </c>
      <c r="D619" s="1344"/>
      <c r="E619" s="1344"/>
      <c r="F619" s="1344"/>
      <c r="G619" s="1346"/>
      <c r="H619" s="1345" t="str">
        <f>'BID II'!B1694</f>
        <v>: Pemeliharaan Jalan Usaha Tani (Subak Pohmanis Pembesian)</v>
      </c>
      <c r="I619" s="1347">
        <f>SUM(I620:I624)</f>
        <v>46005000</v>
      </c>
      <c r="J619" s="1345" t="s">
        <v>2627</v>
      </c>
      <c r="K619" s="1796" t="s">
        <v>3030</v>
      </c>
      <c r="L619" s="1344"/>
      <c r="M619" s="1344"/>
      <c r="N619" s="1344"/>
      <c r="O619" s="1344"/>
      <c r="P619" s="1344"/>
      <c r="Q619" s="1344"/>
      <c r="R619" s="1344"/>
      <c r="S619" s="1344"/>
      <c r="T619" s="1344"/>
      <c r="U619" s="1344"/>
      <c r="V619" s="1344"/>
      <c r="W619" s="1344"/>
      <c r="X619" s="1353">
        <f t="shared" si="20"/>
        <v>0</v>
      </c>
      <c r="Y619" s="175">
        <f t="shared" si="21"/>
        <v>-46005000</v>
      </c>
    </row>
    <row r="620" spans="1:25" ht="30" x14ac:dyDescent="0.25">
      <c r="A620" s="32"/>
      <c r="B620" s="32"/>
      <c r="C620" s="32"/>
      <c r="D620" s="32">
        <v>5</v>
      </c>
      <c r="E620" s="32">
        <v>3</v>
      </c>
      <c r="F620" s="32"/>
      <c r="G620" s="1340"/>
      <c r="H620" s="66" t="str">
        <f>'BID II'!B1701</f>
        <v xml:space="preserve">Belanja Modal </v>
      </c>
      <c r="I620" s="470"/>
      <c r="J620" s="66"/>
      <c r="K620" s="1797" t="s">
        <v>3030</v>
      </c>
      <c r="L620" s="32"/>
      <c r="M620" s="32"/>
      <c r="N620" s="32"/>
      <c r="O620" s="32"/>
      <c r="P620" s="32"/>
      <c r="Q620" s="32"/>
      <c r="R620" s="32"/>
      <c r="S620" s="32"/>
      <c r="T620" s="32"/>
      <c r="U620" s="32"/>
      <c r="V620" s="32"/>
      <c r="W620" s="32"/>
      <c r="X620" s="1750">
        <f t="shared" si="20"/>
        <v>0</v>
      </c>
      <c r="Y620" s="175">
        <f t="shared" si="21"/>
        <v>0</v>
      </c>
    </row>
    <row r="621" spans="1:25" ht="30" x14ac:dyDescent="0.25">
      <c r="A621" s="32"/>
      <c r="B621" s="32"/>
      <c r="C621" s="32"/>
      <c r="D621" s="32"/>
      <c r="E621" s="32"/>
      <c r="F621" s="32">
        <v>5</v>
      </c>
      <c r="G621" s="1340"/>
      <c r="H621" s="66" t="str">
        <f>'BID II'!B1702</f>
        <v>Belanja Modal Jalan</v>
      </c>
      <c r="I621" s="470"/>
      <c r="J621" s="66"/>
      <c r="K621" s="1797" t="s">
        <v>3030</v>
      </c>
      <c r="L621" s="32"/>
      <c r="M621" s="32"/>
      <c r="N621" s="32"/>
      <c r="O621" s="32"/>
      <c r="P621" s="32"/>
      <c r="Q621" s="32"/>
      <c r="R621" s="32"/>
      <c r="S621" s="32"/>
      <c r="T621" s="32"/>
      <c r="U621" s="32"/>
      <c r="V621" s="32"/>
      <c r="W621" s="32"/>
      <c r="X621" s="1750">
        <f t="shared" si="20"/>
        <v>0</v>
      </c>
      <c r="Y621" s="175">
        <f t="shared" si="21"/>
        <v>0</v>
      </c>
    </row>
    <row r="622" spans="1:25" ht="30" x14ac:dyDescent="0.25">
      <c r="A622" s="32"/>
      <c r="B622" s="32"/>
      <c r="C622" s="32"/>
      <c r="D622" s="32"/>
      <c r="E622" s="32"/>
      <c r="F622" s="32"/>
      <c r="G622" s="1340" t="s">
        <v>2688</v>
      </c>
      <c r="H622" s="66" t="str">
        <f>'BID II'!B1703</f>
        <v>Honorarium Tim Yang Melaksanakan Kegiatan</v>
      </c>
      <c r="I622" s="470">
        <f>'BID II'!F1705</f>
        <v>902000</v>
      </c>
      <c r="J622" s="66" t="s">
        <v>2954</v>
      </c>
      <c r="K622" s="1797" t="s">
        <v>3030</v>
      </c>
      <c r="L622" s="32"/>
      <c r="M622" s="32"/>
      <c r="N622" s="32"/>
      <c r="O622" s="32"/>
      <c r="P622" s="32"/>
      <c r="Q622" s="32"/>
      <c r="R622" s="497">
        <v>902000</v>
      </c>
      <c r="S622" s="32"/>
      <c r="T622" s="32"/>
      <c r="U622" s="32"/>
      <c r="V622" s="32"/>
      <c r="W622" s="32"/>
      <c r="X622" s="1750">
        <f t="shared" si="20"/>
        <v>902000</v>
      </c>
      <c r="Y622" s="175">
        <f t="shared" si="21"/>
        <v>0</v>
      </c>
    </row>
    <row r="623" spans="1:25" ht="30" x14ac:dyDescent="0.25">
      <c r="A623" s="32"/>
      <c r="B623" s="32"/>
      <c r="C623" s="32"/>
      <c r="D623" s="32"/>
      <c r="E623" s="32"/>
      <c r="F623" s="32"/>
      <c r="G623" s="1340" t="s">
        <v>2702</v>
      </c>
      <c r="H623" s="32" t="str">
        <f>'BID II'!B1706</f>
        <v>Belanja Upah</v>
      </c>
      <c r="I623" s="470">
        <f>'BID II'!F1709</f>
        <v>7345000</v>
      </c>
      <c r="J623" s="66" t="s">
        <v>2954</v>
      </c>
      <c r="K623" s="1797" t="s">
        <v>3030</v>
      </c>
      <c r="L623" s="32"/>
      <c r="M623" s="32"/>
      <c r="N623" s="32"/>
      <c r="O623" s="32"/>
      <c r="P623" s="32"/>
      <c r="Q623" s="32"/>
      <c r="R623" s="497">
        <v>7345000</v>
      </c>
      <c r="S623" s="32"/>
      <c r="T623" s="32"/>
      <c r="U623" s="32"/>
      <c r="V623" s="32"/>
      <c r="W623" s="32"/>
      <c r="X623" s="1750">
        <f t="shared" si="20"/>
        <v>7345000</v>
      </c>
      <c r="Y623" s="175">
        <f t="shared" si="21"/>
        <v>0</v>
      </c>
    </row>
    <row r="624" spans="1:25" ht="30" x14ac:dyDescent="0.25">
      <c r="A624" s="32"/>
      <c r="B624" s="32"/>
      <c r="C624" s="32"/>
      <c r="D624" s="32"/>
      <c r="E624" s="32"/>
      <c r="F624" s="32"/>
      <c r="G624" s="1340" t="s">
        <v>2703</v>
      </c>
      <c r="H624" s="32" t="str">
        <f>'BID II'!B1710</f>
        <v>Bahan Baku</v>
      </c>
      <c r="I624" s="470">
        <f>'BID II'!F1714</f>
        <v>37758000</v>
      </c>
      <c r="J624" s="66" t="s">
        <v>2954</v>
      </c>
      <c r="K624" s="1797" t="s">
        <v>3030</v>
      </c>
      <c r="L624" s="32"/>
      <c r="M624" s="32"/>
      <c r="N624" s="32"/>
      <c r="O624" s="32"/>
      <c r="P624" s="32"/>
      <c r="Q624" s="32"/>
      <c r="R624" s="497">
        <v>37758000</v>
      </c>
      <c r="S624" s="32"/>
      <c r="T624" s="32"/>
      <c r="U624" s="32"/>
      <c r="V624" s="32"/>
      <c r="W624" s="32"/>
      <c r="X624" s="1750">
        <f t="shared" si="20"/>
        <v>37758000</v>
      </c>
      <c r="Y624" s="175">
        <f t="shared" si="21"/>
        <v>0</v>
      </c>
    </row>
    <row r="625" spans="1:25" ht="60" x14ac:dyDescent="0.25">
      <c r="A625" s="1344">
        <v>2</v>
      </c>
      <c r="B625" s="1344">
        <v>3</v>
      </c>
      <c r="C625" s="1346" t="s">
        <v>2703</v>
      </c>
      <c r="D625" s="1344"/>
      <c r="E625" s="1344"/>
      <c r="F625" s="1344"/>
      <c r="G625" s="1346"/>
      <c r="H625" s="1345" t="str">
        <f>'BID II'!B1729</f>
        <v>: Pemeliharaan Jalan Usaha Tani (Subak pohmanis Pengecoran Beton)</v>
      </c>
      <c r="I625" s="1347">
        <f>SUM(I626:I630)</f>
        <v>58249000</v>
      </c>
      <c r="J625" s="1345" t="s">
        <v>1682</v>
      </c>
      <c r="K625" s="1796" t="s">
        <v>3030</v>
      </c>
      <c r="L625" s="1344"/>
      <c r="M625" s="1344"/>
      <c r="N625" s="1344"/>
      <c r="O625" s="1344"/>
      <c r="P625" s="1344"/>
      <c r="Q625" s="1344"/>
      <c r="R625" s="1344"/>
      <c r="S625" s="1344"/>
      <c r="T625" s="1344"/>
      <c r="U625" s="1344"/>
      <c r="V625" s="1344"/>
      <c r="W625" s="1344"/>
      <c r="X625" s="1353">
        <f t="shared" si="20"/>
        <v>0</v>
      </c>
      <c r="Y625" s="175">
        <f t="shared" si="21"/>
        <v>-58249000</v>
      </c>
    </row>
    <row r="626" spans="1:25" ht="30" x14ac:dyDescent="0.25">
      <c r="A626" s="32"/>
      <c r="B626" s="32"/>
      <c r="C626" s="32"/>
      <c r="D626" s="32">
        <v>5</v>
      </c>
      <c r="E626" s="32">
        <v>3</v>
      </c>
      <c r="F626" s="32"/>
      <c r="G626" s="1340"/>
      <c r="H626" s="66" t="str">
        <f>'BID II'!B1736</f>
        <v xml:space="preserve">Belanja Modal </v>
      </c>
      <c r="I626" s="470"/>
      <c r="J626" s="66"/>
      <c r="K626" s="1797" t="s">
        <v>3030</v>
      </c>
      <c r="L626" s="32"/>
      <c r="M626" s="32"/>
      <c r="N626" s="32"/>
      <c r="O626" s="32"/>
      <c r="P626" s="32"/>
      <c r="Q626" s="32"/>
      <c r="R626" s="32"/>
      <c r="S626" s="32"/>
      <c r="T626" s="32"/>
      <c r="U626" s="32"/>
      <c r="V626" s="32"/>
      <c r="W626" s="32"/>
      <c r="X626" s="1750">
        <f t="shared" si="20"/>
        <v>0</v>
      </c>
      <c r="Y626" s="175">
        <f t="shared" si="21"/>
        <v>0</v>
      </c>
    </row>
    <row r="627" spans="1:25" ht="30" x14ac:dyDescent="0.25">
      <c r="A627" s="32"/>
      <c r="B627" s="32"/>
      <c r="C627" s="32"/>
      <c r="D627" s="32"/>
      <c r="E627" s="32"/>
      <c r="F627" s="32">
        <v>5</v>
      </c>
      <c r="G627" s="1340"/>
      <c r="H627" s="66" t="str">
        <f>'BID II'!B1737</f>
        <v>Belanja Modal Jalan</v>
      </c>
      <c r="I627" s="470"/>
      <c r="J627" s="66"/>
      <c r="K627" s="1797" t="s">
        <v>3030</v>
      </c>
      <c r="L627" s="32"/>
      <c r="M627" s="32"/>
      <c r="N627" s="32"/>
      <c r="O627" s="32"/>
      <c r="P627" s="32"/>
      <c r="Q627" s="32"/>
      <c r="R627" s="32"/>
      <c r="S627" s="32"/>
      <c r="T627" s="32"/>
      <c r="U627" s="32"/>
      <c r="V627" s="32"/>
      <c r="W627" s="32"/>
      <c r="X627" s="1750">
        <f t="shared" si="20"/>
        <v>0</v>
      </c>
      <c r="Y627" s="175">
        <f t="shared" si="21"/>
        <v>0</v>
      </c>
    </row>
    <row r="628" spans="1:25" ht="30" x14ac:dyDescent="0.25">
      <c r="A628" s="32"/>
      <c r="B628" s="32"/>
      <c r="C628" s="32"/>
      <c r="D628" s="32"/>
      <c r="E628" s="32"/>
      <c r="F628" s="32"/>
      <c r="G628" s="1340" t="s">
        <v>2688</v>
      </c>
      <c r="H628" s="66" t="str">
        <f>'BID II'!B1738</f>
        <v>Honorarium Tim Yang Melaksanakan Kegiatan</v>
      </c>
      <c r="I628" s="470">
        <f>'BID II'!F1740</f>
        <v>1142000</v>
      </c>
      <c r="J628" s="66" t="s">
        <v>1682</v>
      </c>
      <c r="K628" s="1797" t="s">
        <v>3030</v>
      </c>
      <c r="L628" s="32"/>
      <c r="M628" s="32"/>
      <c r="N628" s="32"/>
      <c r="O628" s="32"/>
      <c r="P628" s="32"/>
      <c r="Q628" s="32"/>
      <c r="R628" s="497">
        <v>1142000</v>
      </c>
      <c r="S628" s="32"/>
      <c r="T628" s="32"/>
      <c r="U628" s="32"/>
      <c r="V628" s="32"/>
      <c r="W628" s="32"/>
      <c r="X628" s="1750">
        <f t="shared" si="20"/>
        <v>1142000</v>
      </c>
      <c r="Y628" s="175">
        <f t="shared" si="21"/>
        <v>0</v>
      </c>
    </row>
    <row r="629" spans="1:25" ht="30" x14ac:dyDescent="0.25">
      <c r="A629" s="32"/>
      <c r="B629" s="32"/>
      <c r="C629" s="32"/>
      <c r="D629" s="32"/>
      <c r="E629" s="32"/>
      <c r="F629" s="32"/>
      <c r="G629" s="1340" t="s">
        <v>2702</v>
      </c>
      <c r="H629" s="32" t="str">
        <f>'BID II'!B1741</f>
        <v>Belanja Upah</v>
      </c>
      <c r="I629" s="470">
        <f>'BID II'!F1744</f>
        <v>4771000</v>
      </c>
      <c r="J629" s="66" t="s">
        <v>1682</v>
      </c>
      <c r="K629" s="1797" t="s">
        <v>3030</v>
      </c>
      <c r="L629" s="32"/>
      <c r="M629" s="32"/>
      <c r="N629" s="32"/>
      <c r="O629" s="32"/>
      <c r="P629" s="32"/>
      <c r="Q629" s="32"/>
      <c r="R629" s="497">
        <v>4771000</v>
      </c>
      <c r="S629" s="32"/>
      <c r="T629" s="32"/>
      <c r="U629" s="32"/>
      <c r="V629" s="32"/>
      <c r="W629" s="32"/>
      <c r="X629" s="1750">
        <f t="shared" si="20"/>
        <v>4771000</v>
      </c>
      <c r="Y629" s="175">
        <f t="shared" si="21"/>
        <v>0</v>
      </c>
    </row>
    <row r="630" spans="1:25" ht="30" x14ac:dyDescent="0.25">
      <c r="A630" s="32"/>
      <c r="B630" s="32"/>
      <c r="C630" s="32"/>
      <c r="D630" s="32"/>
      <c r="E630" s="32"/>
      <c r="F630" s="32"/>
      <c r="G630" s="1340" t="s">
        <v>2703</v>
      </c>
      <c r="H630" s="32" t="str">
        <f>'BID II'!B1745</f>
        <v>Bahan Baku</v>
      </c>
      <c r="I630" s="470">
        <f>'BID II'!F1750</f>
        <v>52336000</v>
      </c>
      <c r="J630" s="66" t="s">
        <v>1682</v>
      </c>
      <c r="K630" s="1797" t="s">
        <v>3030</v>
      </c>
      <c r="L630" s="32"/>
      <c r="M630" s="32"/>
      <c r="N630" s="32"/>
      <c r="O630" s="32"/>
      <c r="P630" s="32"/>
      <c r="Q630" s="32"/>
      <c r="R630" s="497">
        <v>52336000</v>
      </c>
      <c r="S630" s="32"/>
      <c r="T630" s="32"/>
      <c r="U630" s="32"/>
      <c r="V630" s="32"/>
      <c r="W630" s="32"/>
      <c r="X630" s="1750">
        <f t="shared" si="20"/>
        <v>52336000</v>
      </c>
      <c r="Y630" s="175">
        <f t="shared" si="21"/>
        <v>0</v>
      </c>
    </row>
    <row r="631" spans="1:25" ht="45" x14ac:dyDescent="0.25">
      <c r="A631" s="1344">
        <v>2</v>
      </c>
      <c r="B631" s="1344">
        <v>3</v>
      </c>
      <c r="C631" s="1346" t="s">
        <v>2703</v>
      </c>
      <c r="D631" s="1344"/>
      <c r="E631" s="1344"/>
      <c r="F631" s="1344"/>
      <c r="G631" s="1346"/>
      <c r="H631" s="1345" t="str">
        <f>'BID II'!B1765</f>
        <v>: Pemeliharaan Jalan Usaha Tani (Subak Pohmanis Bekisting)</v>
      </c>
      <c r="I631" s="1347">
        <f>SUM(I632:I636)</f>
        <v>67523250</v>
      </c>
      <c r="J631" s="1345" t="s">
        <v>1682</v>
      </c>
      <c r="K631" s="1796" t="s">
        <v>3030</v>
      </c>
      <c r="L631" s="1344"/>
      <c r="M631" s="1344"/>
      <c r="N631" s="1344"/>
      <c r="O631" s="1344"/>
      <c r="P631" s="1344"/>
      <c r="Q631" s="1344"/>
      <c r="R631" s="1344"/>
      <c r="S631" s="1344"/>
      <c r="T631" s="1344"/>
      <c r="U631" s="1344"/>
      <c r="V631" s="1344"/>
      <c r="W631" s="1344"/>
      <c r="X631" s="1353">
        <f t="shared" si="20"/>
        <v>0</v>
      </c>
      <c r="Y631" s="175">
        <f t="shared" si="21"/>
        <v>-67523250</v>
      </c>
    </row>
    <row r="632" spans="1:25" ht="30" x14ac:dyDescent="0.25">
      <c r="A632" s="32"/>
      <c r="B632" s="32"/>
      <c r="C632" s="32"/>
      <c r="D632" s="32">
        <v>5</v>
      </c>
      <c r="E632" s="32">
        <v>3</v>
      </c>
      <c r="F632" s="32"/>
      <c r="G632" s="1340"/>
      <c r="H632" s="66" t="str">
        <f>'BID II'!B1772</f>
        <v xml:space="preserve">Belanja Modal </v>
      </c>
      <c r="I632" s="470"/>
      <c r="J632" s="66"/>
      <c r="K632" s="1797" t="s">
        <v>3030</v>
      </c>
      <c r="L632" s="32"/>
      <c r="M632" s="32"/>
      <c r="N632" s="32"/>
      <c r="O632" s="32"/>
      <c r="P632" s="32"/>
      <c r="Q632" s="32"/>
      <c r="R632" s="32"/>
      <c r="S632" s="32"/>
      <c r="T632" s="32"/>
      <c r="U632" s="32"/>
      <c r="V632" s="32"/>
      <c r="W632" s="32"/>
      <c r="X632" s="1750">
        <f t="shared" si="20"/>
        <v>0</v>
      </c>
      <c r="Y632" s="175">
        <f t="shared" si="21"/>
        <v>0</v>
      </c>
    </row>
    <row r="633" spans="1:25" ht="30" x14ac:dyDescent="0.25">
      <c r="A633" s="32"/>
      <c r="B633" s="32"/>
      <c r="C633" s="32"/>
      <c r="D633" s="32"/>
      <c r="E633" s="32"/>
      <c r="F633" s="32">
        <v>5</v>
      </c>
      <c r="G633" s="1340"/>
      <c r="H633" s="66" t="str">
        <f>'BID II'!B1773</f>
        <v>Belanja Modal Jalan</v>
      </c>
      <c r="I633" s="470"/>
      <c r="J633" s="66"/>
      <c r="K633" s="1797" t="s">
        <v>3030</v>
      </c>
      <c r="L633" s="32"/>
      <c r="M633" s="32"/>
      <c r="N633" s="32"/>
      <c r="O633" s="32"/>
      <c r="P633" s="32"/>
      <c r="Q633" s="32"/>
      <c r="R633" s="32"/>
      <c r="S633" s="32"/>
      <c r="T633" s="32"/>
      <c r="U633" s="32"/>
      <c r="V633" s="32"/>
      <c r="W633" s="32"/>
      <c r="X633" s="1750">
        <f t="shared" si="20"/>
        <v>0</v>
      </c>
      <c r="Y633" s="175">
        <f t="shared" si="21"/>
        <v>0</v>
      </c>
    </row>
    <row r="634" spans="1:25" ht="30" x14ac:dyDescent="0.25">
      <c r="A634" s="32"/>
      <c r="B634" s="32"/>
      <c r="C634" s="32"/>
      <c r="D634" s="32"/>
      <c r="E634" s="32"/>
      <c r="F634" s="32"/>
      <c r="G634" s="1340" t="s">
        <v>2688</v>
      </c>
      <c r="H634" s="66" t="str">
        <f>'BID II'!B1774</f>
        <v>Honorarium Tim Yang Melaksanakan Kegiatan</v>
      </c>
      <c r="I634" s="470">
        <f>'BID II'!F1776</f>
        <v>1166750</v>
      </c>
      <c r="J634" s="66" t="s">
        <v>1682</v>
      </c>
      <c r="K634" s="1797" t="s">
        <v>3030</v>
      </c>
      <c r="L634" s="32"/>
      <c r="M634" s="32"/>
      <c r="N634" s="32"/>
      <c r="O634" s="32"/>
      <c r="P634" s="32"/>
      <c r="Q634" s="32"/>
      <c r="R634" s="497">
        <v>1166750</v>
      </c>
      <c r="S634" s="32"/>
      <c r="T634" s="32"/>
      <c r="U634" s="32"/>
      <c r="V634" s="32"/>
      <c r="W634" s="32"/>
      <c r="X634" s="1750">
        <f t="shared" si="20"/>
        <v>1166750</v>
      </c>
      <c r="Y634" s="175">
        <f t="shared" si="21"/>
        <v>0</v>
      </c>
    </row>
    <row r="635" spans="1:25" ht="30" x14ac:dyDescent="0.25">
      <c r="A635" s="32"/>
      <c r="B635" s="32"/>
      <c r="C635" s="32"/>
      <c r="D635" s="32"/>
      <c r="E635" s="32"/>
      <c r="F635" s="32"/>
      <c r="G635" s="1340" t="s">
        <v>2702</v>
      </c>
      <c r="H635" s="32" t="str">
        <f>'BID II'!B1777</f>
        <v>Belanja Upah</v>
      </c>
      <c r="I635" s="470">
        <f>'BID II'!F1780</f>
        <v>5356000</v>
      </c>
      <c r="J635" s="66" t="s">
        <v>1682</v>
      </c>
      <c r="K635" s="1797" t="s">
        <v>3030</v>
      </c>
      <c r="L635" s="32"/>
      <c r="M635" s="32"/>
      <c r="N635" s="32"/>
      <c r="O635" s="32"/>
      <c r="P635" s="32"/>
      <c r="Q635" s="32"/>
      <c r="R635" s="497">
        <v>5356000</v>
      </c>
      <c r="S635" s="32"/>
      <c r="T635" s="32"/>
      <c r="U635" s="32"/>
      <c r="V635" s="32"/>
      <c r="W635" s="32"/>
      <c r="X635" s="1750">
        <f t="shared" si="20"/>
        <v>5356000</v>
      </c>
      <c r="Y635" s="175">
        <f t="shared" si="21"/>
        <v>0</v>
      </c>
    </row>
    <row r="636" spans="1:25" ht="30" x14ac:dyDescent="0.25">
      <c r="A636" s="32"/>
      <c r="B636" s="32"/>
      <c r="C636" s="32"/>
      <c r="D636" s="32"/>
      <c r="E636" s="32"/>
      <c r="F636" s="32"/>
      <c r="G636" s="1340" t="s">
        <v>2703</v>
      </c>
      <c r="H636" s="32" t="str">
        <f>'BID II'!B1781</f>
        <v>Bahan Baku</v>
      </c>
      <c r="I636" s="470">
        <f>'BID II'!F1788</f>
        <v>61000500</v>
      </c>
      <c r="J636" s="66" t="s">
        <v>1682</v>
      </c>
      <c r="K636" s="1797" t="s">
        <v>3030</v>
      </c>
      <c r="L636" s="32"/>
      <c r="M636" s="32"/>
      <c r="N636" s="32"/>
      <c r="O636" s="32"/>
      <c r="P636" s="32"/>
      <c r="Q636" s="32"/>
      <c r="R636" s="497">
        <v>61000500</v>
      </c>
      <c r="S636" s="32"/>
      <c r="T636" s="32"/>
      <c r="U636" s="32"/>
      <c r="V636" s="32"/>
      <c r="W636" s="32"/>
      <c r="X636" s="1750">
        <f t="shared" si="20"/>
        <v>61000500</v>
      </c>
      <c r="Y636" s="175">
        <f t="shared" si="21"/>
        <v>0</v>
      </c>
    </row>
    <row r="637" spans="1:25" ht="60" x14ac:dyDescent="0.25">
      <c r="A637" s="1344">
        <v>2</v>
      </c>
      <c r="B637" s="1344">
        <v>3</v>
      </c>
      <c r="C637" s="1346" t="s">
        <v>2703</v>
      </c>
      <c r="D637" s="1344"/>
      <c r="E637" s="1344"/>
      <c r="F637" s="1344"/>
      <c r="G637" s="1346"/>
      <c r="H637" s="1345" t="str">
        <f>'BID II'!B1806</f>
        <v>: Pemeliharaan Jalan Usaha Tani (Subak Pohmanis Perbaikan Senderan Batu Kali)</v>
      </c>
      <c r="I637" s="1347">
        <f>SUM(I638:I642)</f>
        <v>18685000</v>
      </c>
      <c r="J637" s="1345" t="s">
        <v>1682</v>
      </c>
      <c r="K637" s="1796" t="s">
        <v>3030</v>
      </c>
      <c r="L637" s="1344"/>
      <c r="M637" s="1344"/>
      <c r="N637" s="1344"/>
      <c r="O637" s="1344"/>
      <c r="P637" s="1344"/>
      <c r="Q637" s="1344"/>
      <c r="R637" s="1344"/>
      <c r="S637" s="1344"/>
      <c r="T637" s="1344"/>
      <c r="U637" s="1344"/>
      <c r="V637" s="1344"/>
      <c r="W637" s="1344"/>
      <c r="X637" s="1353">
        <f t="shared" si="20"/>
        <v>0</v>
      </c>
      <c r="Y637" s="175">
        <f t="shared" si="21"/>
        <v>-18685000</v>
      </c>
    </row>
    <row r="638" spans="1:25" ht="30" x14ac:dyDescent="0.25">
      <c r="A638" s="32"/>
      <c r="B638" s="32"/>
      <c r="C638" s="32"/>
      <c r="D638" s="32">
        <v>5</v>
      </c>
      <c r="E638" s="32">
        <v>3</v>
      </c>
      <c r="F638" s="32"/>
      <c r="G638" s="1340"/>
      <c r="H638" s="32" t="str">
        <f>'BID II'!B1813</f>
        <v xml:space="preserve">Belanja Modal </v>
      </c>
      <c r="I638" s="470"/>
      <c r="J638" s="66"/>
      <c r="K638" s="1797" t="s">
        <v>3030</v>
      </c>
      <c r="L638" s="32"/>
      <c r="M638" s="32"/>
      <c r="N638" s="32"/>
      <c r="O638" s="32"/>
      <c r="P638" s="32"/>
      <c r="Q638" s="32"/>
      <c r="R638" s="32"/>
      <c r="S638" s="32"/>
      <c r="T638" s="32"/>
      <c r="U638" s="32"/>
      <c r="V638" s="32"/>
      <c r="W638" s="32"/>
      <c r="X638" s="1750">
        <f t="shared" si="20"/>
        <v>0</v>
      </c>
      <c r="Y638" s="175">
        <f t="shared" si="21"/>
        <v>0</v>
      </c>
    </row>
    <row r="639" spans="1:25" ht="30" x14ac:dyDescent="0.25">
      <c r="A639" s="32"/>
      <c r="B639" s="32"/>
      <c r="C639" s="32"/>
      <c r="D639" s="32"/>
      <c r="E639" s="32"/>
      <c r="F639" s="32">
        <v>5</v>
      </c>
      <c r="G639" s="1340"/>
      <c r="H639" s="32" t="str">
        <f>'BID II'!B1814</f>
        <v>Belanja Modal Jalan</v>
      </c>
      <c r="I639" s="470"/>
      <c r="J639" s="66"/>
      <c r="K639" s="1797" t="s">
        <v>3030</v>
      </c>
      <c r="L639" s="32"/>
      <c r="M639" s="32"/>
      <c r="N639" s="32"/>
      <c r="O639" s="32"/>
      <c r="P639" s="32"/>
      <c r="Q639" s="32"/>
      <c r="R639" s="32"/>
      <c r="S639" s="32"/>
      <c r="T639" s="32"/>
      <c r="U639" s="32"/>
      <c r="V639" s="32"/>
      <c r="W639" s="32"/>
      <c r="X639" s="1750">
        <f t="shared" si="20"/>
        <v>0</v>
      </c>
      <c r="Y639" s="175">
        <f t="shared" si="21"/>
        <v>0</v>
      </c>
    </row>
    <row r="640" spans="1:25" ht="30" x14ac:dyDescent="0.25">
      <c r="A640" s="32"/>
      <c r="B640" s="32"/>
      <c r="C640" s="32"/>
      <c r="D640" s="32"/>
      <c r="E640" s="32"/>
      <c r="F640" s="32"/>
      <c r="G640" s="1340" t="s">
        <v>2688</v>
      </c>
      <c r="H640" s="66" t="str">
        <f>'BID II'!B1815</f>
        <v>Honorarium Tim Yang Melaksanakan Kegiatan</v>
      </c>
      <c r="I640" s="470">
        <f>'BID II'!F1817</f>
        <v>464000</v>
      </c>
      <c r="J640" s="66" t="s">
        <v>1682</v>
      </c>
      <c r="K640" s="1797" t="s">
        <v>3030</v>
      </c>
      <c r="L640" s="32"/>
      <c r="M640" s="32"/>
      <c r="N640" s="32"/>
      <c r="O640" s="32"/>
      <c r="P640" s="32"/>
      <c r="Q640" s="32"/>
      <c r="R640" s="497">
        <v>464000</v>
      </c>
      <c r="S640" s="32"/>
      <c r="T640" s="32"/>
      <c r="U640" s="32"/>
      <c r="V640" s="32"/>
      <c r="W640" s="32"/>
      <c r="X640" s="1750">
        <f t="shared" si="20"/>
        <v>464000</v>
      </c>
      <c r="Y640" s="175">
        <f t="shared" si="21"/>
        <v>0</v>
      </c>
    </row>
    <row r="641" spans="1:25" ht="30" x14ac:dyDescent="0.25">
      <c r="A641" s="32"/>
      <c r="B641" s="32"/>
      <c r="C641" s="32"/>
      <c r="D641" s="32"/>
      <c r="E641" s="32"/>
      <c r="F641" s="32"/>
      <c r="G641" s="1340" t="s">
        <v>2702</v>
      </c>
      <c r="H641" s="32" t="str">
        <f>'BID II'!B1818</f>
        <v>Belanja Upah</v>
      </c>
      <c r="I641" s="470">
        <f>'BID II'!F1821</f>
        <v>3770000</v>
      </c>
      <c r="J641" s="66" t="s">
        <v>1682</v>
      </c>
      <c r="K641" s="1797" t="s">
        <v>3030</v>
      </c>
      <c r="L641" s="32"/>
      <c r="M641" s="32"/>
      <c r="N641" s="32"/>
      <c r="O641" s="32"/>
      <c r="P641" s="32"/>
      <c r="Q641" s="32"/>
      <c r="R641" s="497">
        <v>3770000</v>
      </c>
      <c r="S641" s="32"/>
      <c r="T641" s="32"/>
      <c r="U641" s="32"/>
      <c r="V641" s="32"/>
      <c r="W641" s="32"/>
      <c r="X641" s="1750">
        <f t="shared" si="20"/>
        <v>3770000</v>
      </c>
      <c r="Y641" s="175">
        <f t="shared" si="21"/>
        <v>0</v>
      </c>
    </row>
    <row r="642" spans="1:25" ht="30" x14ac:dyDescent="0.25">
      <c r="A642" s="32"/>
      <c r="B642" s="32"/>
      <c r="C642" s="32"/>
      <c r="D642" s="32"/>
      <c r="E642" s="32"/>
      <c r="F642" s="32"/>
      <c r="G642" s="1340" t="s">
        <v>2703</v>
      </c>
      <c r="H642" s="32" t="str">
        <f>'BID II'!B1822</f>
        <v>Bahan Baku</v>
      </c>
      <c r="I642" s="470">
        <f>'BID II'!F1827</f>
        <v>14451000</v>
      </c>
      <c r="J642" s="66" t="s">
        <v>1682</v>
      </c>
      <c r="K642" s="1797" t="s">
        <v>3030</v>
      </c>
      <c r="L642" s="32"/>
      <c r="M642" s="32"/>
      <c r="N642" s="32"/>
      <c r="O642" s="32"/>
      <c r="P642" s="32"/>
      <c r="Q642" s="32"/>
      <c r="R642" s="497">
        <v>14451000</v>
      </c>
      <c r="S642" s="32"/>
      <c r="T642" s="32"/>
      <c r="U642" s="32"/>
      <c r="V642" s="32"/>
      <c r="W642" s="32"/>
      <c r="X642" s="1750">
        <f t="shared" si="20"/>
        <v>14451000</v>
      </c>
      <c r="Y642" s="175">
        <f t="shared" si="21"/>
        <v>0</v>
      </c>
    </row>
    <row r="643" spans="1:25" ht="105" x14ac:dyDescent="0.25">
      <c r="A643" s="1344">
        <v>2</v>
      </c>
      <c r="B643" s="1344">
        <v>3</v>
      </c>
      <c r="C643" s="1346" t="s">
        <v>2706</v>
      </c>
      <c r="D643" s="1344"/>
      <c r="E643" s="1344"/>
      <c r="F643" s="1344"/>
      <c r="G643" s="1346"/>
      <c r="H643" s="1345" t="str">
        <f>'BID II'!B1843</f>
        <v>: Pemeliharaan Prasarana Jalan Desa (Pembersihan saluran air untuk kelancaran pertanian dan gorong-gorong (PKTD MURNI Ketahanan Pangan)</v>
      </c>
      <c r="I643" s="1347">
        <f>I646</f>
        <v>23100000</v>
      </c>
      <c r="J643" s="1345" t="s">
        <v>2387</v>
      </c>
      <c r="K643" s="1796" t="s">
        <v>3030</v>
      </c>
      <c r="L643" s="1344"/>
      <c r="M643" s="1344"/>
      <c r="N643" s="1344"/>
      <c r="O643" s="1344"/>
      <c r="P643" s="1344"/>
      <c r="Q643" s="1344"/>
      <c r="R643" s="1344"/>
      <c r="S643" s="1344"/>
      <c r="T643" s="1344"/>
      <c r="U643" s="1344"/>
      <c r="V643" s="1344"/>
      <c r="W643" s="1344"/>
      <c r="X643" s="1353">
        <f t="shared" si="20"/>
        <v>0</v>
      </c>
      <c r="Y643" s="175">
        <f t="shared" si="21"/>
        <v>-23100000</v>
      </c>
    </row>
    <row r="644" spans="1:25" ht="30" x14ac:dyDescent="0.25">
      <c r="A644" s="32"/>
      <c r="B644" s="32"/>
      <c r="C644" s="32"/>
      <c r="D644" s="32">
        <v>5</v>
      </c>
      <c r="E644" s="32">
        <v>3</v>
      </c>
      <c r="F644" s="32"/>
      <c r="G644" s="1340"/>
      <c r="H644" s="32" t="str">
        <f>'BID II'!B1849</f>
        <v>Belanja Modal</v>
      </c>
      <c r="I644" s="470"/>
      <c r="J644" s="66"/>
      <c r="K644" s="1797" t="s">
        <v>3030</v>
      </c>
      <c r="L644" s="32"/>
      <c r="M644" s="32"/>
      <c r="N644" s="32"/>
      <c r="O644" s="32"/>
      <c r="P644" s="32"/>
      <c r="Q644" s="32"/>
      <c r="R644" s="32"/>
      <c r="S644" s="32"/>
      <c r="T644" s="32"/>
      <c r="U644" s="32"/>
      <c r="V644" s="32"/>
      <c r="W644" s="32"/>
      <c r="X644" s="1750">
        <f t="shared" si="20"/>
        <v>0</v>
      </c>
      <c r="Y644" s="175">
        <f t="shared" si="21"/>
        <v>0</v>
      </c>
    </row>
    <row r="645" spans="1:25" ht="30" x14ac:dyDescent="0.25">
      <c r="A645" s="32"/>
      <c r="B645" s="32"/>
      <c r="C645" s="32"/>
      <c r="D645" s="32">
        <v>5</v>
      </c>
      <c r="E645" s="32">
        <v>3</v>
      </c>
      <c r="F645" s="32">
        <v>7</v>
      </c>
      <c r="G645" s="1340"/>
      <c r="H645" s="32" t="str">
        <f>'BID II'!B1850</f>
        <v>Belanja Modal Irigasi</v>
      </c>
      <c r="I645" s="470"/>
      <c r="J645" s="66"/>
      <c r="K645" s="1797" t="s">
        <v>3030</v>
      </c>
      <c r="L645" s="32"/>
      <c r="M645" s="32"/>
      <c r="N645" s="32"/>
      <c r="O645" s="32"/>
      <c r="P645" s="32"/>
      <c r="Q645" s="32"/>
      <c r="R645" s="32"/>
      <c r="S645" s="32"/>
      <c r="T645" s="32"/>
      <c r="U645" s="32"/>
      <c r="V645" s="32"/>
      <c r="W645" s="32"/>
      <c r="X645" s="1750">
        <f t="shared" si="20"/>
        <v>0</v>
      </c>
      <c r="Y645" s="175">
        <f t="shared" si="21"/>
        <v>0</v>
      </c>
    </row>
    <row r="646" spans="1:25" ht="30" x14ac:dyDescent="0.25">
      <c r="A646" s="32"/>
      <c r="B646" s="32"/>
      <c r="C646" s="32"/>
      <c r="D646" s="32">
        <v>5</v>
      </c>
      <c r="E646" s="32">
        <v>3</v>
      </c>
      <c r="F646" s="32">
        <v>7</v>
      </c>
      <c r="G646" s="1340" t="s">
        <v>2702</v>
      </c>
      <c r="H646" s="32" t="str">
        <f>'BID II'!B1851</f>
        <v>Belanja Upah PKTD</v>
      </c>
      <c r="I646" s="470">
        <f>'BID II'!F1852</f>
        <v>23100000</v>
      </c>
      <c r="J646" s="66" t="s">
        <v>2387</v>
      </c>
      <c r="K646" s="1797" t="s">
        <v>3030</v>
      </c>
      <c r="L646" s="32"/>
      <c r="M646" s="32"/>
      <c r="N646" s="497">
        <v>7700000</v>
      </c>
      <c r="O646" s="32"/>
      <c r="P646" s="32"/>
      <c r="Q646" s="32"/>
      <c r="R646" s="497">
        <v>7700000</v>
      </c>
      <c r="S646" s="32"/>
      <c r="T646" s="32"/>
      <c r="U646" s="497">
        <v>7700000</v>
      </c>
      <c r="V646" s="32"/>
      <c r="W646" s="32"/>
      <c r="X646" s="1750">
        <f t="shared" si="20"/>
        <v>23100000</v>
      </c>
      <c r="Y646" s="175">
        <f t="shared" si="21"/>
        <v>0</v>
      </c>
    </row>
    <row r="647" spans="1:25" ht="90" x14ac:dyDescent="0.25">
      <c r="A647" s="1344">
        <v>2</v>
      </c>
      <c r="B647" s="1344">
        <v>3</v>
      </c>
      <c r="C647" s="1346" t="s">
        <v>2703</v>
      </c>
      <c r="D647" s="1344"/>
      <c r="E647" s="1344"/>
      <c r="F647" s="1344"/>
      <c r="G647" s="1344"/>
      <c r="H647" s="1345" t="str">
        <f>'BID II'!B1871</f>
        <v>: Pembangunan Jalan Usaha Tani KETAHANAN PANGAN (Subak Temaga Munduk Ngancang Perbaikan Senderan Batu Kali)</v>
      </c>
      <c r="I647" s="1347">
        <f>SUM(I648:I652)</f>
        <v>385503000</v>
      </c>
      <c r="J647" s="1345"/>
      <c r="K647" s="1796" t="s">
        <v>3030</v>
      </c>
      <c r="L647" s="1344"/>
      <c r="M647" s="1344"/>
      <c r="N647" s="1344"/>
      <c r="O647" s="1344"/>
      <c r="P647" s="1344"/>
      <c r="Q647" s="1344"/>
      <c r="R647" s="1344"/>
      <c r="S647" s="1344"/>
      <c r="T647" s="1344"/>
      <c r="U647" s="1344"/>
      <c r="V647" s="1344"/>
      <c r="W647" s="1344"/>
      <c r="X647" s="1353">
        <f t="shared" si="20"/>
        <v>0</v>
      </c>
      <c r="Y647" s="175">
        <f t="shared" si="21"/>
        <v>-385503000</v>
      </c>
    </row>
    <row r="648" spans="1:25" ht="30" x14ac:dyDescent="0.25">
      <c r="A648" s="32"/>
      <c r="B648" s="32"/>
      <c r="C648" s="32"/>
      <c r="D648" s="32">
        <v>5</v>
      </c>
      <c r="E648" s="32">
        <v>3</v>
      </c>
      <c r="F648" s="32"/>
      <c r="G648" s="32"/>
      <c r="H648" s="66" t="str">
        <f>'BID II'!B1878</f>
        <v xml:space="preserve">Belanja Modal </v>
      </c>
      <c r="I648" s="32"/>
      <c r="J648" s="66"/>
      <c r="K648" s="1797" t="s">
        <v>3030</v>
      </c>
      <c r="L648" s="32"/>
      <c r="M648" s="32"/>
      <c r="N648" s="32"/>
      <c r="O648" s="32"/>
      <c r="P648" s="32"/>
      <c r="Q648" s="32"/>
      <c r="R648" s="32"/>
      <c r="S648" s="32"/>
      <c r="T648" s="32"/>
      <c r="U648" s="32"/>
      <c r="V648" s="32"/>
      <c r="W648" s="32"/>
      <c r="X648" s="1750">
        <f t="shared" si="20"/>
        <v>0</v>
      </c>
      <c r="Y648" s="175">
        <f t="shared" si="21"/>
        <v>0</v>
      </c>
    </row>
    <row r="649" spans="1:25" ht="30" x14ac:dyDescent="0.25">
      <c r="A649" s="32"/>
      <c r="B649" s="32"/>
      <c r="C649" s="32"/>
      <c r="D649" s="32"/>
      <c r="E649" s="32"/>
      <c r="F649" s="32">
        <v>5</v>
      </c>
      <c r="G649" s="32"/>
      <c r="H649" s="66" t="str">
        <f>'BID II'!B1879</f>
        <v>Belanja Modal Jalan</v>
      </c>
      <c r="I649" s="32"/>
      <c r="J649" s="66"/>
      <c r="K649" s="1797" t="s">
        <v>3030</v>
      </c>
      <c r="L649" s="32"/>
      <c r="M649" s="32"/>
      <c r="N649" s="32"/>
      <c r="O649" s="32"/>
      <c r="P649" s="32"/>
      <c r="Q649" s="32"/>
      <c r="R649" s="32"/>
      <c r="S649" s="32"/>
      <c r="T649" s="32"/>
      <c r="U649" s="32"/>
      <c r="V649" s="32"/>
      <c r="W649" s="32"/>
      <c r="X649" s="1750">
        <f t="shared" si="20"/>
        <v>0</v>
      </c>
      <c r="Y649" s="175">
        <f t="shared" si="21"/>
        <v>0</v>
      </c>
    </row>
    <row r="650" spans="1:25" ht="30" x14ac:dyDescent="0.25">
      <c r="A650" s="32"/>
      <c r="B650" s="32"/>
      <c r="C650" s="32"/>
      <c r="D650" s="32"/>
      <c r="E650" s="32"/>
      <c r="F650" s="32"/>
      <c r="G650" s="1340" t="s">
        <v>2688</v>
      </c>
      <c r="H650" s="66" t="str">
        <f>'BID II'!B1880</f>
        <v>Honorarium Tim Yang Melaksanakan Kegiatan</v>
      </c>
      <c r="I650" s="470">
        <f>'BID II'!F1882</f>
        <v>1917000</v>
      </c>
      <c r="J650" s="66" t="s">
        <v>2626</v>
      </c>
      <c r="K650" s="1797" t="s">
        <v>3030</v>
      </c>
      <c r="L650" s="32"/>
      <c r="M650" s="32"/>
      <c r="N650" s="32"/>
      <c r="O650" s="497">
        <v>1917000</v>
      </c>
      <c r="P650" s="32"/>
      <c r="Q650" s="32"/>
      <c r="R650" s="32"/>
      <c r="S650" s="32"/>
      <c r="T650" s="32"/>
      <c r="U650" s="32"/>
      <c r="V650" s="32"/>
      <c r="W650" s="32"/>
      <c r="X650" s="1750">
        <f t="shared" si="20"/>
        <v>1917000</v>
      </c>
      <c r="Y650" s="175">
        <f t="shared" si="21"/>
        <v>0</v>
      </c>
    </row>
    <row r="651" spans="1:25" ht="30" x14ac:dyDescent="0.25">
      <c r="A651" s="32"/>
      <c r="B651" s="32"/>
      <c r="C651" s="32"/>
      <c r="D651" s="32"/>
      <c r="E651" s="32"/>
      <c r="F651" s="32"/>
      <c r="G651" s="1340" t="s">
        <v>2702</v>
      </c>
      <c r="H651" s="32" t="str">
        <f>'BID II'!B1883</f>
        <v>Belanja Upah</v>
      </c>
      <c r="I651" s="470">
        <f>'BID II'!F1886</f>
        <v>95667000</v>
      </c>
      <c r="J651" s="66" t="s">
        <v>2626</v>
      </c>
      <c r="K651" s="1797" t="s">
        <v>3030</v>
      </c>
      <c r="L651" s="32"/>
      <c r="M651" s="32"/>
      <c r="N651" s="32"/>
      <c r="O651" s="497">
        <v>95667000</v>
      </c>
      <c r="P651" s="32"/>
      <c r="Q651" s="32"/>
      <c r="R651" s="32"/>
      <c r="S651" s="32"/>
      <c r="T651" s="32"/>
      <c r="U651" s="32"/>
      <c r="V651" s="32"/>
      <c r="W651" s="32"/>
      <c r="X651" s="1750">
        <f t="shared" si="20"/>
        <v>95667000</v>
      </c>
      <c r="Y651" s="175">
        <f t="shared" si="21"/>
        <v>0</v>
      </c>
    </row>
    <row r="652" spans="1:25" ht="30" x14ac:dyDescent="0.25">
      <c r="A652" s="32"/>
      <c r="B652" s="32"/>
      <c r="C652" s="32"/>
      <c r="D652" s="32"/>
      <c r="E652" s="32"/>
      <c r="F652" s="32"/>
      <c r="G652" s="1340" t="s">
        <v>2703</v>
      </c>
      <c r="H652" s="32" t="str">
        <f>'BID II'!B1887</f>
        <v>Bahan Baku</v>
      </c>
      <c r="I652" s="470">
        <f>'BID II'!F1892</f>
        <v>287919000</v>
      </c>
      <c r="J652" s="66" t="s">
        <v>1682</v>
      </c>
      <c r="K652" s="1797" t="s">
        <v>3030</v>
      </c>
      <c r="L652" s="32"/>
      <c r="M652" s="32"/>
      <c r="N652" s="32"/>
      <c r="O652" s="497">
        <v>287919000</v>
      </c>
      <c r="P652" s="32"/>
      <c r="Q652" s="32"/>
      <c r="R652" s="32"/>
      <c r="S652" s="32"/>
      <c r="T652" s="32"/>
      <c r="U652" s="32"/>
      <c r="V652" s="32"/>
      <c r="W652" s="32"/>
      <c r="X652" s="1750">
        <f t="shared" si="20"/>
        <v>287919000</v>
      </c>
      <c r="Y652" s="175">
        <f t="shared" si="21"/>
        <v>0</v>
      </c>
    </row>
    <row r="653" spans="1:25" ht="75" x14ac:dyDescent="0.25">
      <c r="A653" s="1344">
        <v>2</v>
      </c>
      <c r="B653" s="1344">
        <v>3</v>
      </c>
      <c r="C653" s="1346" t="s">
        <v>2703</v>
      </c>
      <c r="D653" s="1344"/>
      <c r="E653" s="1344"/>
      <c r="F653" s="1344"/>
      <c r="G653" s="1344"/>
      <c r="H653" s="1345" t="str">
        <f>'BID II'!B1908</f>
        <v>: Pembangunan Jalan Usaha Tani KETAHANAN PANGAN(Subak Temaga Munduk Ngancang Urug Limestone)</v>
      </c>
      <c r="I653" s="1347">
        <f>SUM(I654:I659)</f>
        <v>67743000</v>
      </c>
      <c r="J653" s="1345" t="s">
        <v>2625</v>
      </c>
      <c r="K653" s="1796" t="s">
        <v>3030</v>
      </c>
      <c r="L653" s="1344"/>
      <c r="M653" s="1344"/>
      <c r="N653" s="1344"/>
      <c r="O653" s="1344"/>
      <c r="P653" s="1344"/>
      <c r="Q653" s="1344"/>
      <c r="R653" s="1344"/>
      <c r="S653" s="1344"/>
      <c r="T653" s="1344"/>
      <c r="U653" s="1344"/>
      <c r="V653" s="1344"/>
      <c r="W653" s="1344"/>
      <c r="X653" s="1353">
        <f t="shared" si="20"/>
        <v>0</v>
      </c>
      <c r="Y653" s="175">
        <f t="shared" si="21"/>
        <v>-67743000</v>
      </c>
    </row>
    <row r="654" spans="1:25" ht="30" x14ac:dyDescent="0.25">
      <c r="A654" s="32"/>
      <c r="B654" s="32"/>
      <c r="C654" s="32"/>
      <c r="D654" s="32">
        <v>5</v>
      </c>
      <c r="E654" s="32">
        <v>3</v>
      </c>
      <c r="F654" s="32"/>
      <c r="G654" s="32"/>
      <c r="H654" s="66" t="str">
        <f>'BID II'!B1991</f>
        <v xml:space="preserve">Belanja Modal </v>
      </c>
      <c r="I654" s="470"/>
      <c r="J654" s="66"/>
      <c r="K654" s="1797" t="s">
        <v>3030</v>
      </c>
      <c r="L654" s="32"/>
      <c r="M654" s="32"/>
      <c r="N654" s="32"/>
      <c r="O654" s="32"/>
      <c r="P654" s="32"/>
      <c r="Q654" s="32"/>
      <c r="R654" s="32"/>
      <c r="S654" s="32"/>
      <c r="T654" s="32"/>
      <c r="U654" s="32"/>
      <c r="V654" s="32"/>
      <c r="W654" s="32"/>
      <c r="X654" s="1750">
        <f t="shared" si="20"/>
        <v>0</v>
      </c>
      <c r="Y654" s="175">
        <f t="shared" si="21"/>
        <v>0</v>
      </c>
    </row>
    <row r="655" spans="1:25" ht="30" x14ac:dyDescent="0.25">
      <c r="A655" s="32"/>
      <c r="B655" s="32"/>
      <c r="C655" s="32"/>
      <c r="D655" s="32"/>
      <c r="E655" s="32"/>
      <c r="F655" s="32">
        <v>5</v>
      </c>
      <c r="G655" s="32"/>
      <c r="H655" s="66" t="str">
        <f>'BID II'!B1992</f>
        <v>Belanja Modal Jalan</v>
      </c>
      <c r="I655" s="470"/>
      <c r="J655" s="66"/>
      <c r="K655" s="1797" t="s">
        <v>3030</v>
      </c>
      <c r="L655" s="32"/>
      <c r="M655" s="32"/>
      <c r="N655" s="32"/>
      <c r="O655" s="32"/>
      <c r="P655" s="32"/>
      <c r="Q655" s="32"/>
      <c r="R655" s="32"/>
      <c r="S655" s="32"/>
      <c r="T655" s="32"/>
      <c r="U655" s="32"/>
      <c r="V655" s="32"/>
      <c r="W655" s="32"/>
      <c r="X655" s="1750">
        <f t="shared" si="20"/>
        <v>0</v>
      </c>
      <c r="Y655" s="175">
        <f t="shared" si="21"/>
        <v>0</v>
      </c>
    </row>
    <row r="656" spans="1:25" ht="30" x14ac:dyDescent="0.25">
      <c r="A656" s="32"/>
      <c r="B656" s="32"/>
      <c r="C656" s="32"/>
      <c r="D656" s="32"/>
      <c r="E656" s="32"/>
      <c r="F656" s="32"/>
      <c r="G656" s="1340" t="s">
        <v>2688</v>
      </c>
      <c r="H656" s="66" t="str">
        <f>'BID II'!B1993</f>
        <v>Honorarium Tim Yang Melaksanakan Kegiatan</v>
      </c>
      <c r="I656" s="470">
        <f>'BID II'!F1919</f>
        <v>1425000</v>
      </c>
      <c r="J656" s="66" t="s">
        <v>2625</v>
      </c>
      <c r="K656" s="1797" t="s">
        <v>3030</v>
      </c>
      <c r="L656" s="32"/>
      <c r="M656" s="32"/>
      <c r="N656" s="32"/>
      <c r="O656" s="497">
        <v>1425000</v>
      </c>
      <c r="P656" s="32"/>
      <c r="Q656" s="32"/>
      <c r="R656" s="32"/>
      <c r="S656" s="32"/>
      <c r="T656" s="32"/>
      <c r="U656" s="32"/>
      <c r="V656" s="32"/>
      <c r="W656" s="32"/>
      <c r="X656" s="1750">
        <f t="shared" si="20"/>
        <v>1425000</v>
      </c>
      <c r="Y656" s="175">
        <f t="shared" si="21"/>
        <v>0</v>
      </c>
    </row>
    <row r="657" spans="1:25" ht="30" x14ac:dyDescent="0.25">
      <c r="A657" s="32"/>
      <c r="B657" s="32"/>
      <c r="C657" s="32"/>
      <c r="D657" s="32"/>
      <c r="E657" s="32"/>
      <c r="F657" s="32"/>
      <c r="G657" s="1340" t="s">
        <v>2702</v>
      </c>
      <c r="H657" s="32" t="str">
        <f>'BID II'!B1996</f>
        <v>Belanja Upah</v>
      </c>
      <c r="I657" s="470">
        <f>'BID II'!F1922</f>
        <v>20670000</v>
      </c>
      <c r="J657" s="66" t="s">
        <v>2625</v>
      </c>
      <c r="K657" s="1797" t="s">
        <v>3030</v>
      </c>
      <c r="L657" s="32"/>
      <c r="M657" s="32"/>
      <c r="N657" s="32"/>
      <c r="O657" s="497">
        <v>20670000</v>
      </c>
      <c r="P657" s="32"/>
      <c r="Q657" s="32"/>
      <c r="R657" s="32"/>
      <c r="S657" s="32"/>
      <c r="T657" s="32"/>
      <c r="U657" s="32"/>
      <c r="V657" s="32"/>
      <c r="W657" s="32"/>
      <c r="X657" s="1750">
        <f t="shared" si="20"/>
        <v>20670000</v>
      </c>
      <c r="Y657" s="175">
        <f t="shared" si="21"/>
        <v>0</v>
      </c>
    </row>
    <row r="658" spans="1:25" ht="30" x14ac:dyDescent="0.25">
      <c r="A658" s="32"/>
      <c r="B658" s="32"/>
      <c r="C658" s="32"/>
      <c r="D658" s="32"/>
      <c r="E658" s="32"/>
      <c r="F658" s="32"/>
      <c r="G658" s="1340" t="s">
        <v>2703</v>
      </c>
      <c r="H658" s="32" t="str">
        <f>'BID II'!B2000</f>
        <v>Bahan Baku</v>
      </c>
      <c r="I658" s="470">
        <f>'BID II'!F1926</f>
        <v>44148000</v>
      </c>
      <c r="J658" s="66" t="s">
        <v>2625</v>
      </c>
      <c r="K658" s="1797" t="s">
        <v>3030</v>
      </c>
      <c r="L658" s="32"/>
      <c r="M658" s="32"/>
      <c r="N658" s="32"/>
      <c r="O658" s="497">
        <v>44148000</v>
      </c>
      <c r="P658" s="32"/>
      <c r="Q658" s="32"/>
      <c r="R658" s="32"/>
      <c r="S658" s="32"/>
      <c r="T658" s="32"/>
      <c r="U658" s="32"/>
      <c r="V658" s="32"/>
      <c r="W658" s="32"/>
      <c r="X658" s="1750">
        <f t="shared" si="20"/>
        <v>44148000</v>
      </c>
      <c r="Y658" s="175">
        <f t="shared" si="21"/>
        <v>0</v>
      </c>
    </row>
    <row r="659" spans="1:25" ht="30" x14ac:dyDescent="0.25">
      <c r="A659" s="32"/>
      <c r="B659" s="32"/>
      <c r="C659" s="32"/>
      <c r="D659" s="32"/>
      <c r="E659" s="32"/>
      <c r="F659" s="32"/>
      <c r="G659" s="1340" t="s">
        <v>2704</v>
      </c>
      <c r="H659" s="32" t="str">
        <f>'BID II'!B1927</f>
        <v>Sewa Alat</v>
      </c>
      <c r="I659" s="470">
        <f>'BID II'!F1929</f>
        <v>1500000</v>
      </c>
      <c r="J659" s="66" t="s">
        <v>2625</v>
      </c>
      <c r="K659" s="1797" t="s">
        <v>3030</v>
      </c>
      <c r="L659" s="32"/>
      <c r="M659" s="32"/>
      <c r="N659" s="32"/>
      <c r="O659" s="497">
        <v>1500000</v>
      </c>
      <c r="P659" s="32"/>
      <c r="Q659" s="32"/>
      <c r="R659" s="32"/>
      <c r="S659" s="32"/>
      <c r="T659" s="32"/>
      <c r="U659" s="32"/>
      <c r="V659" s="32"/>
      <c r="W659" s="32"/>
      <c r="X659" s="1750">
        <f t="shared" si="20"/>
        <v>1500000</v>
      </c>
      <c r="Y659" s="175">
        <f t="shared" si="21"/>
        <v>0</v>
      </c>
    </row>
    <row r="660" spans="1:25" ht="75" x14ac:dyDescent="0.25">
      <c r="A660" s="1344">
        <v>2</v>
      </c>
      <c r="B660" s="1344">
        <v>3</v>
      </c>
      <c r="C660" s="1346" t="s">
        <v>2703</v>
      </c>
      <c r="D660" s="1344"/>
      <c r="E660" s="1344"/>
      <c r="F660" s="1344"/>
      <c r="G660" s="1344"/>
      <c r="H660" s="1345" t="str">
        <f>'BID II'!B1945</f>
        <v>: Pembangunan Jalan Usaha Tani KETAHANAN PANGAN(Subak Temaga Munduk Ngancang Pemavingan)</v>
      </c>
      <c r="I660" s="1347">
        <f>SUM(I661:I665)</f>
        <v>331798000</v>
      </c>
      <c r="J660" s="1345" t="s">
        <v>2387</v>
      </c>
      <c r="K660" s="1796" t="s">
        <v>3030</v>
      </c>
      <c r="L660" s="1344"/>
      <c r="M660" s="1344"/>
      <c r="N660" s="1344"/>
      <c r="O660" s="1344"/>
      <c r="P660" s="1344"/>
      <c r="Q660" s="1344"/>
      <c r="R660" s="1344"/>
      <c r="S660" s="1344"/>
      <c r="T660" s="1344"/>
      <c r="U660" s="1344"/>
      <c r="V660" s="1344"/>
      <c r="W660" s="1344"/>
      <c r="X660" s="1353">
        <f t="shared" si="20"/>
        <v>0</v>
      </c>
      <c r="Y660" s="175">
        <f t="shared" si="21"/>
        <v>-331798000</v>
      </c>
    </row>
    <row r="661" spans="1:25" ht="30" x14ac:dyDescent="0.25">
      <c r="A661" s="32"/>
      <c r="B661" s="32"/>
      <c r="C661" s="32"/>
      <c r="D661" s="32">
        <v>5</v>
      </c>
      <c r="E661" s="32">
        <v>3</v>
      </c>
      <c r="F661" s="32"/>
      <c r="G661" s="32"/>
      <c r="H661" s="66" t="str">
        <f>'BID II'!B1952</f>
        <v xml:space="preserve">Belanja Modal </v>
      </c>
      <c r="I661" s="470"/>
      <c r="J661" s="66"/>
      <c r="K661" s="1797" t="s">
        <v>3030</v>
      </c>
      <c r="L661" s="32"/>
      <c r="M661" s="32"/>
      <c r="N661" s="32"/>
      <c r="O661" s="32"/>
      <c r="P661" s="32"/>
      <c r="Q661" s="32"/>
      <c r="R661" s="32"/>
      <c r="S661" s="32"/>
      <c r="T661" s="32"/>
      <c r="U661" s="32"/>
      <c r="V661" s="32"/>
      <c r="W661" s="32"/>
      <c r="X661" s="1750">
        <f t="shared" si="20"/>
        <v>0</v>
      </c>
      <c r="Y661" s="175">
        <f t="shared" si="21"/>
        <v>0</v>
      </c>
    </row>
    <row r="662" spans="1:25" ht="30" x14ac:dyDescent="0.25">
      <c r="A662" s="32"/>
      <c r="B662" s="32"/>
      <c r="C662" s="32"/>
      <c r="D662" s="32"/>
      <c r="E662" s="32"/>
      <c r="F662" s="32">
        <v>5</v>
      </c>
      <c r="G662" s="32"/>
      <c r="H662" s="66" t="str">
        <f>'BID II'!B1953</f>
        <v>Belanja Modal Jalan</v>
      </c>
      <c r="I662" s="470"/>
      <c r="J662" s="66"/>
      <c r="K662" s="1797" t="s">
        <v>3030</v>
      </c>
      <c r="L662" s="32"/>
      <c r="M662" s="32"/>
      <c r="N662" s="32"/>
      <c r="O662" s="32"/>
      <c r="P662" s="32"/>
      <c r="Q662" s="32"/>
      <c r="R662" s="32"/>
      <c r="S662" s="32"/>
      <c r="T662" s="32"/>
      <c r="U662" s="32"/>
      <c r="V662" s="32"/>
      <c r="W662" s="32"/>
      <c r="X662" s="1750">
        <f t="shared" si="20"/>
        <v>0</v>
      </c>
      <c r="Y662" s="175">
        <f t="shared" si="21"/>
        <v>0</v>
      </c>
    </row>
    <row r="663" spans="1:25" ht="30" x14ac:dyDescent="0.25">
      <c r="A663" s="32"/>
      <c r="B663" s="32"/>
      <c r="C663" s="32"/>
      <c r="D663" s="32"/>
      <c r="E663" s="32"/>
      <c r="F663" s="32"/>
      <c r="G663" s="1340" t="s">
        <v>2688</v>
      </c>
      <c r="H663" s="66" t="str">
        <f>'BID II'!B1954</f>
        <v>Honorarium Tim Yang Melaksanakan Kegiatan</v>
      </c>
      <c r="I663" s="470">
        <f>'BID II'!F1956</f>
        <v>1650000</v>
      </c>
      <c r="J663" s="66" t="s">
        <v>2387</v>
      </c>
      <c r="K663" s="1797" t="s">
        <v>3030</v>
      </c>
      <c r="L663" s="32"/>
      <c r="M663" s="32"/>
      <c r="N663" s="32"/>
      <c r="O663" s="497">
        <v>1650000</v>
      </c>
      <c r="P663" s="32"/>
      <c r="Q663" s="32"/>
      <c r="R663" s="32"/>
      <c r="S663" s="32"/>
      <c r="T663" s="32"/>
      <c r="U663" s="32"/>
      <c r="V663" s="32"/>
      <c r="W663" s="32"/>
      <c r="X663" s="1750">
        <f t="shared" si="20"/>
        <v>1650000</v>
      </c>
      <c r="Y663" s="175">
        <f t="shared" si="21"/>
        <v>0</v>
      </c>
    </row>
    <row r="664" spans="1:25" ht="30" x14ac:dyDescent="0.25">
      <c r="A664" s="32"/>
      <c r="B664" s="32"/>
      <c r="C664" s="32"/>
      <c r="D664" s="32"/>
      <c r="E664" s="32"/>
      <c r="F664" s="32"/>
      <c r="G664" s="1340" t="s">
        <v>2702</v>
      </c>
      <c r="H664" s="32" t="str">
        <f>'BID II'!B1957:B1957</f>
        <v>Belanja Upah</v>
      </c>
      <c r="I664" s="470">
        <f>'BID II'!F1960</f>
        <v>52078000</v>
      </c>
      <c r="J664" s="66" t="s">
        <v>2387</v>
      </c>
      <c r="K664" s="1797" t="s">
        <v>3030</v>
      </c>
      <c r="L664" s="32"/>
      <c r="M664" s="32"/>
      <c r="N664" s="32"/>
      <c r="O664" s="497">
        <v>52078000</v>
      </c>
      <c r="P664" s="32"/>
      <c r="Q664" s="32"/>
      <c r="R664" s="32"/>
      <c r="S664" s="32"/>
      <c r="T664" s="32"/>
      <c r="U664" s="32"/>
      <c r="V664" s="32"/>
      <c r="W664" s="32"/>
      <c r="X664" s="1750">
        <f t="shared" si="20"/>
        <v>52078000</v>
      </c>
      <c r="Y664" s="175">
        <f t="shared" si="21"/>
        <v>0</v>
      </c>
    </row>
    <row r="665" spans="1:25" ht="30" x14ac:dyDescent="0.25">
      <c r="A665" s="32"/>
      <c r="B665" s="32"/>
      <c r="C665" s="32"/>
      <c r="D665" s="32"/>
      <c r="E665" s="32"/>
      <c r="F665" s="32"/>
      <c r="G665" s="1340" t="s">
        <v>2703</v>
      </c>
      <c r="H665" s="32" t="str">
        <f>'BID II'!B1961</f>
        <v>Bahan Baku</v>
      </c>
      <c r="I665" s="470">
        <f>'BID II'!F1968</f>
        <v>278070000</v>
      </c>
      <c r="J665" s="66" t="s">
        <v>2387</v>
      </c>
      <c r="K665" s="1797" t="s">
        <v>3030</v>
      </c>
      <c r="L665" s="32"/>
      <c r="M665" s="32"/>
      <c r="N665" s="32"/>
      <c r="O665" s="497">
        <v>278070000</v>
      </c>
      <c r="P665" s="32"/>
      <c r="Q665" s="32"/>
      <c r="R665" s="32"/>
      <c r="S665" s="32"/>
      <c r="T665" s="32"/>
      <c r="U665" s="32"/>
      <c r="V665" s="32"/>
      <c r="W665" s="32"/>
      <c r="X665" s="1750">
        <f t="shared" si="20"/>
        <v>278070000</v>
      </c>
      <c r="Y665" s="175">
        <f t="shared" si="21"/>
        <v>0</v>
      </c>
    </row>
    <row r="666" spans="1:25" ht="75" x14ac:dyDescent="0.25">
      <c r="A666" s="1344">
        <v>2</v>
      </c>
      <c r="B666" s="1344">
        <v>3</v>
      </c>
      <c r="C666" s="1346" t="s">
        <v>2703</v>
      </c>
      <c r="D666" s="1344"/>
      <c r="E666" s="1344"/>
      <c r="F666" s="1344"/>
      <c r="G666" s="1344"/>
      <c r="H666" s="1345" t="str">
        <f>'BID II'!B1984</f>
        <v>: Pembangunan Jalan Usaha Tani (Subak Temaga Munduk Ngancang Perbaikan Senderan Batu Kali)</v>
      </c>
      <c r="I666" s="1347">
        <f>SUM(I667:I671)</f>
        <v>18184000</v>
      </c>
      <c r="J666" s="1345" t="s">
        <v>2625</v>
      </c>
      <c r="K666" s="1796" t="s">
        <v>3030</v>
      </c>
      <c r="L666" s="1344"/>
      <c r="M666" s="1344"/>
      <c r="N666" s="1344"/>
      <c r="O666" s="1344"/>
      <c r="P666" s="1344"/>
      <c r="Q666" s="1344"/>
      <c r="R666" s="1344"/>
      <c r="S666" s="1344"/>
      <c r="T666" s="1344"/>
      <c r="U666" s="1344"/>
      <c r="V666" s="1344"/>
      <c r="W666" s="1344"/>
      <c r="X666" s="1353">
        <f t="shared" si="20"/>
        <v>0</v>
      </c>
      <c r="Y666" s="175">
        <f t="shared" si="21"/>
        <v>-18184000</v>
      </c>
    </row>
    <row r="667" spans="1:25" ht="30" x14ac:dyDescent="0.25">
      <c r="A667" s="32"/>
      <c r="B667" s="32"/>
      <c r="C667" s="32"/>
      <c r="D667" s="32">
        <v>5</v>
      </c>
      <c r="E667" s="32">
        <v>3</v>
      </c>
      <c r="F667" s="32"/>
      <c r="G667" s="32"/>
      <c r="H667" s="66" t="str">
        <f>'BID II'!B1991</f>
        <v xml:space="preserve">Belanja Modal </v>
      </c>
      <c r="I667" s="470"/>
      <c r="J667" s="66"/>
      <c r="K667" s="1797" t="s">
        <v>3030</v>
      </c>
      <c r="L667" s="32"/>
      <c r="M667" s="32"/>
      <c r="N667" s="32"/>
      <c r="O667" s="32"/>
      <c r="P667" s="32"/>
      <c r="Q667" s="32"/>
      <c r="R667" s="32"/>
      <c r="S667" s="32"/>
      <c r="T667" s="32"/>
      <c r="U667" s="32"/>
      <c r="V667" s="32"/>
      <c r="W667" s="32"/>
      <c r="X667" s="1750">
        <f t="shared" si="20"/>
        <v>0</v>
      </c>
      <c r="Y667" s="175">
        <f t="shared" si="21"/>
        <v>0</v>
      </c>
    </row>
    <row r="668" spans="1:25" ht="30" x14ac:dyDescent="0.25">
      <c r="A668" s="32"/>
      <c r="B668" s="32"/>
      <c r="C668" s="32"/>
      <c r="D668" s="32"/>
      <c r="E668" s="32"/>
      <c r="F668" s="32">
        <v>5</v>
      </c>
      <c r="G668" s="32"/>
      <c r="H668" s="66" t="str">
        <f>'BID II'!B1992</f>
        <v>Belanja Modal Jalan</v>
      </c>
      <c r="I668" s="470"/>
      <c r="J668" s="66"/>
      <c r="K668" s="1797" t="s">
        <v>3030</v>
      </c>
      <c r="L668" s="32"/>
      <c r="M668" s="32"/>
      <c r="N668" s="32"/>
      <c r="O668" s="32"/>
      <c r="P668" s="32"/>
      <c r="Q668" s="32"/>
      <c r="R668" s="32"/>
      <c r="S668" s="32"/>
      <c r="T668" s="32"/>
      <c r="U668" s="32"/>
      <c r="V668" s="32"/>
      <c r="W668" s="32"/>
      <c r="X668" s="1750">
        <f t="shared" si="20"/>
        <v>0</v>
      </c>
      <c r="Y668" s="175">
        <f t="shared" si="21"/>
        <v>0</v>
      </c>
    </row>
    <row r="669" spans="1:25" ht="30" x14ac:dyDescent="0.25">
      <c r="A669" s="32"/>
      <c r="B669" s="32"/>
      <c r="C669" s="32"/>
      <c r="D669" s="32"/>
      <c r="E669" s="32"/>
      <c r="F669" s="32"/>
      <c r="G669" s="1340" t="s">
        <v>2688</v>
      </c>
      <c r="H669" s="66" t="str">
        <f>'BID II'!B1993</f>
        <v>Honorarium Tim Yang Melaksanakan Kegiatan</v>
      </c>
      <c r="I669" s="470">
        <f>'BID II'!F1995</f>
        <v>356000</v>
      </c>
      <c r="J669" s="66" t="s">
        <v>2625</v>
      </c>
      <c r="K669" s="1797" t="s">
        <v>3030</v>
      </c>
      <c r="L669" s="32"/>
      <c r="M669" s="32"/>
      <c r="N669" s="32"/>
      <c r="O669" s="497">
        <v>356000</v>
      </c>
      <c r="P669" s="32"/>
      <c r="Q669" s="32"/>
      <c r="R669" s="32"/>
      <c r="S669" s="32"/>
      <c r="T669" s="32"/>
      <c r="U669" s="32"/>
      <c r="V669" s="32"/>
      <c r="W669" s="32"/>
      <c r="X669" s="1750">
        <f t="shared" si="20"/>
        <v>356000</v>
      </c>
      <c r="Y669" s="175">
        <f t="shared" si="21"/>
        <v>0</v>
      </c>
    </row>
    <row r="670" spans="1:25" ht="30" x14ac:dyDescent="0.25">
      <c r="A670" s="32"/>
      <c r="B670" s="32"/>
      <c r="C670" s="32"/>
      <c r="D670" s="32"/>
      <c r="E670" s="32"/>
      <c r="F670" s="32"/>
      <c r="G670" s="1340" t="s">
        <v>2702</v>
      </c>
      <c r="H670" s="32" t="str">
        <f>'BID II'!B1996</f>
        <v>Belanja Upah</v>
      </c>
      <c r="I670" s="470">
        <f>'BID II'!F1999</f>
        <v>3627000</v>
      </c>
      <c r="J670" s="66" t="s">
        <v>2625</v>
      </c>
      <c r="K670" s="1797" t="s">
        <v>3030</v>
      </c>
      <c r="L670" s="32"/>
      <c r="M670" s="32"/>
      <c r="N670" s="32"/>
      <c r="O670" s="497">
        <v>3627000</v>
      </c>
      <c r="P670" s="32"/>
      <c r="Q670" s="32"/>
      <c r="R670" s="32"/>
      <c r="S670" s="32"/>
      <c r="T670" s="32"/>
      <c r="U670" s="32"/>
      <c r="V670" s="32"/>
      <c r="W670" s="32"/>
      <c r="X670" s="1750">
        <f t="shared" si="20"/>
        <v>3627000</v>
      </c>
      <c r="Y670" s="175">
        <f t="shared" si="21"/>
        <v>0</v>
      </c>
    </row>
    <row r="671" spans="1:25" ht="30" x14ac:dyDescent="0.25">
      <c r="A671" s="32"/>
      <c r="B671" s="32"/>
      <c r="C671" s="32"/>
      <c r="D671" s="32"/>
      <c r="E671" s="32"/>
      <c r="F671" s="32"/>
      <c r="G671" s="1340" t="s">
        <v>2703</v>
      </c>
      <c r="H671" s="32" t="str">
        <f>'BID II'!B2000</f>
        <v>Bahan Baku</v>
      </c>
      <c r="I671" s="470">
        <f>'BID II'!F2005</f>
        <v>14201000</v>
      </c>
      <c r="J671" s="66" t="s">
        <v>2625</v>
      </c>
      <c r="K671" s="1797" t="s">
        <v>3030</v>
      </c>
      <c r="L671" s="32"/>
      <c r="M671" s="32"/>
      <c r="N671" s="32"/>
      <c r="O671" s="497">
        <v>14201000</v>
      </c>
      <c r="P671" s="32"/>
      <c r="Q671" s="32"/>
      <c r="R671" s="32"/>
      <c r="S671" s="32"/>
      <c r="T671" s="32"/>
      <c r="U671" s="32"/>
      <c r="V671" s="32"/>
      <c r="W671" s="32"/>
      <c r="X671" s="1750">
        <f t="shared" si="20"/>
        <v>14201000</v>
      </c>
      <c r="Y671" s="175">
        <f t="shared" si="21"/>
        <v>0</v>
      </c>
    </row>
    <row r="672" spans="1:25" ht="30" x14ac:dyDescent="0.25">
      <c r="A672" s="1344">
        <v>2</v>
      </c>
      <c r="B672" s="1344">
        <v>4</v>
      </c>
      <c r="C672" s="1346" t="s">
        <v>2708</v>
      </c>
      <c r="D672" s="1344"/>
      <c r="E672" s="1344"/>
      <c r="F672" s="1344"/>
      <c r="G672" s="1344"/>
      <c r="H672" s="1345" t="str">
        <f>'BID II'!B2024</f>
        <v>: Kegiatan Pengelolaan Sampah Tingkat Desa</v>
      </c>
      <c r="I672" s="1353">
        <f>SUM(I673:I706)</f>
        <v>670230300</v>
      </c>
      <c r="J672" s="1345"/>
      <c r="K672" s="1796" t="s">
        <v>3030</v>
      </c>
      <c r="L672" s="1344"/>
      <c r="M672" s="1344"/>
      <c r="N672" s="1344"/>
      <c r="O672" s="1344"/>
      <c r="P672" s="1344"/>
      <c r="Q672" s="1344"/>
      <c r="R672" s="1344"/>
      <c r="S672" s="1344"/>
      <c r="T672" s="1344"/>
      <c r="U672" s="1344"/>
      <c r="V672" s="1344"/>
      <c r="W672" s="1344"/>
      <c r="X672" s="1353">
        <f t="shared" ref="X672:X735" si="22">SUM(L672:W672)</f>
        <v>0</v>
      </c>
      <c r="Y672" s="175">
        <f t="shared" si="21"/>
        <v>-670230300</v>
      </c>
    </row>
    <row r="673" spans="1:25" ht="30" x14ac:dyDescent="0.25">
      <c r="A673" s="32"/>
      <c r="B673" s="32"/>
      <c r="C673" s="32"/>
      <c r="D673" s="32">
        <v>5</v>
      </c>
      <c r="E673" s="32">
        <v>2</v>
      </c>
      <c r="F673" s="32"/>
      <c r="G673" s="32"/>
      <c r="H673" s="66" t="str">
        <f>'BID II'!B2029</f>
        <v xml:space="preserve">Belanja Barang dan Jasa </v>
      </c>
      <c r="I673" s="470"/>
      <c r="J673" s="66"/>
      <c r="K673" s="1797" t="s">
        <v>3030</v>
      </c>
      <c r="L673" s="32"/>
      <c r="M673" s="32"/>
      <c r="N673" s="32"/>
      <c r="O673" s="32"/>
      <c r="P673" s="32"/>
      <c r="Q673" s="32"/>
      <c r="R673" s="32"/>
      <c r="S673" s="32"/>
      <c r="T673" s="32"/>
      <c r="U673" s="32"/>
      <c r="V673" s="32"/>
      <c r="W673" s="32"/>
      <c r="X673" s="1750">
        <f t="shared" si="22"/>
        <v>0</v>
      </c>
      <c r="Y673" s="175">
        <f t="shared" si="21"/>
        <v>0</v>
      </c>
    </row>
    <row r="674" spans="1:25" ht="30" x14ac:dyDescent="0.25">
      <c r="A674" s="32"/>
      <c r="B674" s="32"/>
      <c r="C674" s="32"/>
      <c r="D674" s="32"/>
      <c r="E674" s="32"/>
      <c r="F674" s="32">
        <v>1</v>
      </c>
      <c r="G674" s="32"/>
      <c r="H674" s="66" t="str">
        <f>'BID II'!B2030</f>
        <v>Belanja Barang perlengkapan</v>
      </c>
      <c r="I674" s="470"/>
      <c r="J674" s="66"/>
      <c r="K674" s="1797" t="s">
        <v>3030</v>
      </c>
      <c r="L674" s="32"/>
      <c r="M674" s="32"/>
      <c r="N674" s="32"/>
      <c r="O674" s="32"/>
      <c r="P674" s="32"/>
      <c r="Q674" s="32"/>
      <c r="R674" s="32"/>
      <c r="S674" s="32"/>
      <c r="T674" s="32"/>
      <c r="U674" s="32"/>
      <c r="V674" s="32"/>
      <c r="W674" s="32"/>
      <c r="X674" s="1750">
        <f t="shared" si="22"/>
        <v>0</v>
      </c>
      <c r="Y674" s="175">
        <f t="shared" si="21"/>
        <v>0</v>
      </c>
    </row>
    <row r="675" spans="1:25" ht="60" x14ac:dyDescent="0.25">
      <c r="A675" s="32"/>
      <c r="B675" s="32"/>
      <c r="C675" s="32"/>
      <c r="D675" s="32"/>
      <c r="E675" s="32"/>
      <c r="F675" s="32"/>
      <c r="G675" s="1340" t="s">
        <v>2704</v>
      </c>
      <c r="H675" s="66" t="str">
        <f>'BID II'!B2031</f>
        <v>Belanja bahan bakar minyak/ gas/ isi ulang tabung pemadam kebakaran</v>
      </c>
      <c r="I675" s="470">
        <f>SUM('BID II'!F2032+'BID II'!F2034+'BID II'!F2037)</f>
        <v>81600000</v>
      </c>
      <c r="J675" s="66" t="s">
        <v>1682</v>
      </c>
      <c r="K675" s="1797" t="s">
        <v>3030</v>
      </c>
      <c r="L675" s="497"/>
      <c r="M675" s="32"/>
      <c r="N675" s="32"/>
      <c r="O675" s="32"/>
      <c r="P675" s="32"/>
      <c r="Q675" s="32"/>
      <c r="R675" s="497">
        <v>13600000</v>
      </c>
      <c r="S675" s="497">
        <v>13600000</v>
      </c>
      <c r="T675" s="497">
        <v>13600000</v>
      </c>
      <c r="U675" s="497">
        <v>13600000</v>
      </c>
      <c r="V675" s="497">
        <v>13600000</v>
      </c>
      <c r="W675" s="497">
        <v>13600000</v>
      </c>
      <c r="X675" s="1750">
        <f t="shared" si="22"/>
        <v>81600000</v>
      </c>
      <c r="Y675" s="175">
        <f t="shared" si="21"/>
        <v>0</v>
      </c>
    </row>
    <row r="676" spans="1:25" ht="60" x14ac:dyDescent="0.25">
      <c r="A676" s="32"/>
      <c r="B676" s="32"/>
      <c r="C676" s="32"/>
      <c r="D676" s="32"/>
      <c r="E676" s="32"/>
      <c r="F676" s="32"/>
      <c r="G676" s="1340" t="s">
        <v>2704</v>
      </c>
      <c r="H676" s="66" t="str">
        <f>'BID II'!B2031</f>
        <v>Belanja bahan bakar minyak/ gas/ isi ulang tabung pemadam kebakaran</v>
      </c>
      <c r="I676" s="470">
        <f>'BID II'!F2033+'BID II'!F2035</f>
        <v>28200000</v>
      </c>
      <c r="J676" s="66" t="s">
        <v>2626</v>
      </c>
      <c r="K676" s="1797" t="s">
        <v>3030</v>
      </c>
      <c r="L676" s="497">
        <v>4700000</v>
      </c>
      <c r="M676" s="497">
        <v>4700000</v>
      </c>
      <c r="N676" s="497">
        <v>4700000</v>
      </c>
      <c r="O676" s="497">
        <v>4700000</v>
      </c>
      <c r="P676" s="497">
        <v>4700000</v>
      </c>
      <c r="Q676" s="497">
        <v>4700000</v>
      </c>
      <c r="R676" s="32"/>
      <c r="S676" s="32"/>
      <c r="T676" s="32"/>
      <c r="U676" s="32"/>
      <c r="V676" s="32"/>
      <c r="W676" s="32"/>
      <c r="X676" s="1750">
        <f t="shared" si="22"/>
        <v>28200000</v>
      </c>
      <c r="Y676" s="175">
        <f t="shared" si="21"/>
        <v>0</v>
      </c>
    </row>
    <row r="677" spans="1:25" ht="30" x14ac:dyDescent="0.25">
      <c r="A677" s="32"/>
      <c r="B677" s="32"/>
      <c r="C677" s="32"/>
      <c r="D677" s="32"/>
      <c r="E677" s="32"/>
      <c r="F677" s="32"/>
      <c r="G677" s="1340" t="s">
        <v>2706</v>
      </c>
      <c r="H677" s="66" t="str">
        <f>'BID II'!B2038</f>
        <v>Belanja perlengkapan Cetak</v>
      </c>
      <c r="I677" s="470">
        <f>SUM('BID II'!F2039:F2041)</f>
        <v>5750000</v>
      </c>
      <c r="J677" s="66" t="s">
        <v>1682</v>
      </c>
      <c r="K677" s="1797" t="s">
        <v>3030</v>
      </c>
      <c r="L677" s="32"/>
      <c r="M677" s="32"/>
      <c r="N677" s="32"/>
      <c r="O677" s="497">
        <v>5750000</v>
      </c>
      <c r="P677" s="32"/>
      <c r="Q677" s="32"/>
      <c r="R677" s="32"/>
      <c r="S677" s="32"/>
      <c r="T677" s="32"/>
      <c r="U677" s="32"/>
      <c r="V677" s="32"/>
      <c r="W677" s="32"/>
      <c r="X677" s="1750">
        <f t="shared" si="22"/>
        <v>5750000</v>
      </c>
      <c r="Y677" s="175">
        <f t="shared" si="21"/>
        <v>0</v>
      </c>
    </row>
    <row r="678" spans="1:25" ht="30" x14ac:dyDescent="0.25">
      <c r="A678" s="32"/>
      <c r="B678" s="32"/>
      <c r="C678" s="32"/>
      <c r="D678" s="32"/>
      <c r="E678" s="32"/>
      <c r="F678" s="32"/>
      <c r="G678" s="1340" t="s">
        <v>2708</v>
      </c>
      <c r="H678" s="66" t="str">
        <f>'BID II'!B2042</f>
        <v>Belanja Bahan Dan Alat</v>
      </c>
      <c r="I678" s="470">
        <f>'BID II'!F2043+'BID II'!F2045+'BID II'!F2046+'BID II'!F2047+'BID II'!F2048+'BID II'!F2049+'BID II'!F2050+'BID II'!F2051+'BID II'!F2052+'BID II'!F2053+'BID II'!F2054+'BID II'!F2055</f>
        <v>43854600</v>
      </c>
      <c r="J678" s="66" t="s">
        <v>1682</v>
      </c>
      <c r="K678" s="1797" t="s">
        <v>3030</v>
      </c>
      <c r="L678" s="32"/>
      <c r="M678" s="32"/>
      <c r="N678" s="32"/>
      <c r="O678" s="497">
        <v>14618200</v>
      </c>
      <c r="P678" s="32"/>
      <c r="Q678" s="32"/>
      <c r="R678" s="32"/>
      <c r="S678" s="497">
        <v>14618200</v>
      </c>
      <c r="T678" s="32"/>
      <c r="U678" s="32"/>
      <c r="V678" s="497">
        <v>14618200</v>
      </c>
      <c r="W678" s="32"/>
      <c r="X678" s="1750">
        <f t="shared" si="22"/>
        <v>43854600</v>
      </c>
      <c r="Y678" s="175">
        <f t="shared" si="21"/>
        <v>0</v>
      </c>
    </row>
    <row r="679" spans="1:25" ht="30" x14ac:dyDescent="0.25">
      <c r="A679" s="32"/>
      <c r="B679" s="32"/>
      <c r="C679" s="32"/>
      <c r="D679" s="32"/>
      <c r="E679" s="32"/>
      <c r="F679" s="32"/>
      <c r="G679" s="1340" t="s">
        <v>2708</v>
      </c>
      <c r="H679" s="66" t="str">
        <f>'BID II'!B2042</f>
        <v>Belanja Bahan Dan Alat</v>
      </c>
      <c r="I679" s="470">
        <f>'BID II'!F2044</f>
        <v>63360000</v>
      </c>
      <c r="J679" s="66" t="s">
        <v>1690</v>
      </c>
      <c r="K679" s="1797" t="s">
        <v>3030</v>
      </c>
      <c r="L679" s="32"/>
      <c r="M679" s="32"/>
      <c r="N679" s="32"/>
      <c r="O679" s="497">
        <v>21120000</v>
      </c>
      <c r="P679" s="32"/>
      <c r="Q679" s="32"/>
      <c r="R679" s="32"/>
      <c r="S679" s="497">
        <v>21120000</v>
      </c>
      <c r="T679" s="32"/>
      <c r="U679" s="32"/>
      <c r="V679" s="497">
        <v>21120000</v>
      </c>
      <c r="W679" s="32"/>
      <c r="X679" s="1750">
        <f t="shared" si="22"/>
        <v>63360000</v>
      </c>
      <c r="Y679" s="175">
        <f t="shared" si="21"/>
        <v>0</v>
      </c>
    </row>
    <row r="680" spans="1:25" ht="30" x14ac:dyDescent="0.25">
      <c r="A680" s="32"/>
      <c r="B680" s="32"/>
      <c r="C680" s="32"/>
      <c r="D680" s="32"/>
      <c r="E680" s="32"/>
      <c r="F680" s="32"/>
      <c r="G680" s="32">
        <v>90</v>
      </c>
      <c r="H680" s="66" t="str">
        <f>'BID II'!B2056</f>
        <v>Belanja Upakara, Upacara dan aci</v>
      </c>
      <c r="I680" s="470">
        <f>SUM('BID II'!F2058:F2060)</f>
        <v>8475000</v>
      </c>
      <c r="J680" s="66" t="s">
        <v>1682</v>
      </c>
      <c r="K680" s="1797" t="s">
        <v>3030</v>
      </c>
      <c r="L680" s="497">
        <v>706250</v>
      </c>
      <c r="M680" s="497">
        <v>706250</v>
      </c>
      <c r="N680" s="497">
        <v>706250</v>
      </c>
      <c r="O680" s="497">
        <v>706250</v>
      </c>
      <c r="P680" s="497">
        <v>706250</v>
      </c>
      <c r="Q680" s="497">
        <v>706250</v>
      </c>
      <c r="R680" s="497">
        <v>706250</v>
      </c>
      <c r="S680" s="497">
        <v>706250</v>
      </c>
      <c r="T680" s="497">
        <v>706250</v>
      </c>
      <c r="U680" s="497">
        <v>706250</v>
      </c>
      <c r="V680" s="497">
        <v>706250</v>
      </c>
      <c r="W680" s="497">
        <v>706250</v>
      </c>
      <c r="X680" s="1750">
        <f t="shared" si="22"/>
        <v>8475000</v>
      </c>
      <c r="Y680" s="175">
        <f t="shared" si="21"/>
        <v>0</v>
      </c>
    </row>
    <row r="681" spans="1:25" ht="30" x14ac:dyDescent="0.25">
      <c r="A681" s="32"/>
      <c r="B681" s="32"/>
      <c r="C681" s="32"/>
      <c r="D681" s="32">
        <v>5</v>
      </c>
      <c r="E681" s="32">
        <v>2</v>
      </c>
      <c r="F681" s="32">
        <v>2</v>
      </c>
      <c r="G681" s="32"/>
      <c r="H681" s="66" t="str">
        <f>'BID II'!B2061</f>
        <v>Belanja Honorarium</v>
      </c>
      <c r="I681" s="470"/>
      <c r="J681" s="66"/>
      <c r="K681" s="1797" t="s">
        <v>3030</v>
      </c>
      <c r="L681" s="32"/>
      <c r="M681" s="32"/>
      <c r="N681" s="32"/>
      <c r="O681" s="32"/>
      <c r="P681" s="32"/>
      <c r="Q681" s="32"/>
      <c r="R681" s="32"/>
      <c r="S681" s="32"/>
      <c r="T681" s="32"/>
      <c r="U681" s="32"/>
      <c r="V681" s="32"/>
      <c r="W681" s="32"/>
      <c r="X681" s="1750">
        <f t="shared" si="22"/>
        <v>0</v>
      </c>
      <c r="Y681" s="175">
        <f t="shared" si="21"/>
        <v>0</v>
      </c>
    </row>
    <row r="682" spans="1:25" ht="30" x14ac:dyDescent="0.25">
      <c r="A682" s="32"/>
      <c r="B682" s="32"/>
      <c r="C682" s="32"/>
      <c r="D682" s="32"/>
      <c r="E682" s="32"/>
      <c r="F682" s="32"/>
      <c r="G682" s="1340" t="s">
        <v>2706</v>
      </c>
      <c r="H682" s="66" t="str">
        <f>'BID II'!B2062</f>
        <v>Belanja Honorarium Petugas</v>
      </c>
      <c r="I682" s="470">
        <f>'BID II'!F2063+'BID II'!F2065</f>
        <v>39000000</v>
      </c>
      <c r="J682" s="66" t="s">
        <v>2626</v>
      </c>
      <c r="K682" s="1797" t="s">
        <v>3030</v>
      </c>
      <c r="L682" s="497">
        <v>13000000</v>
      </c>
      <c r="M682" s="497">
        <v>13000000</v>
      </c>
      <c r="N682" s="497">
        <v>13000000</v>
      </c>
      <c r="O682" s="32"/>
      <c r="P682" s="32"/>
      <c r="Q682" s="32"/>
      <c r="R682" s="32"/>
      <c r="S682" s="32"/>
      <c r="T682" s="32"/>
      <c r="U682" s="32"/>
      <c r="V682" s="32"/>
      <c r="W682" s="32"/>
      <c r="X682" s="1750">
        <f t="shared" si="22"/>
        <v>39000000</v>
      </c>
      <c r="Y682" s="175">
        <f t="shared" ref="Y682:Y745" si="23">X682-I682</f>
        <v>0</v>
      </c>
    </row>
    <row r="683" spans="1:25" ht="30" x14ac:dyDescent="0.25">
      <c r="A683" s="32"/>
      <c r="B683" s="32"/>
      <c r="C683" s="32"/>
      <c r="D683" s="32"/>
      <c r="E683" s="32"/>
      <c r="F683" s="32"/>
      <c r="G683" s="1340" t="s">
        <v>2706</v>
      </c>
      <c r="H683" s="66" t="str">
        <f>'BID II'!B2062</f>
        <v>Belanja Honorarium Petugas</v>
      </c>
      <c r="I683" s="470">
        <f>'BID II'!F2064+'BID II'!F2066+'BID II'!F2067+'BID II'!F2068</f>
        <v>155400000</v>
      </c>
      <c r="J683" s="66" t="s">
        <v>1682</v>
      </c>
      <c r="K683" s="1797" t="s">
        <v>3030</v>
      </c>
      <c r="L683" s="497">
        <v>3200000</v>
      </c>
      <c r="M683" s="497">
        <v>3200000</v>
      </c>
      <c r="N683" s="497">
        <v>3200000</v>
      </c>
      <c r="O683" s="497">
        <v>16200000</v>
      </c>
      <c r="P683" s="497">
        <v>16200000</v>
      </c>
      <c r="Q683" s="497">
        <v>16200000</v>
      </c>
      <c r="R683" s="497">
        <v>16200000</v>
      </c>
      <c r="S683" s="497">
        <v>16200000</v>
      </c>
      <c r="T683" s="497">
        <v>16200000</v>
      </c>
      <c r="U683" s="497">
        <v>16200000</v>
      </c>
      <c r="V683" s="497">
        <v>16200000</v>
      </c>
      <c r="W683" s="497">
        <v>16200000</v>
      </c>
      <c r="X683" s="1750">
        <f t="shared" si="22"/>
        <v>155400000</v>
      </c>
      <c r="Y683" s="175">
        <f t="shared" si="23"/>
        <v>0</v>
      </c>
    </row>
    <row r="684" spans="1:25" ht="30" x14ac:dyDescent="0.25">
      <c r="A684" s="32"/>
      <c r="B684" s="32"/>
      <c r="C684" s="32"/>
      <c r="D684" s="32">
        <v>5</v>
      </c>
      <c r="E684" s="32">
        <v>2</v>
      </c>
      <c r="F684" s="32">
        <v>5</v>
      </c>
      <c r="G684" s="32"/>
      <c r="H684" s="66" t="str">
        <f>'BID II'!B2069</f>
        <v>Belanja Operasional pekantoran</v>
      </c>
      <c r="I684" s="470"/>
      <c r="J684" s="66"/>
      <c r="K684" s="1797" t="s">
        <v>3030</v>
      </c>
      <c r="L684" s="32"/>
      <c r="M684" s="32"/>
      <c r="N684" s="32"/>
      <c r="O684" s="32"/>
      <c r="P684" s="32"/>
      <c r="Q684" s="32"/>
      <c r="R684" s="32"/>
      <c r="S684" s="32"/>
      <c r="T684" s="32"/>
      <c r="U684" s="32"/>
      <c r="V684" s="32"/>
      <c r="W684" s="32"/>
      <c r="X684" s="1750">
        <f t="shared" si="22"/>
        <v>0</v>
      </c>
      <c r="Y684" s="175">
        <f t="shared" si="23"/>
        <v>0</v>
      </c>
    </row>
    <row r="685" spans="1:25" ht="30" x14ac:dyDescent="0.25">
      <c r="A685" s="32"/>
      <c r="B685" s="32"/>
      <c r="C685" s="32"/>
      <c r="D685" s="32"/>
      <c r="E685" s="32"/>
      <c r="F685" s="32"/>
      <c r="G685" s="1340" t="s">
        <v>2708</v>
      </c>
      <c r="H685" s="66" t="str">
        <f>'BID II'!B2070</f>
        <v>Belanja Berpanjang Ijin/Pajak</v>
      </c>
      <c r="I685" s="470">
        <f>SUM('BID II'!F2071:F2074)</f>
        <v>17700000</v>
      </c>
      <c r="J685" s="66" t="s">
        <v>1682</v>
      </c>
      <c r="K685" s="1797" t="s">
        <v>3030</v>
      </c>
      <c r="L685" s="32"/>
      <c r="M685" s="32"/>
      <c r="N685" s="32"/>
      <c r="O685" s="32"/>
      <c r="P685" s="497">
        <v>17700000</v>
      </c>
      <c r="Q685" s="32"/>
      <c r="R685" s="32"/>
      <c r="S685" s="32"/>
      <c r="T685" s="32"/>
      <c r="U685" s="32"/>
      <c r="V685" s="32"/>
      <c r="W685" s="32"/>
      <c r="X685" s="1750">
        <f t="shared" si="22"/>
        <v>17700000</v>
      </c>
      <c r="Y685" s="175">
        <f t="shared" si="23"/>
        <v>0</v>
      </c>
    </row>
    <row r="686" spans="1:25" ht="30" x14ac:dyDescent="0.25">
      <c r="A686" s="32"/>
      <c r="B686" s="32"/>
      <c r="C686" s="32"/>
      <c r="D686" s="32">
        <v>5</v>
      </c>
      <c r="E686" s="32">
        <v>2</v>
      </c>
      <c r="F686" s="32">
        <v>6</v>
      </c>
      <c r="G686" s="32"/>
      <c r="H686" s="66" t="str">
        <f>'BID II'!B2075</f>
        <v>Belanja Pemeliharaan</v>
      </c>
      <c r="I686" s="470"/>
      <c r="J686" s="66"/>
      <c r="K686" s="1797" t="s">
        <v>3030</v>
      </c>
      <c r="L686" s="32"/>
      <c r="M686" s="32"/>
      <c r="N686" s="32"/>
      <c r="O686" s="32"/>
      <c r="P686" s="32"/>
      <c r="Q686" s="32"/>
      <c r="R686" s="32"/>
      <c r="S686" s="32"/>
      <c r="T686" s="32"/>
      <c r="U686" s="32"/>
      <c r="V686" s="32"/>
      <c r="W686" s="32"/>
      <c r="X686" s="1750">
        <f t="shared" si="22"/>
        <v>0</v>
      </c>
      <c r="Y686" s="175">
        <f t="shared" si="23"/>
        <v>0</v>
      </c>
    </row>
    <row r="687" spans="1:25" ht="45" x14ac:dyDescent="0.25">
      <c r="A687" s="32"/>
      <c r="B687" s="32"/>
      <c r="C687" s="32"/>
      <c r="D687" s="32"/>
      <c r="E687" s="32"/>
      <c r="F687" s="32"/>
      <c r="G687" s="1340" t="s">
        <v>2688</v>
      </c>
      <c r="H687" s="66" t="str">
        <f>'BID II'!B2076</f>
        <v>Belanja Pemeliharaan Mesin Dan Peralatan Berat</v>
      </c>
      <c r="I687" s="470">
        <f>'BID II'!F2077+'BID II'!F2078</f>
        <v>9000000</v>
      </c>
      <c r="J687" s="66" t="s">
        <v>1682</v>
      </c>
      <c r="K687" s="1797" t="s">
        <v>3030</v>
      </c>
      <c r="L687" s="32"/>
      <c r="M687" s="32"/>
      <c r="N687" s="32"/>
      <c r="O687" s="32"/>
      <c r="P687" s="497">
        <v>9000000</v>
      </c>
      <c r="Q687" s="32"/>
      <c r="R687" s="32"/>
      <c r="S687" s="32"/>
      <c r="T687" s="32"/>
      <c r="U687" s="32"/>
      <c r="V687" s="32"/>
      <c r="W687" s="32"/>
      <c r="X687" s="1750">
        <f t="shared" si="22"/>
        <v>9000000</v>
      </c>
      <c r="Y687" s="175">
        <f t="shared" si="23"/>
        <v>0</v>
      </c>
    </row>
    <row r="688" spans="1:25" ht="30" x14ac:dyDescent="0.25">
      <c r="A688" s="32"/>
      <c r="B688" s="32"/>
      <c r="C688" s="32"/>
      <c r="D688" s="32"/>
      <c r="E688" s="32"/>
      <c r="F688" s="32"/>
      <c r="G688" s="1340" t="s">
        <v>2702</v>
      </c>
      <c r="H688" s="66" t="str">
        <f>'BID II'!B2079</f>
        <v>Belanja Pemeliharaan Kendaraan Bermotor</v>
      </c>
      <c r="I688" s="470">
        <f>SUM('BID II'!F2080:F2088)</f>
        <v>69720000</v>
      </c>
      <c r="J688" s="66" t="s">
        <v>1682</v>
      </c>
      <c r="K688" s="1797" t="s">
        <v>3030</v>
      </c>
      <c r="L688" s="32"/>
      <c r="M688" s="32"/>
      <c r="N688" s="32"/>
      <c r="O688" s="32"/>
      <c r="P688" s="497">
        <v>69720000</v>
      </c>
      <c r="Q688" s="32"/>
      <c r="R688" s="32"/>
      <c r="S688" s="32"/>
      <c r="T688" s="32"/>
      <c r="U688" s="32"/>
      <c r="V688" s="32"/>
      <c r="W688" s="32"/>
      <c r="X688" s="1750">
        <f t="shared" si="22"/>
        <v>69720000</v>
      </c>
      <c r="Y688" s="175">
        <f t="shared" si="23"/>
        <v>0</v>
      </c>
    </row>
    <row r="689" spans="1:25" ht="30" x14ac:dyDescent="0.25">
      <c r="A689" s="32"/>
      <c r="B689" s="32"/>
      <c r="C689" s="32"/>
      <c r="D689" s="32"/>
      <c r="E689" s="32"/>
      <c r="F689" s="32"/>
      <c r="G689" s="1340"/>
      <c r="H689" s="66" t="str">
        <f>'BID II'!B2090</f>
        <v>Oprasional TPS 3R</v>
      </c>
      <c r="I689" s="470"/>
      <c r="J689" s="66"/>
      <c r="K689" s="1797" t="s">
        <v>3030</v>
      </c>
      <c r="L689" s="32"/>
      <c r="M689" s="32"/>
      <c r="N689" s="32"/>
      <c r="O689" s="32"/>
      <c r="P689" s="497"/>
      <c r="Q689" s="32"/>
      <c r="R689" s="32"/>
      <c r="S689" s="32"/>
      <c r="T689" s="32"/>
      <c r="U689" s="32"/>
      <c r="V689" s="32"/>
      <c r="W689" s="32"/>
      <c r="X689" s="1750">
        <f t="shared" si="22"/>
        <v>0</v>
      </c>
      <c r="Y689" s="175">
        <f t="shared" si="23"/>
        <v>0</v>
      </c>
    </row>
    <row r="690" spans="1:25" ht="30" x14ac:dyDescent="0.25">
      <c r="A690" s="32"/>
      <c r="B690" s="32"/>
      <c r="C690" s="32"/>
      <c r="D690" s="32">
        <v>5</v>
      </c>
      <c r="E690" s="32">
        <v>2</v>
      </c>
      <c r="F690" s="32"/>
      <c r="G690" s="1340"/>
      <c r="H690" s="66" t="str">
        <f>'BID II'!B2091</f>
        <v>Belanja Barang Jasa</v>
      </c>
      <c r="I690" s="470"/>
      <c r="J690" s="66"/>
      <c r="K690" s="1797" t="s">
        <v>3030</v>
      </c>
      <c r="L690" s="32"/>
      <c r="M690" s="32"/>
      <c r="N690" s="32"/>
      <c r="O690" s="32"/>
      <c r="P690" s="497"/>
      <c r="Q690" s="32"/>
      <c r="R690" s="32"/>
      <c r="S690" s="32"/>
      <c r="T690" s="32"/>
      <c r="U690" s="32"/>
      <c r="V690" s="32"/>
      <c r="W690" s="32"/>
      <c r="X690" s="1750">
        <f t="shared" si="22"/>
        <v>0</v>
      </c>
      <c r="Y690" s="175">
        <f t="shared" si="23"/>
        <v>0</v>
      </c>
    </row>
    <row r="691" spans="1:25" ht="30" x14ac:dyDescent="0.25">
      <c r="A691" s="32"/>
      <c r="B691" s="32"/>
      <c r="C691" s="32"/>
      <c r="D691" s="32"/>
      <c r="E691" s="32"/>
      <c r="F691" s="32">
        <v>1</v>
      </c>
      <c r="G691" s="1340"/>
      <c r="H691" s="66" t="str">
        <f>'BID II'!B2092</f>
        <v>Belanja Barang Perlengkapan</v>
      </c>
      <c r="I691" s="470"/>
      <c r="J691" s="66"/>
      <c r="K691" s="1797" t="s">
        <v>3030</v>
      </c>
      <c r="L691" s="32"/>
      <c r="M691" s="32"/>
      <c r="N691" s="32"/>
      <c r="O691" s="32"/>
      <c r="P691" s="497"/>
      <c r="Q691" s="32"/>
      <c r="R691" s="32"/>
      <c r="S691" s="32"/>
      <c r="T691" s="32"/>
      <c r="U691" s="32"/>
      <c r="V691" s="32"/>
      <c r="W691" s="32"/>
      <c r="X691" s="1750">
        <f t="shared" si="22"/>
        <v>0</v>
      </c>
      <c r="Y691" s="175">
        <f t="shared" si="23"/>
        <v>0</v>
      </c>
    </row>
    <row r="692" spans="1:25" ht="30" x14ac:dyDescent="0.25">
      <c r="A692" s="32"/>
      <c r="B692" s="32"/>
      <c r="C692" s="32"/>
      <c r="D692" s="32"/>
      <c r="E692" s="32"/>
      <c r="F692" s="32"/>
      <c r="G692" s="1340" t="s">
        <v>2688</v>
      </c>
      <c r="H692" s="66" t="str">
        <f>'BID II'!B2093</f>
        <v>Belanja Perlengkapan Alat Tulis Kantor</v>
      </c>
      <c r="I692" s="470">
        <f>SUM('BID II'!F2094:F2096)</f>
        <v>362000</v>
      </c>
      <c r="J692" s="66" t="s">
        <v>1682</v>
      </c>
      <c r="K692" s="1797" t="s">
        <v>3030</v>
      </c>
      <c r="L692" s="32"/>
      <c r="M692" s="32"/>
      <c r="N692" s="32"/>
      <c r="O692" s="32"/>
      <c r="P692" s="497">
        <v>362000</v>
      </c>
      <c r="Q692" s="32"/>
      <c r="R692" s="32"/>
      <c r="S692" s="32"/>
      <c r="T692" s="32"/>
      <c r="U692" s="32"/>
      <c r="V692" s="32"/>
      <c r="W692" s="32"/>
      <c r="X692" s="1750">
        <f t="shared" si="22"/>
        <v>362000</v>
      </c>
      <c r="Y692" s="175">
        <f t="shared" si="23"/>
        <v>0</v>
      </c>
    </row>
    <row r="693" spans="1:25" ht="60" x14ac:dyDescent="0.25">
      <c r="A693" s="32"/>
      <c r="B693" s="32"/>
      <c r="C693" s="32"/>
      <c r="D693" s="32"/>
      <c r="E693" s="32"/>
      <c r="F693" s="32"/>
      <c r="G693" s="1340" t="s">
        <v>2704</v>
      </c>
      <c r="H693" s="66" t="str">
        <f>'BID II'!B2097</f>
        <v>Belanja Bahan Bakar Minyak/Gas/Isi Ulang Tabung Pemadam Kebakaran</v>
      </c>
      <c r="I693" s="470">
        <f>SUM('BID II'!F2098:F2099)</f>
        <v>9240000</v>
      </c>
      <c r="J693" s="66" t="s">
        <v>1682</v>
      </c>
      <c r="K693" s="1797" t="s">
        <v>3030</v>
      </c>
      <c r="L693" s="32"/>
      <c r="M693" s="32"/>
      <c r="N693" s="32"/>
      <c r="O693" s="32"/>
      <c r="P693" s="497">
        <v>9240000</v>
      </c>
      <c r="Q693" s="32"/>
      <c r="R693" s="32"/>
      <c r="S693" s="32"/>
      <c r="T693" s="32"/>
      <c r="U693" s="32"/>
      <c r="V693" s="32"/>
      <c r="W693" s="32"/>
      <c r="X693" s="1750">
        <f t="shared" si="22"/>
        <v>9240000</v>
      </c>
      <c r="Y693" s="175">
        <f t="shared" si="23"/>
        <v>0</v>
      </c>
    </row>
    <row r="694" spans="1:25" ht="60" x14ac:dyDescent="0.25">
      <c r="A694" s="32"/>
      <c r="B694" s="32"/>
      <c r="C694" s="32"/>
      <c r="D694" s="32"/>
      <c r="E694" s="32"/>
      <c r="F694" s="32"/>
      <c r="G694" s="1340" t="s">
        <v>2703</v>
      </c>
      <c r="H694" s="66" t="str">
        <f>'BID II'!B2100</f>
        <v>Belanja Perlengkapan Alat-alat Rumah Tangga/Peralatan dan Bahan Kebersihan</v>
      </c>
      <c r="I694" s="470">
        <f>SUM('BID II'!F2101:F2109)</f>
        <v>2737200</v>
      </c>
      <c r="J694" s="66" t="s">
        <v>1682</v>
      </c>
      <c r="K694" s="1797" t="s">
        <v>3030</v>
      </c>
      <c r="L694" s="32"/>
      <c r="M694" s="32"/>
      <c r="N694" s="32"/>
      <c r="O694" s="32"/>
      <c r="P694" s="497">
        <v>2737200</v>
      </c>
      <c r="Q694" s="32"/>
      <c r="R694" s="32"/>
      <c r="S694" s="32"/>
      <c r="T694" s="32"/>
      <c r="U694" s="32"/>
      <c r="V694" s="32"/>
      <c r="W694" s="32"/>
      <c r="X694" s="1750">
        <f t="shared" si="22"/>
        <v>2737200</v>
      </c>
      <c r="Y694" s="175">
        <f t="shared" si="23"/>
        <v>0</v>
      </c>
    </row>
    <row r="695" spans="1:25" ht="30" x14ac:dyDescent="0.25">
      <c r="A695" s="32"/>
      <c r="B695" s="32"/>
      <c r="C695" s="32"/>
      <c r="D695" s="32"/>
      <c r="E695" s="32"/>
      <c r="F695" s="32"/>
      <c r="G695" s="1340">
        <v>90</v>
      </c>
      <c r="H695" s="66" t="str">
        <f>'BID II'!B2110</f>
        <v>Belanja Upakara, Upacara dan Aci aci</v>
      </c>
      <c r="I695" s="470">
        <f>SUM('BID II'!F2111:F2112)</f>
        <v>6675000</v>
      </c>
      <c r="J695" s="66" t="s">
        <v>1682</v>
      </c>
      <c r="K695" s="1797" t="s">
        <v>3030</v>
      </c>
      <c r="L695" s="32"/>
      <c r="M695" s="32"/>
      <c r="N695" s="32"/>
      <c r="O695" s="32"/>
      <c r="P695" s="497">
        <v>6675000</v>
      </c>
      <c r="Q695" s="32"/>
      <c r="R695" s="32"/>
      <c r="S695" s="32"/>
      <c r="T695" s="32"/>
      <c r="U695" s="32"/>
      <c r="V695" s="32"/>
      <c r="W695" s="32"/>
      <c r="X695" s="1750">
        <f t="shared" si="22"/>
        <v>6675000</v>
      </c>
      <c r="Y695" s="175">
        <f t="shared" si="23"/>
        <v>0</v>
      </c>
    </row>
    <row r="696" spans="1:25" ht="30" x14ac:dyDescent="0.25">
      <c r="A696" s="32"/>
      <c r="B696" s="32"/>
      <c r="C696" s="32"/>
      <c r="D696" s="32"/>
      <c r="E696" s="32"/>
      <c r="F696" s="32"/>
      <c r="G696" s="1340" t="s">
        <v>2708</v>
      </c>
      <c r="H696" s="66" t="str">
        <f>'BID II'!B2113</f>
        <v>Belanja Bahan Material</v>
      </c>
      <c r="I696" s="470">
        <f>SUM('BID II'!F2114:F2126)</f>
        <v>8416500</v>
      </c>
      <c r="J696" s="66" t="s">
        <v>1682</v>
      </c>
      <c r="K696" s="1797" t="s">
        <v>3030</v>
      </c>
      <c r="L696" s="32"/>
      <c r="M696" s="32"/>
      <c r="N696" s="32"/>
      <c r="O696" s="32"/>
      <c r="P696" s="497">
        <v>8416500</v>
      </c>
      <c r="Q696" s="32"/>
      <c r="R696" s="32"/>
      <c r="S696" s="32"/>
      <c r="T696" s="32"/>
      <c r="U696" s="32"/>
      <c r="V696" s="32"/>
      <c r="W696" s="32"/>
      <c r="X696" s="1750">
        <f t="shared" si="22"/>
        <v>8416500</v>
      </c>
      <c r="Y696" s="175">
        <f t="shared" si="23"/>
        <v>0</v>
      </c>
    </row>
    <row r="697" spans="1:25" ht="30" x14ac:dyDescent="0.25">
      <c r="A697" s="32"/>
      <c r="B697" s="32"/>
      <c r="C697" s="32"/>
      <c r="D697" s="32"/>
      <c r="E697" s="32"/>
      <c r="F697" s="32"/>
      <c r="G697" s="1340">
        <v>12</v>
      </c>
      <c r="H697" s="66" t="str">
        <f>'BID II'!B2127</f>
        <v>Belanja Obat -obat Pertanian</v>
      </c>
      <c r="I697" s="470">
        <f>SUM('BID II'!F2128)</f>
        <v>1260000</v>
      </c>
      <c r="J697" s="66" t="s">
        <v>1682</v>
      </c>
      <c r="K697" s="1797" t="s">
        <v>3030</v>
      </c>
      <c r="L697" s="32"/>
      <c r="M697" s="32"/>
      <c r="N697" s="32"/>
      <c r="O697" s="32"/>
      <c r="P697" s="497">
        <v>1260000</v>
      </c>
      <c r="Q697" s="32"/>
      <c r="R697" s="32"/>
      <c r="S697" s="32"/>
      <c r="T697" s="32"/>
      <c r="U697" s="32"/>
      <c r="V697" s="32"/>
      <c r="W697" s="32"/>
      <c r="X697" s="1750">
        <f t="shared" si="22"/>
        <v>1260000</v>
      </c>
      <c r="Y697" s="175">
        <f t="shared" si="23"/>
        <v>0</v>
      </c>
    </row>
    <row r="698" spans="1:25" ht="30" x14ac:dyDescent="0.25">
      <c r="A698" s="32"/>
      <c r="B698" s="32"/>
      <c r="C698" s="32"/>
      <c r="D698" s="32">
        <v>5</v>
      </c>
      <c r="E698" s="32">
        <v>2</v>
      </c>
      <c r="F698" s="32">
        <v>2</v>
      </c>
      <c r="G698" s="1340"/>
      <c r="H698" s="66" t="str">
        <f>'BID II'!B2129</f>
        <v>Belanja Honorarium</v>
      </c>
      <c r="I698" s="470"/>
      <c r="J698" s="66"/>
      <c r="K698" s="1797" t="s">
        <v>3030</v>
      </c>
      <c r="L698" s="32"/>
      <c r="M698" s="32"/>
      <c r="N698" s="32"/>
      <c r="O698" s="32"/>
      <c r="P698" s="497"/>
      <c r="Q698" s="32"/>
      <c r="R698" s="32"/>
      <c r="S698" s="32"/>
      <c r="T698" s="32"/>
      <c r="U698" s="32"/>
      <c r="V698" s="32"/>
      <c r="W698" s="32"/>
      <c r="X698" s="1750">
        <f t="shared" si="22"/>
        <v>0</v>
      </c>
      <c r="Y698" s="175">
        <f t="shared" si="23"/>
        <v>0</v>
      </c>
    </row>
    <row r="699" spans="1:25" ht="30" x14ac:dyDescent="0.25">
      <c r="A699" s="32"/>
      <c r="B699" s="32"/>
      <c r="C699" s="32"/>
      <c r="D699" s="32"/>
      <c r="E699" s="32"/>
      <c r="F699" s="32"/>
      <c r="G699" s="1340" t="s">
        <v>2688</v>
      </c>
      <c r="H699" s="66" t="str">
        <f>'BID II'!B2130</f>
        <v>Honor Tim Yang Melaksanakan Kegiatan</v>
      </c>
      <c r="I699" s="470">
        <f>SUM('BID II'!F2131:F2133)</f>
        <v>36000000</v>
      </c>
      <c r="J699" s="66" t="s">
        <v>1682</v>
      </c>
      <c r="K699" s="1797" t="s">
        <v>3030</v>
      </c>
      <c r="L699" s="32"/>
      <c r="M699" s="32"/>
      <c r="N699" s="32"/>
      <c r="O699" s="32"/>
      <c r="P699" s="497">
        <v>36000000</v>
      </c>
      <c r="Q699" s="32"/>
      <c r="R699" s="32"/>
      <c r="S699" s="32"/>
      <c r="T699" s="32"/>
      <c r="U699" s="32"/>
      <c r="V699" s="32"/>
      <c r="W699" s="32"/>
      <c r="X699" s="1750">
        <f t="shared" si="22"/>
        <v>36000000</v>
      </c>
      <c r="Y699" s="175">
        <f t="shared" si="23"/>
        <v>0</v>
      </c>
    </row>
    <row r="700" spans="1:25" ht="30" x14ac:dyDescent="0.25">
      <c r="A700" s="32"/>
      <c r="B700" s="32"/>
      <c r="C700" s="32"/>
      <c r="D700" s="32"/>
      <c r="E700" s="32"/>
      <c r="F700" s="32"/>
      <c r="G700" s="1340" t="s">
        <v>2706</v>
      </c>
      <c r="H700" s="66" t="str">
        <f>'BID II'!B2134</f>
        <v>Honor Petugas</v>
      </c>
      <c r="I700" s="470">
        <f>SUM('BID II'!F2135)</f>
        <v>72000000</v>
      </c>
      <c r="J700" s="66" t="s">
        <v>1682</v>
      </c>
      <c r="K700" s="1797" t="s">
        <v>3030</v>
      </c>
      <c r="L700" s="32"/>
      <c r="M700" s="32"/>
      <c r="N700" s="32"/>
      <c r="O700" s="32"/>
      <c r="P700" s="497">
        <v>72000000</v>
      </c>
      <c r="Q700" s="32"/>
      <c r="R700" s="32"/>
      <c r="S700" s="32"/>
      <c r="T700" s="32"/>
      <c r="U700" s="32"/>
      <c r="V700" s="32"/>
      <c r="W700" s="32"/>
      <c r="X700" s="1750">
        <f t="shared" si="22"/>
        <v>72000000</v>
      </c>
      <c r="Y700" s="175">
        <f t="shared" si="23"/>
        <v>0</v>
      </c>
    </row>
    <row r="701" spans="1:25" ht="30" x14ac:dyDescent="0.25">
      <c r="A701" s="32"/>
      <c r="B701" s="32"/>
      <c r="C701" s="32"/>
      <c r="D701" s="32">
        <v>5</v>
      </c>
      <c r="E701" s="32">
        <v>2</v>
      </c>
      <c r="F701" s="32">
        <v>5</v>
      </c>
      <c r="G701" s="1340"/>
      <c r="H701" s="66" t="str">
        <f>'BID II'!B2136</f>
        <v>Belanja Operasional pekantoran</v>
      </c>
      <c r="I701" s="470"/>
      <c r="J701" s="66"/>
      <c r="K701" s="1797" t="s">
        <v>3030</v>
      </c>
      <c r="L701" s="32"/>
      <c r="M701" s="32"/>
      <c r="N701" s="32"/>
      <c r="O701" s="32"/>
      <c r="P701" s="497"/>
      <c r="Q701" s="32"/>
      <c r="R701" s="32"/>
      <c r="S701" s="32"/>
      <c r="T701" s="32"/>
      <c r="U701" s="32"/>
      <c r="V701" s="32"/>
      <c r="W701" s="32"/>
      <c r="X701" s="1750">
        <f t="shared" si="22"/>
        <v>0</v>
      </c>
      <c r="Y701" s="175">
        <f t="shared" si="23"/>
        <v>0</v>
      </c>
    </row>
    <row r="702" spans="1:25" ht="30" x14ac:dyDescent="0.25">
      <c r="A702" s="32"/>
      <c r="B702" s="32"/>
      <c r="C702" s="32"/>
      <c r="D702" s="32"/>
      <c r="E702" s="32"/>
      <c r="F702" s="32"/>
      <c r="G702" s="1340" t="s">
        <v>2688</v>
      </c>
      <c r="H702" s="66" t="str">
        <f>'BID II'!B2137</f>
        <v>Belanja Langganan Listrik</v>
      </c>
      <c r="I702" s="470">
        <f>'BID II'!F2138</f>
        <v>6000000</v>
      </c>
      <c r="J702" s="66" t="s">
        <v>1682</v>
      </c>
      <c r="K702" s="1797" t="s">
        <v>3030</v>
      </c>
      <c r="L702" s="32"/>
      <c r="M702" s="32"/>
      <c r="N702" s="32"/>
      <c r="O702" s="32"/>
      <c r="P702" s="497">
        <v>6000000</v>
      </c>
      <c r="Q702" s="32"/>
      <c r="R702" s="32"/>
      <c r="S702" s="32"/>
      <c r="T702" s="32"/>
      <c r="U702" s="32"/>
      <c r="V702" s="32"/>
      <c r="W702" s="32"/>
      <c r="X702" s="1750">
        <f t="shared" si="22"/>
        <v>6000000</v>
      </c>
      <c r="Y702" s="175">
        <f t="shared" si="23"/>
        <v>0</v>
      </c>
    </row>
    <row r="703" spans="1:25" ht="30" x14ac:dyDescent="0.25">
      <c r="A703" s="32"/>
      <c r="B703" s="32"/>
      <c r="C703" s="32"/>
      <c r="D703" s="32"/>
      <c r="E703" s="32"/>
      <c r="F703" s="32"/>
      <c r="G703" s="1340" t="s">
        <v>2702</v>
      </c>
      <c r="H703" s="66" t="str">
        <f>'BID II'!B2139</f>
        <v>Belanja Langganan Air Bersih</v>
      </c>
      <c r="I703" s="470">
        <f>'BID II'!F2140</f>
        <v>480000</v>
      </c>
      <c r="J703" s="66" t="s">
        <v>1682</v>
      </c>
      <c r="K703" s="1797" t="s">
        <v>3030</v>
      </c>
      <c r="L703" s="32"/>
      <c r="M703" s="32"/>
      <c r="N703" s="32"/>
      <c r="O703" s="32"/>
      <c r="P703" s="497">
        <v>480000</v>
      </c>
      <c r="Q703" s="32"/>
      <c r="R703" s="32"/>
      <c r="S703" s="32"/>
      <c r="T703" s="32"/>
      <c r="U703" s="32"/>
      <c r="V703" s="32"/>
      <c r="W703" s="32"/>
      <c r="X703" s="1750">
        <f t="shared" si="22"/>
        <v>480000</v>
      </c>
      <c r="Y703" s="175">
        <f t="shared" si="23"/>
        <v>0</v>
      </c>
    </row>
    <row r="704" spans="1:25" ht="30" x14ac:dyDescent="0.25">
      <c r="A704" s="32"/>
      <c r="B704" s="32"/>
      <c r="C704" s="32"/>
      <c r="D704" s="32">
        <v>5</v>
      </c>
      <c r="E704" s="32">
        <v>2</v>
      </c>
      <c r="F704" s="32">
        <v>6</v>
      </c>
      <c r="G704" s="1340"/>
      <c r="H704" s="66" t="str">
        <f>'BID II'!B2141</f>
        <v>Belanja Pemeliharaan</v>
      </c>
      <c r="I704" s="470"/>
      <c r="J704" s="66"/>
      <c r="K704" s="1797" t="s">
        <v>3030</v>
      </c>
      <c r="L704" s="32"/>
      <c r="M704" s="32"/>
      <c r="N704" s="32"/>
      <c r="O704" s="32"/>
      <c r="P704" s="497"/>
      <c r="Q704" s="32"/>
      <c r="R704" s="32"/>
      <c r="S704" s="32"/>
      <c r="T704" s="32"/>
      <c r="U704" s="32"/>
      <c r="V704" s="32"/>
      <c r="W704" s="32"/>
      <c r="X704" s="1750">
        <f t="shared" si="22"/>
        <v>0</v>
      </c>
      <c r="Y704" s="175">
        <f t="shared" si="23"/>
        <v>0</v>
      </c>
    </row>
    <row r="705" spans="1:25" ht="30" x14ac:dyDescent="0.25">
      <c r="A705" s="32"/>
      <c r="B705" s="32"/>
      <c r="C705" s="32"/>
      <c r="D705" s="32"/>
      <c r="E705" s="32"/>
      <c r="F705" s="32"/>
      <c r="G705" s="1340" t="s">
        <v>2688</v>
      </c>
      <c r="H705" s="66" t="str">
        <f>'BID II'!B2142</f>
        <v>Belanja Pemeliharaan Mesin dan alat berat</v>
      </c>
      <c r="I705" s="470">
        <f>SUM('BID II'!F2143)</f>
        <v>2000000</v>
      </c>
      <c r="J705" s="66" t="s">
        <v>1682</v>
      </c>
      <c r="K705" s="1797" t="s">
        <v>3030</v>
      </c>
      <c r="L705" s="32"/>
      <c r="M705" s="32"/>
      <c r="N705" s="32"/>
      <c r="O705" s="32"/>
      <c r="P705" s="497">
        <v>2000000</v>
      </c>
      <c r="Q705" s="32"/>
      <c r="R705" s="32"/>
      <c r="S705" s="32"/>
      <c r="T705" s="32"/>
      <c r="U705" s="32"/>
      <c r="V705" s="32"/>
      <c r="W705" s="32"/>
      <c r="X705" s="1750">
        <f t="shared" si="22"/>
        <v>2000000</v>
      </c>
      <c r="Y705" s="175">
        <f t="shared" si="23"/>
        <v>0</v>
      </c>
    </row>
    <row r="706" spans="1:25" ht="30" x14ac:dyDescent="0.25">
      <c r="A706" s="32"/>
      <c r="B706" s="32"/>
      <c r="C706" s="32"/>
      <c r="D706" s="32"/>
      <c r="E706" s="32"/>
      <c r="F706" s="32"/>
      <c r="G706" s="1340" t="s">
        <v>2702</v>
      </c>
      <c r="H706" s="66" t="str">
        <f>'BID II'!B2144</f>
        <v>Belanja Pemeliharaan Kendaraan Bermotor</v>
      </c>
      <c r="I706" s="470">
        <f>SUM('BID II'!F2145)</f>
        <v>3000000</v>
      </c>
      <c r="J706" s="66" t="s">
        <v>1682</v>
      </c>
      <c r="K706" s="1797" t="s">
        <v>3030</v>
      </c>
      <c r="L706" s="32"/>
      <c r="M706" s="32"/>
      <c r="N706" s="32"/>
      <c r="O706" s="32"/>
      <c r="P706" s="497">
        <v>3000000</v>
      </c>
      <c r="Q706" s="32"/>
      <c r="R706" s="32"/>
      <c r="S706" s="32"/>
      <c r="T706" s="32"/>
      <c r="U706" s="32"/>
      <c r="V706" s="32"/>
      <c r="W706" s="32"/>
      <c r="X706" s="1750">
        <f t="shared" si="22"/>
        <v>3000000</v>
      </c>
      <c r="Y706" s="175">
        <f t="shared" si="23"/>
        <v>0</v>
      </c>
    </row>
    <row r="707" spans="1:25" ht="75" x14ac:dyDescent="0.25">
      <c r="A707" s="1344">
        <v>2</v>
      </c>
      <c r="B707" s="1344">
        <v>4</v>
      </c>
      <c r="C707" s="1346" t="s">
        <v>2708</v>
      </c>
      <c r="D707" s="1344"/>
      <c r="E707" s="1344"/>
      <c r="F707" s="1344"/>
      <c r="G707" s="1344"/>
      <c r="H707" s="1345" t="str">
        <f>'BID II'!B2162</f>
        <v>: Pemeiliharaan Fasilitas Pengelolaan Sampah Desa/ Pemukiman ( Operasional Kegiatan Bank Sampah Desa)</v>
      </c>
      <c r="I707" s="1347">
        <f>SUM(I708:I716)</f>
        <v>38177800</v>
      </c>
      <c r="J707" s="1345" t="s">
        <v>3006</v>
      </c>
      <c r="K707" s="1796" t="s">
        <v>3030</v>
      </c>
      <c r="L707" s="1344"/>
      <c r="M707" s="1344"/>
      <c r="N707" s="1344"/>
      <c r="O707" s="1344"/>
      <c r="P707" s="1344"/>
      <c r="Q707" s="1344"/>
      <c r="R707" s="1344"/>
      <c r="S707" s="1344"/>
      <c r="T707" s="1344"/>
      <c r="U707" s="1344"/>
      <c r="V707" s="1344"/>
      <c r="W707" s="1344"/>
      <c r="X707" s="1353">
        <f t="shared" si="22"/>
        <v>0</v>
      </c>
      <c r="Y707" s="175">
        <f t="shared" si="23"/>
        <v>-38177800</v>
      </c>
    </row>
    <row r="708" spans="1:25" ht="30" x14ac:dyDescent="0.25">
      <c r="A708" s="32"/>
      <c r="B708" s="32"/>
      <c r="C708" s="32"/>
      <c r="D708" s="32">
        <v>5</v>
      </c>
      <c r="E708" s="32">
        <v>2</v>
      </c>
      <c r="F708" s="32"/>
      <c r="G708" s="32"/>
      <c r="H708" s="66" t="str">
        <f>'BID II'!B2167</f>
        <v>Belanja Barang Jasa :</v>
      </c>
      <c r="I708" s="470"/>
      <c r="J708" s="66"/>
      <c r="K708" s="1797" t="s">
        <v>3030</v>
      </c>
      <c r="L708" s="32"/>
      <c r="M708" s="32"/>
      <c r="N708" s="32"/>
      <c r="O708" s="32"/>
      <c r="P708" s="32"/>
      <c r="Q708" s="32"/>
      <c r="R708" s="32"/>
      <c r="S708" s="32"/>
      <c r="T708" s="32"/>
      <c r="U708" s="32"/>
      <c r="V708" s="32"/>
      <c r="W708" s="32"/>
      <c r="X708" s="1750">
        <f t="shared" si="22"/>
        <v>0</v>
      </c>
      <c r="Y708" s="175">
        <f t="shared" si="23"/>
        <v>0</v>
      </c>
    </row>
    <row r="709" spans="1:25" ht="30" x14ac:dyDescent="0.25">
      <c r="A709" s="32"/>
      <c r="B709" s="32"/>
      <c r="C709" s="32"/>
      <c r="D709" s="32"/>
      <c r="E709" s="32"/>
      <c r="F709" s="32">
        <v>1</v>
      </c>
      <c r="G709" s="32"/>
      <c r="H709" s="66" t="str">
        <f>'BID II'!B2168</f>
        <v>Belanja barang perlengkapan</v>
      </c>
      <c r="I709" s="470"/>
      <c r="J709" s="66"/>
      <c r="K709" s="1797" t="s">
        <v>3030</v>
      </c>
      <c r="L709" s="32"/>
      <c r="M709" s="32"/>
      <c r="N709" s="32"/>
      <c r="O709" s="32"/>
      <c r="P709" s="32"/>
      <c r="Q709" s="32"/>
      <c r="R709" s="32"/>
      <c r="S709" s="32"/>
      <c r="T709" s="32"/>
      <c r="U709" s="32"/>
      <c r="V709" s="32"/>
      <c r="W709" s="32"/>
      <c r="X709" s="1750">
        <f t="shared" si="22"/>
        <v>0</v>
      </c>
      <c r="Y709" s="175">
        <f t="shared" si="23"/>
        <v>0</v>
      </c>
    </row>
    <row r="710" spans="1:25" ht="30" x14ac:dyDescent="0.25">
      <c r="A710" s="32"/>
      <c r="B710" s="32"/>
      <c r="C710" s="32"/>
      <c r="D710" s="32"/>
      <c r="E710" s="32"/>
      <c r="F710" s="32"/>
      <c r="G710" s="1340" t="s">
        <v>2688</v>
      </c>
      <c r="H710" s="66" t="str">
        <f>'BID II'!B2169</f>
        <v>Belanja perlengkapan Cetak</v>
      </c>
      <c r="I710" s="470">
        <f>SUM('BID II'!F2170:F2171)</f>
        <v>2200000</v>
      </c>
      <c r="J710" s="66" t="s">
        <v>1690</v>
      </c>
      <c r="K710" s="1797" t="s">
        <v>3030</v>
      </c>
      <c r="L710" s="32"/>
      <c r="M710" s="32"/>
      <c r="N710" s="32"/>
      <c r="O710" s="32"/>
      <c r="P710" s="32"/>
      <c r="Q710" s="32"/>
      <c r="R710" s="32"/>
      <c r="S710" s="32"/>
      <c r="T710" s="497">
        <v>2200000</v>
      </c>
      <c r="U710" s="32"/>
      <c r="V710" s="32"/>
      <c r="W710" s="32"/>
      <c r="X710" s="1750">
        <f t="shared" si="22"/>
        <v>2200000</v>
      </c>
      <c r="Y710" s="175">
        <f t="shared" si="23"/>
        <v>0</v>
      </c>
    </row>
    <row r="711" spans="1:25" ht="30" x14ac:dyDescent="0.25">
      <c r="A711" s="32"/>
      <c r="B711" s="32"/>
      <c r="C711" s="32"/>
      <c r="D711" s="32"/>
      <c r="E711" s="32"/>
      <c r="F711" s="32"/>
      <c r="G711" s="1340" t="s">
        <v>2705</v>
      </c>
      <c r="H711" s="66" t="str">
        <f>'BID II'!B2173</f>
        <v>Belanja Perlengkapan Barang Konsumsi</v>
      </c>
      <c r="I711" s="174">
        <f>'BID II'!F2175</f>
        <v>3600000</v>
      </c>
      <c r="J711" s="66" t="s">
        <v>1690</v>
      </c>
      <c r="K711" s="1797" t="s">
        <v>3030</v>
      </c>
      <c r="L711" s="497">
        <v>300000</v>
      </c>
      <c r="M711" s="497">
        <v>300000</v>
      </c>
      <c r="N711" s="497">
        <v>300000</v>
      </c>
      <c r="O711" s="497">
        <v>300000</v>
      </c>
      <c r="P711" s="497">
        <v>300000</v>
      </c>
      <c r="Q711" s="497">
        <v>300000</v>
      </c>
      <c r="R711" s="497">
        <v>300000</v>
      </c>
      <c r="S711" s="497">
        <v>300000</v>
      </c>
      <c r="T711" s="497">
        <v>300000</v>
      </c>
      <c r="U711" s="497">
        <v>300000</v>
      </c>
      <c r="V711" s="497">
        <v>300000</v>
      </c>
      <c r="W711" s="497">
        <v>300000</v>
      </c>
      <c r="X711" s="1750">
        <f t="shared" si="22"/>
        <v>3600000</v>
      </c>
      <c r="Y711" s="175">
        <f t="shared" si="23"/>
        <v>0</v>
      </c>
    </row>
    <row r="712" spans="1:25" ht="30" x14ac:dyDescent="0.25">
      <c r="A712" s="32"/>
      <c r="B712" s="32"/>
      <c r="C712" s="32"/>
      <c r="D712" s="32"/>
      <c r="E712" s="32"/>
      <c r="F712" s="32"/>
      <c r="G712" s="1340" t="s">
        <v>2705</v>
      </c>
      <c r="H712" s="66" t="str">
        <f>'BID II'!B2173</f>
        <v>Belanja Perlengkapan Barang Konsumsi</v>
      </c>
      <c r="I712" s="174">
        <f>'BID II'!F2174</f>
        <v>10440000</v>
      </c>
      <c r="J712" s="66" t="s">
        <v>1682</v>
      </c>
      <c r="K712" s="1797" t="s">
        <v>3030</v>
      </c>
      <c r="L712" s="497">
        <v>870000</v>
      </c>
      <c r="M712" s="497">
        <v>870000</v>
      </c>
      <c r="N712" s="497">
        <v>870000</v>
      </c>
      <c r="O712" s="497">
        <v>870000</v>
      </c>
      <c r="P712" s="497">
        <v>870000</v>
      </c>
      <c r="Q712" s="497">
        <v>870000</v>
      </c>
      <c r="R712" s="497">
        <v>870000</v>
      </c>
      <c r="S712" s="497">
        <v>870000</v>
      </c>
      <c r="T712" s="497">
        <v>870000</v>
      </c>
      <c r="U712" s="497">
        <v>870000</v>
      </c>
      <c r="V712" s="497">
        <v>870000</v>
      </c>
      <c r="W712" s="497">
        <v>870000</v>
      </c>
      <c r="X712" s="1750">
        <f t="shared" si="22"/>
        <v>10440000</v>
      </c>
      <c r="Y712" s="175">
        <f t="shared" si="23"/>
        <v>0</v>
      </c>
    </row>
    <row r="713" spans="1:25" ht="30" x14ac:dyDescent="0.25">
      <c r="A713" s="32"/>
      <c r="B713" s="32"/>
      <c r="C713" s="32"/>
      <c r="D713" s="32"/>
      <c r="E713" s="32"/>
      <c r="F713" s="32"/>
      <c r="G713" s="1340" t="s">
        <v>2708</v>
      </c>
      <c r="H713" s="32" t="str">
        <f>'BID II'!B2177</f>
        <v>Belanja Bahan Dan Alat</v>
      </c>
      <c r="I713" s="174">
        <f>SUM('BID II'!F2179:F2190)</f>
        <v>9547800</v>
      </c>
      <c r="J713" s="66" t="s">
        <v>1690</v>
      </c>
      <c r="K713" s="1797" t="s">
        <v>3030</v>
      </c>
      <c r="L713" s="32"/>
      <c r="M713" s="32"/>
      <c r="N713" s="32"/>
      <c r="O713" s="32"/>
      <c r="P713" s="32"/>
      <c r="Q713" s="32"/>
      <c r="R713" s="32"/>
      <c r="S713" s="497">
        <v>9547800</v>
      </c>
      <c r="T713" s="497"/>
      <c r="U713" s="497"/>
      <c r="V713" s="497"/>
      <c r="W713" s="32"/>
      <c r="X713" s="1750">
        <f t="shared" si="22"/>
        <v>9547800</v>
      </c>
      <c r="Y713" s="175">
        <f t="shared" si="23"/>
        <v>0</v>
      </c>
    </row>
    <row r="714" spans="1:25" ht="30" x14ac:dyDescent="0.25">
      <c r="A714" s="32"/>
      <c r="B714" s="32"/>
      <c r="C714" s="32"/>
      <c r="D714" s="32"/>
      <c r="E714" s="32"/>
      <c r="F714" s="32"/>
      <c r="G714" s="1340" t="s">
        <v>2708</v>
      </c>
      <c r="H714" s="32" t="str">
        <f>'BID II'!B2177</f>
        <v>Belanja Bahan Dan Alat</v>
      </c>
      <c r="I714" s="174">
        <f>'BID II'!F2178</f>
        <v>390000</v>
      </c>
      <c r="J714" s="66" t="s">
        <v>1682</v>
      </c>
      <c r="K714" s="1797" t="s">
        <v>3030</v>
      </c>
      <c r="L714" s="32"/>
      <c r="M714" s="32"/>
      <c r="N714" s="32"/>
      <c r="O714" s="32"/>
      <c r="P714" s="32"/>
      <c r="Q714" s="32"/>
      <c r="R714" s="32"/>
      <c r="S714" s="497">
        <v>195000</v>
      </c>
      <c r="T714" s="497"/>
      <c r="U714" s="497"/>
      <c r="V714" s="497">
        <v>195000</v>
      </c>
      <c r="W714" s="32"/>
      <c r="X714" s="1750">
        <f t="shared" si="22"/>
        <v>390000</v>
      </c>
      <c r="Y714" s="175">
        <f t="shared" si="23"/>
        <v>0</v>
      </c>
    </row>
    <row r="715" spans="1:25" ht="30" x14ac:dyDescent="0.25">
      <c r="A715" s="32"/>
      <c r="B715" s="32"/>
      <c r="C715" s="32"/>
      <c r="D715" s="32">
        <v>5</v>
      </c>
      <c r="E715" s="32">
        <v>2</v>
      </c>
      <c r="F715" s="32">
        <v>2</v>
      </c>
      <c r="G715" s="32"/>
      <c r="H715" s="32" t="str">
        <f>'BID II'!B2191</f>
        <v>Belanja Honorarium</v>
      </c>
      <c r="I715" s="32"/>
      <c r="J715" s="66"/>
      <c r="K715" s="1797" t="s">
        <v>3030</v>
      </c>
      <c r="L715" s="32"/>
      <c r="M715" s="32"/>
      <c r="N715" s="32"/>
      <c r="O715" s="32"/>
      <c r="P715" s="32"/>
      <c r="Q715" s="32"/>
      <c r="R715" s="32"/>
      <c r="S715" s="32"/>
      <c r="T715" s="32"/>
      <c r="U715" s="32"/>
      <c r="V715" s="32"/>
      <c r="W715" s="32"/>
      <c r="X715" s="1750">
        <f t="shared" si="22"/>
        <v>0</v>
      </c>
      <c r="Y715" s="175">
        <f t="shared" si="23"/>
        <v>0</v>
      </c>
    </row>
    <row r="716" spans="1:25" ht="30" x14ac:dyDescent="0.25">
      <c r="A716" s="32"/>
      <c r="B716" s="32"/>
      <c r="C716" s="32"/>
      <c r="D716" s="32"/>
      <c r="E716" s="32"/>
      <c r="F716" s="32"/>
      <c r="G716" s="1340" t="s">
        <v>2706</v>
      </c>
      <c r="H716" s="32" t="str">
        <f>'BID II'!B2192</f>
        <v>Belanja Honor Petugas</v>
      </c>
      <c r="I716" s="174">
        <f>SUM('BID II'!F2193)</f>
        <v>12000000</v>
      </c>
      <c r="J716" s="66" t="s">
        <v>1690</v>
      </c>
      <c r="K716" s="1797" t="s">
        <v>3030</v>
      </c>
      <c r="L716" s="497">
        <v>1000000</v>
      </c>
      <c r="M716" s="497">
        <v>1000000</v>
      </c>
      <c r="N716" s="497">
        <v>1000000</v>
      </c>
      <c r="O716" s="497">
        <v>1000000</v>
      </c>
      <c r="P716" s="497">
        <v>1000000</v>
      </c>
      <c r="Q716" s="497">
        <v>1000000</v>
      </c>
      <c r="R716" s="497">
        <v>1000000</v>
      </c>
      <c r="S716" s="497">
        <v>1000000</v>
      </c>
      <c r="T716" s="497">
        <v>1000000</v>
      </c>
      <c r="U716" s="497">
        <v>1000000</v>
      </c>
      <c r="V716" s="497">
        <v>1000000</v>
      </c>
      <c r="W716" s="497">
        <v>1000000</v>
      </c>
      <c r="X716" s="1750">
        <f t="shared" si="22"/>
        <v>12000000</v>
      </c>
      <c r="Y716" s="175">
        <f t="shared" si="23"/>
        <v>0</v>
      </c>
    </row>
    <row r="717" spans="1:25" ht="30" x14ac:dyDescent="0.25">
      <c r="A717" s="1344">
        <v>2</v>
      </c>
      <c r="B717" s="1344">
        <v>4</v>
      </c>
      <c r="C717" s="1346" t="s">
        <v>2708</v>
      </c>
      <c r="D717" s="1344"/>
      <c r="E717" s="1344"/>
      <c r="F717" s="1344"/>
      <c r="G717" s="1344"/>
      <c r="H717" s="1345" t="str">
        <f>'BID II'!B2209</f>
        <v>: Operasional Tim Kebersihan Lingkungan</v>
      </c>
      <c r="I717" s="1347">
        <f>SUM(I718:I726)</f>
        <v>110956000</v>
      </c>
      <c r="J717" s="1345" t="s">
        <v>2620</v>
      </c>
      <c r="K717" s="1796" t="s">
        <v>3030</v>
      </c>
      <c r="L717" s="1344"/>
      <c r="M717" s="1344"/>
      <c r="N717" s="1344"/>
      <c r="O717" s="1344"/>
      <c r="P717" s="1344"/>
      <c r="Q717" s="1344"/>
      <c r="R717" s="1344"/>
      <c r="S717" s="1344"/>
      <c r="T717" s="1344"/>
      <c r="U717" s="1344"/>
      <c r="V717" s="1344"/>
      <c r="W717" s="1344"/>
      <c r="X717" s="1353">
        <f t="shared" si="22"/>
        <v>0</v>
      </c>
      <c r="Y717" s="175">
        <f t="shared" si="23"/>
        <v>-110956000</v>
      </c>
    </row>
    <row r="718" spans="1:25" ht="30" x14ac:dyDescent="0.25">
      <c r="A718" s="32"/>
      <c r="B718" s="32"/>
      <c r="C718" s="32"/>
      <c r="D718" s="32">
        <v>5</v>
      </c>
      <c r="E718" s="32">
        <v>2</v>
      </c>
      <c r="F718" s="32"/>
      <c r="G718" s="32"/>
      <c r="H718" s="66" t="str">
        <f>'BID II'!B2214</f>
        <v>Belanja Barang dan Jasa :</v>
      </c>
      <c r="I718" s="470"/>
      <c r="J718" s="66"/>
      <c r="K718" s="1797" t="s">
        <v>3030</v>
      </c>
      <c r="L718" s="32"/>
      <c r="M718" s="32"/>
      <c r="N718" s="32"/>
      <c r="O718" s="32"/>
      <c r="P718" s="32"/>
      <c r="Q718" s="32"/>
      <c r="R718" s="32"/>
      <c r="S718" s="32"/>
      <c r="T718" s="32"/>
      <c r="U718" s="32"/>
      <c r="V718" s="32"/>
      <c r="W718" s="32"/>
      <c r="X718" s="1750">
        <f t="shared" si="22"/>
        <v>0</v>
      </c>
      <c r="Y718" s="175">
        <f t="shared" si="23"/>
        <v>0</v>
      </c>
    </row>
    <row r="719" spans="1:25" ht="30" x14ac:dyDescent="0.25">
      <c r="A719" s="32"/>
      <c r="B719" s="32"/>
      <c r="C719" s="32"/>
      <c r="D719" s="32"/>
      <c r="E719" s="32"/>
      <c r="F719" s="32">
        <v>1</v>
      </c>
      <c r="G719" s="32"/>
      <c r="H719" s="66" t="str">
        <f>'BID II'!B2215</f>
        <v>Belanja Barang Perlengkapan</v>
      </c>
      <c r="I719" s="470"/>
      <c r="J719" s="66"/>
      <c r="K719" s="1797" t="s">
        <v>3030</v>
      </c>
      <c r="L719" s="32"/>
      <c r="M719" s="32"/>
      <c r="N719" s="32"/>
      <c r="O719" s="32"/>
      <c r="P719" s="32"/>
      <c r="Q719" s="32"/>
      <c r="R719" s="32"/>
      <c r="S719" s="32"/>
      <c r="T719" s="32"/>
      <c r="U719" s="32"/>
      <c r="V719" s="32"/>
      <c r="W719" s="32"/>
      <c r="X719" s="1750">
        <f t="shared" si="22"/>
        <v>0</v>
      </c>
      <c r="Y719" s="175">
        <f t="shared" si="23"/>
        <v>0</v>
      </c>
    </row>
    <row r="720" spans="1:25" ht="60" x14ac:dyDescent="0.25">
      <c r="A720" s="32"/>
      <c r="B720" s="32"/>
      <c r="C720" s="32"/>
      <c r="D720" s="32"/>
      <c r="E720" s="32"/>
      <c r="F720" s="32"/>
      <c r="G720" s="1340" t="s">
        <v>2704</v>
      </c>
      <c r="H720" s="66" t="str">
        <f>'BID II'!B2216</f>
        <v>Belanja Bahan Bakar Minyak/Gas/Isi Ulang Tabung Pemadam Kebakaran</v>
      </c>
      <c r="I720" s="470">
        <f>SUM('BID II'!F2217)</f>
        <v>3600000</v>
      </c>
      <c r="J720" s="66" t="s">
        <v>2620</v>
      </c>
      <c r="K720" s="1797" t="s">
        <v>3030</v>
      </c>
      <c r="L720" s="32"/>
      <c r="M720" s="32"/>
      <c r="N720" s="32"/>
      <c r="O720" s="32"/>
      <c r="P720" s="32"/>
      <c r="Q720" s="32"/>
      <c r="R720" s="32"/>
      <c r="S720" s="497">
        <v>3600000</v>
      </c>
      <c r="T720" s="32"/>
      <c r="U720" s="32"/>
      <c r="V720" s="32"/>
      <c r="W720" s="32"/>
      <c r="X720" s="1750">
        <f t="shared" si="22"/>
        <v>3600000</v>
      </c>
      <c r="Y720" s="175">
        <f t="shared" si="23"/>
        <v>0</v>
      </c>
    </row>
    <row r="721" spans="1:25" ht="30" x14ac:dyDescent="0.25">
      <c r="A721" s="32"/>
      <c r="B721" s="32"/>
      <c r="C721" s="32"/>
      <c r="D721" s="32"/>
      <c r="E721" s="32"/>
      <c r="F721" s="32"/>
      <c r="G721" s="1340" t="s">
        <v>2708</v>
      </c>
      <c r="H721" s="32" t="str">
        <f>'BID II'!B2218</f>
        <v>Belanja Bahan Dan Alat</v>
      </c>
      <c r="I721" s="470">
        <f>SUM('BID II'!F2219:F2221)</f>
        <v>8756000</v>
      </c>
      <c r="J721" s="66" t="s">
        <v>2620</v>
      </c>
      <c r="K721" s="1797" t="s">
        <v>3030</v>
      </c>
      <c r="L721" s="32"/>
      <c r="M721" s="32"/>
      <c r="N721" s="32"/>
      <c r="O721" s="32"/>
      <c r="P721" s="32"/>
      <c r="Q721" s="32"/>
      <c r="R721" s="32"/>
      <c r="S721" s="497">
        <v>8756000</v>
      </c>
      <c r="T721" s="32"/>
      <c r="U721" s="32"/>
      <c r="V721" s="32"/>
      <c r="W721" s="32"/>
      <c r="X721" s="1750">
        <f t="shared" si="22"/>
        <v>8756000</v>
      </c>
      <c r="Y721" s="175">
        <f t="shared" si="23"/>
        <v>0</v>
      </c>
    </row>
    <row r="722" spans="1:25" ht="30" x14ac:dyDescent="0.25">
      <c r="A722" s="32"/>
      <c r="B722" s="32"/>
      <c r="C722" s="32"/>
      <c r="D722" s="32"/>
      <c r="E722" s="32"/>
      <c r="F722" s="32"/>
      <c r="G722" s="1340" t="s">
        <v>2709</v>
      </c>
      <c r="H722" s="32" t="str">
        <f>'BID II'!B2222</f>
        <v>Belanja atribut pakaian</v>
      </c>
      <c r="I722" s="470">
        <f>SUM('BID II'!F2223:F2227)</f>
        <v>3120000</v>
      </c>
      <c r="J722" s="66" t="s">
        <v>2620</v>
      </c>
      <c r="K722" s="1797" t="s">
        <v>3030</v>
      </c>
      <c r="L722" s="32"/>
      <c r="M722" s="32"/>
      <c r="N722" s="32"/>
      <c r="O722" s="32"/>
      <c r="P722" s="32"/>
      <c r="Q722" s="32"/>
      <c r="R722" s="32"/>
      <c r="S722" s="497">
        <v>3120000</v>
      </c>
      <c r="T722" s="32"/>
      <c r="U722" s="32"/>
      <c r="V722" s="32"/>
      <c r="W722" s="32"/>
      <c r="X722" s="1750">
        <f t="shared" si="22"/>
        <v>3120000</v>
      </c>
      <c r="Y722" s="175">
        <f t="shared" si="23"/>
        <v>0</v>
      </c>
    </row>
    <row r="723" spans="1:25" ht="30" x14ac:dyDescent="0.25">
      <c r="A723" s="32"/>
      <c r="B723" s="32"/>
      <c r="C723" s="32"/>
      <c r="D723" s="32">
        <v>5</v>
      </c>
      <c r="E723" s="32">
        <v>2</v>
      </c>
      <c r="F723" s="32">
        <v>2</v>
      </c>
      <c r="G723" s="32"/>
      <c r="H723" s="32" t="str">
        <f>'BID II'!B2228</f>
        <v>Belanja Jasa Honor</v>
      </c>
      <c r="I723" s="470"/>
      <c r="J723" s="66"/>
      <c r="K723" s="1797" t="s">
        <v>3030</v>
      </c>
      <c r="L723" s="32"/>
      <c r="M723" s="32"/>
      <c r="N723" s="174"/>
      <c r="O723" s="32"/>
      <c r="P723" s="32"/>
      <c r="Q723" s="32"/>
      <c r="R723" s="32"/>
      <c r="S723" s="32"/>
      <c r="T723" s="32"/>
      <c r="U723" s="32"/>
      <c r="V723" s="32"/>
      <c r="W723" s="32"/>
      <c r="X723" s="1750">
        <f t="shared" si="22"/>
        <v>0</v>
      </c>
      <c r="Y723" s="175">
        <f t="shared" si="23"/>
        <v>0</v>
      </c>
    </row>
    <row r="724" spans="1:25" ht="30" x14ac:dyDescent="0.25">
      <c r="A724" s="32"/>
      <c r="B724" s="32"/>
      <c r="C724" s="32"/>
      <c r="D724" s="32"/>
      <c r="E724" s="32"/>
      <c r="F724" s="32"/>
      <c r="G724" s="1340" t="s">
        <v>2704</v>
      </c>
      <c r="H724" s="66" t="str">
        <f>'BID II'!B2229</f>
        <v>Belanja Honorarium Petugas</v>
      </c>
      <c r="I724" s="470">
        <f>SUM('BID II'!F2230:F2235)</f>
        <v>89600000</v>
      </c>
      <c r="J724" s="66" t="s">
        <v>2620</v>
      </c>
      <c r="K724" s="1797" t="s">
        <v>3030</v>
      </c>
      <c r="L724" s="497">
        <v>4800000</v>
      </c>
      <c r="M724" s="497">
        <v>4800000</v>
      </c>
      <c r="N724" s="497">
        <v>20800000</v>
      </c>
      <c r="O724" s="497">
        <v>4800000</v>
      </c>
      <c r="P724" s="497">
        <v>4800000</v>
      </c>
      <c r="Q724" s="497">
        <v>4800000</v>
      </c>
      <c r="R724" s="497">
        <v>20800000</v>
      </c>
      <c r="S724" s="497">
        <v>4800000</v>
      </c>
      <c r="T724" s="497">
        <v>4800000</v>
      </c>
      <c r="U724" s="497">
        <v>4800000</v>
      </c>
      <c r="V724" s="497">
        <v>4800000</v>
      </c>
      <c r="W724" s="497">
        <v>4800000</v>
      </c>
      <c r="X724" s="1750">
        <f t="shared" si="22"/>
        <v>89600000</v>
      </c>
      <c r="Y724" s="175">
        <f t="shared" si="23"/>
        <v>0</v>
      </c>
    </row>
    <row r="725" spans="1:25" ht="30" x14ac:dyDescent="0.25">
      <c r="A725" s="32"/>
      <c r="B725" s="32"/>
      <c r="C725" s="32"/>
      <c r="D725" s="32">
        <v>5</v>
      </c>
      <c r="E725" s="32">
        <v>2</v>
      </c>
      <c r="F725" s="32">
        <v>6</v>
      </c>
      <c r="G725" s="32"/>
      <c r="H725" s="66" t="str">
        <f>'BID II'!B2237</f>
        <v>Belanja Pemeliharaan</v>
      </c>
      <c r="I725" s="470"/>
      <c r="J725" s="66"/>
      <c r="K725" s="1797" t="s">
        <v>3030</v>
      </c>
      <c r="L725" s="32"/>
      <c r="M725" s="32"/>
      <c r="N725" s="32"/>
      <c r="O725" s="32"/>
      <c r="P725" s="32"/>
      <c r="Q725" s="32"/>
      <c r="R725" s="32"/>
      <c r="S725" s="32"/>
      <c r="T725" s="32"/>
      <c r="U725" s="32"/>
      <c r="V725" s="32"/>
      <c r="W725" s="32"/>
      <c r="X725" s="1750">
        <f t="shared" si="22"/>
        <v>0</v>
      </c>
      <c r="Y725" s="175">
        <f t="shared" si="23"/>
        <v>0</v>
      </c>
    </row>
    <row r="726" spans="1:25" ht="30" x14ac:dyDescent="0.25">
      <c r="A726" s="32"/>
      <c r="B726" s="32"/>
      <c r="C726" s="32"/>
      <c r="D726" s="32"/>
      <c r="E726" s="32"/>
      <c r="F726" s="32"/>
      <c r="G726" s="1340" t="s">
        <v>2688</v>
      </c>
      <c r="H726" s="66" t="str">
        <f>'BID II'!B2238</f>
        <v>Belanja Pemeliharaan Peralatan</v>
      </c>
      <c r="I726" s="470">
        <f>SUM('BID II'!F2239:F2241)</f>
        <v>5880000</v>
      </c>
      <c r="J726" s="66" t="s">
        <v>2620</v>
      </c>
      <c r="K726" s="1797" t="s">
        <v>3030</v>
      </c>
      <c r="L726" s="32"/>
      <c r="M726" s="32"/>
      <c r="N726" s="32"/>
      <c r="O726" s="32"/>
      <c r="P726" s="32"/>
      <c r="Q726" s="32"/>
      <c r="R726" s="32"/>
      <c r="S726" s="497">
        <v>5880000</v>
      </c>
      <c r="T726" s="32"/>
      <c r="U726" s="32"/>
      <c r="V726" s="32"/>
      <c r="W726" s="32"/>
      <c r="X726" s="1750">
        <f t="shared" si="22"/>
        <v>5880000</v>
      </c>
      <c r="Y726" s="175">
        <f t="shared" si="23"/>
        <v>0</v>
      </c>
    </row>
    <row r="727" spans="1:25" ht="75" x14ac:dyDescent="0.25">
      <c r="A727" s="1344">
        <v>2</v>
      </c>
      <c r="B727" s="1344">
        <v>4</v>
      </c>
      <c r="C727" s="1346" t="s">
        <v>2709</v>
      </c>
      <c r="D727" s="1344"/>
      <c r="E727" s="1344"/>
      <c r="F727" s="1344"/>
      <c r="G727" s="1344"/>
      <c r="H727" s="1345" t="str">
        <f>'BID II'!B2257</f>
        <v>Pemeliharaan taman Milik Desa (Biopori dan Penataan Taman di Patung Petani, depan kertapala)</v>
      </c>
      <c r="I727" s="1347">
        <f>SUM(I728:I732)</f>
        <v>43645000</v>
      </c>
      <c r="J727" s="1345" t="s">
        <v>2626</v>
      </c>
      <c r="K727" s="1796" t="s">
        <v>3030</v>
      </c>
      <c r="L727" s="1344"/>
      <c r="M727" s="1344"/>
      <c r="N727" s="1344"/>
      <c r="O727" s="1344"/>
      <c r="P727" s="1344"/>
      <c r="Q727" s="1344"/>
      <c r="R727" s="1344"/>
      <c r="S727" s="1344"/>
      <c r="T727" s="1344"/>
      <c r="U727" s="1344"/>
      <c r="V727" s="1344"/>
      <c r="W727" s="1344"/>
      <c r="X727" s="1353">
        <f t="shared" si="22"/>
        <v>0</v>
      </c>
      <c r="Y727" s="175">
        <f t="shared" si="23"/>
        <v>-43645000</v>
      </c>
    </row>
    <row r="728" spans="1:25" ht="30" x14ac:dyDescent="0.25">
      <c r="A728" s="32"/>
      <c r="B728" s="32"/>
      <c r="C728" s="32"/>
      <c r="D728" s="32">
        <v>5</v>
      </c>
      <c r="E728" s="32">
        <v>3</v>
      </c>
      <c r="F728" s="32"/>
      <c r="G728" s="32"/>
      <c r="H728" s="66" t="str">
        <f>'BID II'!B2263</f>
        <v xml:space="preserve">Belanja Modal </v>
      </c>
      <c r="I728" s="470"/>
      <c r="J728" s="66"/>
      <c r="K728" s="1797" t="s">
        <v>3030</v>
      </c>
      <c r="L728" s="32"/>
      <c r="M728" s="32"/>
      <c r="N728" s="32"/>
      <c r="O728" s="32"/>
      <c r="P728" s="32"/>
      <c r="Q728" s="32"/>
      <c r="R728" s="32"/>
      <c r="S728" s="32"/>
      <c r="T728" s="32"/>
      <c r="U728" s="32"/>
      <c r="V728" s="32"/>
      <c r="W728" s="32"/>
      <c r="X728" s="1750">
        <f t="shared" si="22"/>
        <v>0</v>
      </c>
      <c r="Y728" s="175">
        <f t="shared" si="23"/>
        <v>0</v>
      </c>
    </row>
    <row r="729" spans="1:25" ht="30" x14ac:dyDescent="0.25">
      <c r="A729" s="32"/>
      <c r="B729" s="32"/>
      <c r="C729" s="32"/>
      <c r="D729" s="32"/>
      <c r="E729" s="32"/>
      <c r="F729" s="32">
        <v>4</v>
      </c>
      <c r="G729" s="32"/>
      <c r="H729" s="66" t="str">
        <f>'BID II'!B2264</f>
        <v>Belanja Modal Gedung Bangunan dan Taman</v>
      </c>
      <c r="I729" s="470"/>
      <c r="J729" s="66"/>
      <c r="K729" s="1797" t="s">
        <v>3030</v>
      </c>
      <c r="L729" s="32"/>
      <c r="M729" s="32"/>
      <c r="N729" s="32"/>
      <c r="O729" s="32"/>
      <c r="P729" s="32"/>
      <c r="Q729" s="32"/>
      <c r="R729" s="32"/>
      <c r="S729" s="32"/>
      <c r="T729" s="32"/>
      <c r="U729" s="32"/>
      <c r="V729" s="32"/>
      <c r="W729" s="32"/>
      <c r="X729" s="1750">
        <f t="shared" si="22"/>
        <v>0</v>
      </c>
      <c r="Y729" s="175">
        <f t="shared" si="23"/>
        <v>0</v>
      </c>
    </row>
    <row r="730" spans="1:25" ht="30" x14ac:dyDescent="0.25">
      <c r="A730" s="32"/>
      <c r="B730" s="32"/>
      <c r="C730" s="32"/>
      <c r="D730" s="32"/>
      <c r="E730" s="32"/>
      <c r="F730" s="32"/>
      <c r="G730" s="1340" t="s">
        <v>2688</v>
      </c>
      <c r="H730" s="66" t="str">
        <f>'BID II'!B2265</f>
        <v>Honorarium Tim Yang Melaksanakan Kegiatan</v>
      </c>
      <c r="I730" s="470">
        <f>SUM('BID II'!F2267)</f>
        <v>855000</v>
      </c>
      <c r="J730" s="66" t="s">
        <v>2626</v>
      </c>
      <c r="K730" s="1797" t="s">
        <v>3030</v>
      </c>
      <c r="L730" s="32"/>
      <c r="M730" s="32"/>
      <c r="N730" s="497">
        <v>855000</v>
      </c>
      <c r="O730" s="32"/>
      <c r="P730" s="32"/>
      <c r="Q730" s="32"/>
      <c r="R730" s="32"/>
      <c r="S730" s="32"/>
      <c r="T730" s="32"/>
      <c r="U730" s="32"/>
      <c r="V730" s="32"/>
      <c r="W730" s="32"/>
      <c r="X730" s="1750">
        <f t="shared" si="22"/>
        <v>855000</v>
      </c>
      <c r="Y730" s="175">
        <f t="shared" si="23"/>
        <v>0</v>
      </c>
    </row>
    <row r="731" spans="1:25" ht="30" x14ac:dyDescent="0.25">
      <c r="A731" s="32"/>
      <c r="B731" s="32"/>
      <c r="C731" s="32"/>
      <c r="D731" s="32"/>
      <c r="E731" s="32"/>
      <c r="F731" s="32"/>
      <c r="G731" s="1340" t="s">
        <v>2702</v>
      </c>
      <c r="H731" s="32" t="str">
        <f>'BID II'!B2268</f>
        <v>Belanja Upah</v>
      </c>
      <c r="I731" s="470">
        <f>'BID II'!F2270</f>
        <v>650000</v>
      </c>
      <c r="J731" s="66" t="s">
        <v>2626</v>
      </c>
      <c r="K731" s="1797" t="s">
        <v>3030</v>
      </c>
      <c r="L731" s="32"/>
      <c r="M731" s="32"/>
      <c r="N731" s="497">
        <v>650000</v>
      </c>
      <c r="O731" s="32"/>
      <c r="P731" s="32"/>
      <c r="Q731" s="32"/>
      <c r="R731" s="32"/>
      <c r="S731" s="32"/>
      <c r="T731" s="32"/>
      <c r="U731" s="32"/>
      <c r="V731" s="32"/>
      <c r="W731" s="32"/>
      <c r="X731" s="1750">
        <f t="shared" si="22"/>
        <v>650000</v>
      </c>
      <c r="Y731" s="175">
        <f t="shared" si="23"/>
        <v>0</v>
      </c>
    </row>
    <row r="732" spans="1:25" ht="30" x14ac:dyDescent="0.25">
      <c r="A732" s="32"/>
      <c r="B732" s="32"/>
      <c r="C732" s="32"/>
      <c r="D732" s="32"/>
      <c r="E732" s="32"/>
      <c r="F732" s="32"/>
      <c r="G732" s="1340" t="s">
        <v>2703</v>
      </c>
      <c r="H732" s="32" t="str">
        <f>'BID II'!B2271</f>
        <v>Bahan Baku</v>
      </c>
      <c r="I732" s="470">
        <f>'BID II'!F2279</f>
        <v>42140000</v>
      </c>
      <c r="J732" s="66" t="s">
        <v>2626</v>
      </c>
      <c r="K732" s="1797" t="s">
        <v>3030</v>
      </c>
      <c r="L732" s="32"/>
      <c r="M732" s="32"/>
      <c r="N732" s="497">
        <v>42140000</v>
      </c>
      <c r="O732" s="32"/>
      <c r="P732" s="32"/>
      <c r="Q732" s="32"/>
      <c r="R732" s="32"/>
      <c r="S732" s="32"/>
      <c r="T732" s="32"/>
      <c r="U732" s="32"/>
      <c r="V732" s="32"/>
      <c r="W732" s="32"/>
      <c r="X732" s="1750">
        <f t="shared" si="22"/>
        <v>42140000</v>
      </c>
      <c r="Y732" s="175">
        <f t="shared" si="23"/>
        <v>0</v>
      </c>
    </row>
    <row r="733" spans="1:25" ht="75" x14ac:dyDescent="0.25">
      <c r="A733" s="1344">
        <v>2</v>
      </c>
      <c r="B733" s="1344">
        <v>6</v>
      </c>
      <c r="C733" s="1346" t="s">
        <v>2702</v>
      </c>
      <c r="D733" s="1344"/>
      <c r="E733" s="1344"/>
      <c r="F733" s="1344"/>
      <c r="G733" s="1344"/>
      <c r="H733" s="1345" t="str">
        <f>'BID II'!B2296</f>
        <v>: Penyelenggaraan Informasi Publik Desa ( Pembuatan dan Pemasangan Baliho APBDesa )</v>
      </c>
      <c r="I733" s="1349">
        <f>I736</f>
        <v>3000000</v>
      </c>
      <c r="J733" s="1345" t="s">
        <v>2626</v>
      </c>
      <c r="K733" s="1344" t="s">
        <v>2994</v>
      </c>
      <c r="L733" s="1344"/>
      <c r="M733" s="1344"/>
      <c r="N733" s="1344"/>
      <c r="O733" s="1344"/>
      <c r="P733" s="1344"/>
      <c r="Q733" s="1344"/>
      <c r="R733" s="1344"/>
      <c r="S733" s="1344"/>
      <c r="T733" s="1344"/>
      <c r="U733" s="1344"/>
      <c r="V733" s="1344"/>
      <c r="W733" s="1344"/>
      <c r="X733" s="1353">
        <f t="shared" si="22"/>
        <v>0</v>
      </c>
      <c r="Y733" s="175">
        <f t="shared" si="23"/>
        <v>-3000000</v>
      </c>
    </row>
    <row r="734" spans="1:25" x14ac:dyDescent="0.25">
      <c r="A734" s="32"/>
      <c r="B734" s="32"/>
      <c r="C734" s="32"/>
      <c r="D734" s="32">
        <v>5</v>
      </c>
      <c r="E734" s="32">
        <v>2</v>
      </c>
      <c r="F734" s="32"/>
      <c r="G734" s="32"/>
      <c r="H734" s="66" t="str">
        <f>'BID II'!B2302</f>
        <v>Belanja Barang Jasa</v>
      </c>
      <c r="I734" s="32"/>
      <c r="J734" s="66"/>
      <c r="K734" s="32" t="s">
        <v>2994</v>
      </c>
      <c r="L734" s="32"/>
      <c r="M734" s="32"/>
      <c r="N734" s="32"/>
      <c r="O734" s="32"/>
      <c r="P734" s="32"/>
      <c r="Q734" s="32"/>
      <c r="R734" s="32"/>
      <c r="S734" s="32"/>
      <c r="T734" s="32"/>
      <c r="U734" s="32"/>
      <c r="V734" s="32"/>
      <c r="W734" s="32"/>
      <c r="X734" s="1750">
        <f t="shared" si="22"/>
        <v>0</v>
      </c>
      <c r="Y734" s="175">
        <f t="shared" si="23"/>
        <v>0</v>
      </c>
    </row>
    <row r="735" spans="1:25" ht="30" x14ac:dyDescent="0.25">
      <c r="A735" s="32"/>
      <c r="B735" s="32"/>
      <c r="C735" s="32"/>
      <c r="D735" s="32"/>
      <c r="E735" s="32"/>
      <c r="F735" s="32">
        <v>1</v>
      </c>
      <c r="G735" s="32"/>
      <c r="H735" s="66" t="str">
        <f>'BID II'!B2303</f>
        <v>Belanaj Barang Perlengkapan</v>
      </c>
      <c r="I735" s="32"/>
      <c r="J735" s="66"/>
      <c r="K735" s="32" t="s">
        <v>2994</v>
      </c>
      <c r="L735" s="32"/>
      <c r="M735" s="32"/>
      <c r="N735" s="32"/>
      <c r="O735" s="32"/>
      <c r="P735" s="32"/>
      <c r="Q735" s="32"/>
      <c r="R735" s="32"/>
      <c r="S735" s="32"/>
      <c r="T735" s="32"/>
      <c r="U735" s="32"/>
      <c r="V735" s="32"/>
      <c r="W735" s="32"/>
      <c r="X735" s="1750">
        <f t="shared" si="22"/>
        <v>0</v>
      </c>
      <c r="Y735" s="175">
        <f t="shared" si="23"/>
        <v>0</v>
      </c>
    </row>
    <row r="736" spans="1:25" ht="45" x14ac:dyDescent="0.25">
      <c r="A736" s="32"/>
      <c r="B736" s="32"/>
      <c r="C736" s="32"/>
      <c r="D736" s="32"/>
      <c r="E736" s="32"/>
      <c r="F736" s="32"/>
      <c r="G736" s="1340" t="s">
        <v>2706</v>
      </c>
      <c r="H736" s="66" t="str">
        <f>'BID II'!B2304</f>
        <v>Belanja perlengkapan cetak/ pengadaan (Baliho APBDes)</v>
      </c>
      <c r="I736" s="174">
        <f>SUM('BID II'!F2304)</f>
        <v>3000000</v>
      </c>
      <c r="J736" s="66" t="s">
        <v>2626</v>
      </c>
      <c r="K736" s="32" t="s">
        <v>2994</v>
      </c>
      <c r="L736" s="32"/>
      <c r="M736" s="497">
        <v>3000000</v>
      </c>
      <c r="N736" s="32"/>
      <c r="O736" s="32"/>
      <c r="P736" s="32"/>
      <c r="Q736" s="32"/>
      <c r="R736" s="32"/>
      <c r="S736" s="32"/>
      <c r="T736" s="32"/>
      <c r="U736" s="32"/>
      <c r="V736" s="32"/>
      <c r="W736" s="32"/>
      <c r="X736" s="1750">
        <f t="shared" ref="X736:X799" si="24">SUM(L736:W736)</f>
        <v>3000000</v>
      </c>
      <c r="Y736" s="175">
        <f t="shared" si="23"/>
        <v>0</v>
      </c>
    </row>
    <row r="737" spans="1:25" ht="30" x14ac:dyDescent="0.25">
      <c r="A737" s="1342">
        <v>3</v>
      </c>
      <c r="B737" s="1342"/>
      <c r="C737" s="1342"/>
      <c r="D737" s="1342"/>
      <c r="E737" s="1342"/>
      <c r="F737" s="1342"/>
      <c r="G737" s="1342"/>
      <c r="H737" s="1343" t="str">
        <f>'BID III'!B27</f>
        <v>: Pembinaan Kemasyarakatan Desa</v>
      </c>
      <c r="I737" s="1351">
        <f>I739+I747+I755+I765+I775+I785+I806+I810+I814+I819+I824+I831+I835+I839+I852+I883+I894+I898+I925+I933+I942</f>
        <v>1865337418</v>
      </c>
      <c r="J737" s="1343"/>
      <c r="K737" s="1356"/>
      <c r="L737" s="1351"/>
      <c r="M737" s="1342"/>
      <c r="N737" s="1342"/>
      <c r="O737" s="1342"/>
      <c r="P737" s="1342"/>
      <c r="Q737" s="1342"/>
      <c r="R737" s="1342"/>
      <c r="S737" s="1342"/>
      <c r="T737" s="1342"/>
      <c r="U737" s="1342"/>
      <c r="V737" s="1342"/>
      <c r="W737" s="1342"/>
      <c r="X737" s="1799">
        <f t="shared" si="24"/>
        <v>0</v>
      </c>
      <c r="Y737" s="175">
        <f t="shared" si="23"/>
        <v>-1865337418</v>
      </c>
    </row>
    <row r="738" spans="1:25" ht="45" x14ac:dyDescent="0.25">
      <c r="A738" s="1344"/>
      <c r="B738" s="1344"/>
      <c r="C738" s="1344"/>
      <c r="D738" s="1344"/>
      <c r="E738" s="1344"/>
      <c r="F738" s="1344"/>
      <c r="G738" s="1344"/>
      <c r="H738" s="1345" t="str">
        <f>'BID III'!B28</f>
        <v>: Ketentraman, Ketertiban Umum, dan Perlindungan Masyarakat</v>
      </c>
      <c r="I738" s="1344"/>
      <c r="J738" s="1345"/>
      <c r="K738" s="1349"/>
      <c r="L738" s="1344"/>
      <c r="M738" s="1344"/>
      <c r="N738" s="1344"/>
      <c r="O738" s="1344"/>
      <c r="P738" s="1344"/>
      <c r="Q738" s="1344"/>
      <c r="R738" s="1344"/>
      <c r="S738" s="1344"/>
      <c r="T738" s="1344"/>
      <c r="U738" s="1344"/>
      <c r="V738" s="1344"/>
      <c r="W738" s="1344"/>
      <c r="X738" s="1353">
        <f t="shared" si="24"/>
        <v>0</v>
      </c>
      <c r="Y738" s="175">
        <f t="shared" si="23"/>
        <v>0</v>
      </c>
    </row>
    <row r="739" spans="1:25" ht="75" x14ac:dyDescent="0.25">
      <c r="A739" s="1344">
        <v>3</v>
      </c>
      <c r="B739" s="1344">
        <v>1</v>
      </c>
      <c r="C739" s="1346" t="s">
        <v>2703</v>
      </c>
      <c r="D739" s="1344"/>
      <c r="E739" s="1344"/>
      <c r="F739" s="1344"/>
      <c r="G739" s="1344"/>
      <c r="H739" s="1345" t="str">
        <f>'BID III'!B29</f>
        <v>:Koordinasi Pembinaan Ketentraman, Ketertiban, dan Perlindungan Masyarakat (Pengamanan Pengerupukan)</v>
      </c>
      <c r="I739" s="1347">
        <f>SUM(I740:I746)</f>
        <v>7040000</v>
      </c>
      <c r="J739" s="1345" t="s">
        <v>1682</v>
      </c>
      <c r="K739" s="1345" t="s">
        <v>2992</v>
      </c>
      <c r="L739" s="1344"/>
      <c r="M739" s="1344"/>
      <c r="N739" s="1344"/>
      <c r="O739" s="1344"/>
      <c r="P739" s="1344"/>
      <c r="Q739" s="1344"/>
      <c r="R739" s="1344"/>
      <c r="S739" s="1344"/>
      <c r="T739" s="1344"/>
      <c r="U739" s="1344"/>
      <c r="V739" s="1344"/>
      <c r="W739" s="1344"/>
      <c r="X739" s="1353">
        <f t="shared" si="24"/>
        <v>0</v>
      </c>
      <c r="Y739" s="175">
        <f t="shared" si="23"/>
        <v>-7040000</v>
      </c>
    </row>
    <row r="740" spans="1:25" ht="30" x14ac:dyDescent="0.25">
      <c r="A740" s="32"/>
      <c r="B740" s="32"/>
      <c r="C740" s="32"/>
      <c r="D740" s="32">
        <v>5</v>
      </c>
      <c r="E740" s="32">
        <v>2</v>
      </c>
      <c r="F740" s="32"/>
      <c r="G740" s="32"/>
      <c r="H740" s="66" t="str">
        <f>'BID III'!B35</f>
        <v>Belanja Barang dan Jasa</v>
      </c>
      <c r="I740" s="32"/>
      <c r="J740" s="66"/>
      <c r="K740" s="66" t="s">
        <v>2992</v>
      </c>
      <c r="L740" s="32"/>
      <c r="M740" s="32"/>
      <c r="N740" s="32"/>
      <c r="O740" s="32"/>
      <c r="P740" s="32"/>
      <c r="Q740" s="32"/>
      <c r="R740" s="32"/>
      <c r="S740" s="32"/>
      <c r="T740" s="32"/>
      <c r="U740" s="32"/>
      <c r="V740" s="32"/>
      <c r="W740" s="32"/>
      <c r="X740" s="1750">
        <f t="shared" si="24"/>
        <v>0</v>
      </c>
      <c r="Y740" s="175">
        <f t="shared" si="23"/>
        <v>0</v>
      </c>
    </row>
    <row r="741" spans="1:25" ht="30" x14ac:dyDescent="0.25">
      <c r="A741" s="32"/>
      <c r="B741" s="32"/>
      <c r="C741" s="32"/>
      <c r="D741" s="32"/>
      <c r="E741" s="32"/>
      <c r="F741" s="32">
        <v>1</v>
      </c>
      <c r="G741" s="32"/>
      <c r="H741" s="66" t="str">
        <f>'BID III'!B36</f>
        <v>Belanja Barang Perlengkapan</v>
      </c>
      <c r="I741" s="32"/>
      <c r="J741" s="66"/>
      <c r="K741" s="66" t="s">
        <v>2992</v>
      </c>
      <c r="L741" s="32"/>
      <c r="M741" s="32"/>
      <c r="N741" s="32"/>
      <c r="O741" s="32"/>
      <c r="P741" s="32"/>
      <c r="Q741" s="32"/>
      <c r="R741" s="32"/>
      <c r="S741" s="32"/>
      <c r="T741" s="32"/>
      <c r="U741" s="32"/>
      <c r="V741" s="32"/>
      <c r="W741" s="32"/>
      <c r="X741" s="1750">
        <f t="shared" si="24"/>
        <v>0</v>
      </c>
      <c r="Y741" s="175">
        <f t="shared" si="23"/>
        <v>0</v>
      </c>
    </row>
    <row r="742" spans="1:25" ht="30" x14ac:dyDescent="0.25">
      <c r="A742" s="32"/>
      <c r="B742" s="32"/>
      <c r="C742" s="32"/>
      <c r="D742" s="32"/>
      <c r="E742" s="32"/>
      <c r="F742" s="32"/>
      <c r="G742" s="1340" t="s">
        <v>2705</v>
      </c>
      <c r="H742" s="66" t="str">
        <f>'BID III'!B37</f>
        <v>Belanja Perlengkapan Barang Konsumsi</v>
      </c>
      <c r="I742" s="513">
        <f>SUM('BID III'!F38:F39)</f>
        <v>3375000</v>
      </c>
      <c r="J742" s="66" t="s">
        <v>1682</v>
      </c>
      <c r="K742" s="66" t="s">
        <v>2992</v>
      </c>
      <c r="L742" s="32"/>
      <c r="M742" s="32"/>
      <c r="N742" s="497">
        <v>3375000</v>
      </c>
      <c r="O742" s="32"/>
      <c r="P742" s="32"/>
      <c r="Q742" s="32"/>
      <c r="R742" s="32"/>
      <c r="S742" s="32"/>
      <c r="T742" s="32"/>
      <c r="U742" s="32"/>
      <c r="V742" s="32"/>
      <c r="W742" s="32"/>
      <c r="X742" s="1750">
        <f t="shared" si="24"/>
        <v>3375000</v>
      </c>
      <c r="Y742" s="175">
        <f t="shared" si="23"/>
        <v>0</v>
      </c>
    </row>
    <row r="743" spans="1:25" ht="30" x14ac:dyDescent="0.25">
      <c r="A743" s="32"/>
      <c r="B743" s="32"/>
      <c r="C743" s="32"/>
      <c r="D743" s="32"/>
      <c r="E743" s="32"/>
      <c r="F743" s="32"/>
      <c r="G743" s="1340" t="s">
        <v>2708</v>
      </c>
      <c r="H743" s="66" t="str">
        <f>'BID III'!B40</f>
        <v>Belanaja Bahan Meterial</v>
      </c>
      <c r="I743" s="32"/>
      <c r="J743" s="66"/>
      <c r="K743" s="66" t="s">
        <v>2992</v>
      </c>
      <c r="L743" s="32"/>
      <c r="M743" s="32"/>
      <c r="N743" s="497"/>
      <c r="O743" s="32"/>
      <c r="P743" s="32"/>
      <c r="Q743" s="32"/>
      <c r="R743" s="32"/>
      <c r="S743" s="32"/>
      <c r="T743" s="32"/>
      <c r="U743" s="32"/>
      <c r="V743" s="32"/>
      <c r="W743" s="32"/>
      <c r="X743" s="1750">
        <f t="shared" si="24"/>
        <v>0</v>
      </c>
      <c r="Y743" s="175">
        <f t="shared" si="23"/>
        <v>0</v>
      </c>
    </row>
    <row r="744" spans="1:25" ht="30" x14ac:dyDescent="0.25">
      <c r="A744" s="32"/>
      <c r="B744" s="32"/>
      <c r="C744" s="32"/>
      <c r="D744" s="32"/>
      <c r="E744" s="32"/>
      <c r="F744" s="32"/>
      <c r="G744" s="32">
        <v>90</v>
      </c>
      <c r="H744" s="66" t="str">
        <f>'BID III'!B41</f>
        <v>Belanja Upakara, Upacara Dan Aci</v>
      </c>
      <c r="I744" s="513">
        <f>SUM('BID III'!F42:F44)</f>
        <v>65000</v>
      </c>
      <c r="J744" s="66" t="s">
        <v>1682</v>
      </c>
      <c r="K744" s="66" t="s">
        <v>2992</v>
      </c>
      <c r="L744" s="32"/>
      <c r="M744" s="32"/>
      <c r="N744" s="497">
        <v>65000</v>
      </c>
      <c r="O744" s="32"/>
      <c r="P744" s="32"/>
      <c r="Q744" s="32"/>
      <c r="R744" s="32"/>
      <c r="S744" s="32"/>
      <c r="T744" s="32"/>
      <c r="U744" s="32"/>
      <c r="V744" s="32"/>
      <c r="W744" s="32"/>
      <c r="X744" s="1750">
        <f t="shared" si="24"/>
        <v>65000</v>
      </c>
      <c r="Y744" s="175">
        <f t="shared" si="23"/>
        <v>0</v>
      </c>
    </row>
    <row r="745" spans="1:25" ht="30" x14ac:dyDescent="0.25">
      <c r="A745" s="32"/>
      <c r="B745" s="32"/>
      <c r="C745" s="32"/>
      <c r="D745" s="32">
        <v>5</v>
      </c>
      <c r="E745" s="32">
        <v>2</v>
      </c>
      <c r="F745" s="32">
        <v>2</v>
      </c>
      <c r="G745" s="32"/>
      <c r="H745" s="66" t="str">
        <f>'BID III'!B45</f>
        <v>Belanja Jasa Honorarium</v>
      </c>
      <c r="I745" s="32"/>
      <c r="J745" s="66"/>
      <c r="K745" s="66" t="s">
        <v>2992</v>
      </c>
      <c r="L745" s="32"/>
      <c r="M745" s="32"/>
      <c r="N745" s="497"/>
      <c r="O745" s="32"/>
      <c r="P745" s="32"/>
      <c r="Q745" s="32"/>
      <c r="R745" s="32"/>
      <c r="S745" s="32"/>
      <c r="T745" s="32"/>
      <c r="U745" s="32"/>
      <c r="V745" s="32"/>
      <c r="W745" s="32"/>
      <c r="X745" s="1750">
        <f t="shared" si="24"/>
        <v>0</v>
      </c>
      <c r="Y745" s="175">
        <f t="shared" si="23"/>
        <v>0</v>
      </c>
    </row>
    <row r="746" spans="1:25" ht="30" x14ac:dyDescent="0.25">
      <c r="A746" s="32"/>
      <c r="B746" s="32"/>
      <c r="C746" s="32"/>
      <c r="D746" s="32"/>
      <c r="E746" s="32"/>
      <c r="F746" s="32"/>
      <c r="G746" s="1340" t="s">
        <v>2706</v>
      </c>
      <c r="H746" s="66" t="str">
        <f>'BID III'!B46</f>
        <v>Belanja Jasa Honorarium Petugas</v>
      </c>
      <c r="I746" s="513">
        <f>SUM('BID III'!F46)</f>
        <v>3600000</v>
      </c>
      <c r="J746" s="66" t="s">
        <v>1682</v>
      </c>
      <c r="K746" s="66" t="s">
        <v>2992</v>
      </c>
      <c r="L746" s="32"/>
      <c r="M746" s="32"/>
      <c r="N746" s="497">
        <v>3600000</v>
      </c>
      <c r="O746" s="32"/>
      <c r="P746" s="32"/>
      <c r="Q746" s="32"/>
      <c r="R746" s="32"/>
      <c r="S746" s="32"/>
      <c r="T746" s="32"/>
      <c r="U746" s="32"/>
      <c r="V746" s="32"/>
      <c r="W746" s="32"/>
      <c r="X746" s="1750">
        <f t="shared" si="24"/>
        <v>3600000</v>
      </c>
      <c r="Y746" s="175">
        <f t="shared" ref="Y746:Y809" si="25">X746-I746</f>
        <v>0</v>
      </c>
    </row>
    <row r="747" spans="1:25" ht="75" x14ac:dyDescent="0.25">
      <c r="A747" s="1344">
        <v>3</v>
      </c>
      <c r="B747" s="1344">
        <v>1</v>
      </c>
      <c r="C747" s="1346" t="s">
        <v>2702</v>
      </c>
      <c r="D747" s="1344"/>
      <c r="E747" s="1344"/>
      <c r="F747" s="1344"/>
      <c r="G747" s="1344"/>
      <c r="H747" s="1345" t="str">
        <f>'BID III'!B62</f>
        <v>: Koordinasi Pembinaan Ketentraman, Ketertiban, dan Perlindungan Masyarakat (Pengamanan Tahun Baru)</v>
      </c>
      <c r="I747" s="1347">
        <f>SUM(I748:I754)</f>
        <v>8540000</v>
      </c>
      <c r="J747" s="1345" t="s">
        <v>2626</v>
      </c>
      <c r="K747" s="1345" t="s">
        <v>2992</v>
      </c>
      <c r="L747" s="1344"/>
      <c r="M747" s="1344"/>
      <c r="N747" s="1344"/>
      <c r="O747" s="1344"/>
      <c r="P747" s="1344"/>
      <c r="Q747" s="1344"/>
      <c r="R747" s="1344"/>
      <c r="S747" s="1344"/>
      <c r="T747" s="1344"/>
      <c r="U747" s="1344"/>
      <c r="V747" s="1344"/>
      <c r="W747" s="1344"/>
      <c r="X747" s="1353">
        <f t="shared" si="24"/>
        <v>0</v>
      </c>
      <c r="Y747" s="175">
        <f t="shared" si="25"/>
        <v>-8540000</v>
      </c>
    </row>
    <row r="748" spans="1:25" ht="30" x14ac:dyDescent="0.25">
      <c r="A748" s="32"/>
      <c r="B748" s="32"/>
      <c r="C748" s="32"/>
      <c r="D748" s="32">
        <v>5</v>
      </c>
      <c r="E748" s="32">
        <v>2</v>
      </c>
      <c r="F748" s="32"/>
      <c r="G748" s="32"/>
      <c r="H748" s="66" t="str">
        <f>'BID III'!B68</f>
        <v>Belanja Barang dan Jasa</v>
      </c>
      <c r="I748" s="32"/>
      <c r="J748" s="66"/>
      <c r="K748" s="66" t="s">
        <v>2992</v>
      </c>
      <c r="L748" s="32"/>
      <c r="M748" s="32"/>
      <c r="N748" s="32"/>
      <c r="O748" s="32"/>
      <c r="P748" s="32"/>
      <c r="Q748" s="32"/>
      <c r="R748" s="32"/>
      <c r="S748" s="32"/>
      <c r="T748" s="32"/>
      <c r="U748" s="32"/>
      <c r="V748" s="32"/>
      <c r="W748" s="32"/>
      <c r="X748" s="1750">
        <f t="shared" si="24"/>
        <v>0</v>
      </c>
      <c r="Y748" s="175">
        <f t="shared" si="25"/>
        <v>0</v>
      </c>
    </row>
    <row r="749" spans="1:25" ht="30" x14ac:dyDescent="0.25">
      <c r="A749" s="32"/>
      <c r="B749" s="32"/>
      <c r="C749" s="32"/>
      <c r="D749" s="32"/>
      <c r="E749" s="32"/>
      <c r="F749" s="32">
        <v>1</v>
      </c>
      <c r="G749" s="32"/>
      <c r="H749" s="66" t="str">
        <f>'BID III'!B69</f>
        <v>Belanja Barang Perlengkapan</v>
      </c>
      <c r="I749" s="32"/>
      <c r="J749" s="66"/>
      <c r="K749" s="66" t="s">
        <v>2992</v>
      </c>
      <c r="L749" s="32"/>
      <c r="M749" s="32"/>
      <c r="N749" s="32"/>
      <c r="O749" s="32"/>
      <c r="P749" s="32"/>
      <c r="Q749" s="32"/>
      <c r="R749" s="32"/>
      <c r="S749" s="32"/>
      <c r="T749" s="32"/>
      <c r="U749" s="32"/>
      <c r="V749" s="32"/>
      <c r="W749" s="32"/>
      <c r="X749" s="1750">
        <f t="shared" si="24"/>
        <v>0</v>
      </c>
      <c r="Y749" s="175">
        <f t="shared" si="25"/>
        <v>0</v>
      </c>
    </row>
    <row r="750" spans="1:25" ht="30" x14ac:dyDescent="0.25">
      <c r="A750" s="32"/>
      <c r="B750" s="32"/>
      <c r="C750" s="32"/>
      <c r="D750" s="32"/>
      <c r="E750" s="32"/>
      <c r="F750" s="32"/>
      <c r="G750" s="1340" t="s">
        <v>2705</v>
      </c>
      <c r="H750" s="66" t="str">
        <f>'BID III'!B70</f>
        <v>Belanja Perlengkapan Barang Konsumsi</v>
      </c>
      <c r="I750" s="513">
        <f>SUM('BID III'!F71:F72)</f>
        <v>3375000</v>
      </c>
      <c r="J750" s="66" t="s">
        <v>2626</v>
      </c>
      <c r="K750" s="66" t="s">
        <v>2992</v>
      </c>
      <c r="L750" s="497">
        <v>3375000</v>
      </c>
      <c r="M750" s="32"/>
      <c r="N750" s="32"/>
      <c r="O750" s="32"/>
      <c r="P750" s="32"/>
      <c r="Q750" s="32"/>
      <c r="R750" s="32"/>
      <c r="S750" s="32"/>
      <c r="T750" s="32"/>
      <c r="U750" s="32"/>
      <c r="V750" s="32"/>
      <c r="W750" s="32"/>
      <c r="X750" s="1750">
        <f t="shared" si="24"/>
        <v>3375000</v>
      </c>
      <c r="Y750" s="175">
        <f t="shared" si="25"/>
        <v>0</v>
      </c>
    </row>
    <row r="751" spans="1:25" ht="30" x14ac:dyDescent="0.25">
      <c r="A751" s="32"/>
      <c r="B751" s="32"/>
      <c r="C751" s="32"/>
      <c r="D751" s="32"/>
      <c r="E751" s="32"/>
      <c r="F751" s="32"/>
      <c r="G751" s="1340" t="s">
        <v>2708</v>
      </c>
      <c r="H751" s="66" t="str">
        <f>'BID III'!B73</f>
        <v>Belanaja Bahan Meterial</v>
      </c>
      <c r="I751" s="32"/>
      <c r="J751" s="66"/>
      <c r="K751" s="66" t="s">
        <v>2992</v>
      </c>
      <c r="L751" s="497"/>
      <c r="M751" s="32"/>
      <c r="N751" s="32"/>
      <c r="O751" s="32"/>
      <c r="P751" s="32"/>
      <c r="Q751" s="32"/>
      <c r="R751" s="32"/>
      <c r="S751" s="32"/>
      <c r="T751" s="32"/>
      <c r="U751" s="32"/>
      <c r="V751" s="32"/>
      <c r="W751" s="32"/>
      <c r="X751" s="1750">
        <f t="shared" si="24"/>
        <v>0</v>
      </c>
      <c r="Y751" s="175">
        <f t="shared" si="25"/>
        <v>0</v>
      </c>
    </row>
    <row r="752" spans="1:25" ht="30" x14ac:dyDescent="0.25">
      <c r="A752" s="32"/>
      <c r="B752" s="32"/>
      <c r="C752" s="32"/>
      <c r="D752" s="32"/>
      <c r="E752" s="32"/>
      <c r="F752" s="32"/>
      <c r="G752" s="32">
        <v>90</v>
      </c>
      <c r="H752" s="66" t="str">
        <f>'BID III'!B74</f>
        <v>Belanja Upakara, Upacara Dan Aci</v>
      </c>
      <c r="I752" s="513">
        <f>SUM('BID III'!F75:F77)</f>
        <v>65000</v>
      </c>
      <c r="J752" s="66" t="s">
        <v>2626</v>
      </c>
      <c r="K752" s="66" t="s">
        <v>2992</v>
      </c>
      <c r="L752" s="497">
        <v>65000</v>
      </c>
      <c r="M752" s="32"/>
      <c r="N752" s="32"/>
      <c r="O752" s="32"/>
      <c r="P752" s="32"/>
      <c r="Q752" s="32"/>
      <c r="R752" s="32"/>
      <c r="S752" s="32"/>
      <c r="T752" s="32"/>
      <c r="U752" s="32"/>
      <c r="V752" s="32"/>
      <c r="W752" s="32"/>
      <c r="X752" s="1750">
        <f t="shared" si="24"/>
        <v>65000</v>
      </c>
      <c r="Y752" s="175">
        <f t="shared" si="25"/>
        <v>0</v>
      </c>
    </row>
    <row r="753" spans="1:25" ht="30" x14ac:dyDescent="0.25">
      <c r="A753" s="32"/>
      <c r="B753" s="32"/>
      <c r="C753" s="32"/>
      <c r="D753" s="32">
        <v>5</v>
      </c>
      <c r="E753" s="32">
        <v>2</v>
      </c>
      <c r="F753" s="32">
        <v>2</v>
      </c>
      <c r="G753" s="32"/>
      <c r="H753" s="66" t="str">
        <f>'BID III'!B78</f>
        <v>Belanja Jasa Honorarium</v>
      </c>
      <c r="I753" s="32"/>
      <c r="J753" s="66"/>
      <c r="K753" s="66" t="s">
        <v>2992</v>
      </c>
      <c r="L753" s="497"/>
      <c r="M753" s="32"/>
      <c r="N753" s="32"/>
      <c r="O753" s="32"/>
      <c r="P753" s="32"/>
      <c r="Q753" s="32"/>
      <c r="R753" s="32"/>
      <c r="S753" s="32"/>
      <c r="T753" s="32"/>
      <c r="U753" s="32"/>
      <c r="V753" s="32"/>
      <c r="W753" s="32"/>
      <c r="X753" s="1750">
        <f t="shared" si="24"/>
        <v>0</v>
      </c>
      <c r="Y753" s="175">
        <f t="shared" si="25"/>
        <v>0</v>
      </c>
    </row>
    <row r="754" spans="1:25" ht="30" x14ac:dyDescent="0.25">
      <c r="A754" s="32"/>
      <c r="B754" s="32"/>
      <c r="C754" s="32"/>
      <c r="D754" s="32"/>
      <c r="E754" s="32"/>
      <c r="F754" s="32"/>
      <c r="G754" s="1340" t="s">
        <v>2704</v>
      </c>
      <c r="H754" s="66" t="str">
        <f>'BID III'!B79</f>
        <v>Belanja Jasa Honorarium Petugas</v>
      </c>
      <c r="I754" s="513">
        <f>'BID III'!F79</f>
        <v>5100000</v>
      </c>
      <c r="J754" s="66" t="s">
        <v>2626</v>
      </c>
      <c r="K754" s="66" t="s">
        <v>2992</v>
      </c>
      <c r="L754" s="497">
        <v>5100000</v>
      </c>
      <c r="M754" s="32"/>
      <c r="N754" s="32"/>
      <c r="O754" s="32"/>
      <c r="P754" s="32"/>
      <c r="Q754" s="32"/>
      <c r="R754" s="32"/>
      <c r="S754" s="32"/>
      <c r="T754" s="32"/>
      <c r="U754" s="32"/>
      <c r="V754" s="32"/>
      <c r="W754" s="32"/>
      <c r="X754" s="1750">
        <f t="shared" si="24"/>
        <v>5100000</v>
      </c>
      <c r="Y754" s="175">
        <f t="shared" si="25"/>
        <v>0</v>
      </c>
    </row>
    <row r="755" spans="1:25" ht="75" x14ac:dyDescent="0.25">
      <c r="A755" s="1344">
        <v>3</v>
      </c>
      <c r="B755" s="1344">
        <v>1</v>
      </c>
      <c r="C755" s="1346" t="s">
        <v>2703</v>
      </c>
      <c r="D755" s="1344"/>
      <c r="E755" s="1344"/>
      <c r="F755" s="1344"/>
      <c r="G755" s="1344"/>
      <c r="H755" s="1345" t="str">
        <f>'BID III'!B95</f>
        <v>:Koordinasi Pembinaan Ketentraman, Ketertiban, dan Perlindungan Masyarakat (Penjagaan Linmas Desa)</v>
      </c>
      <c r="I755" s="1347">
        <f>SUM(I756:I764)</f>
        <v>416098660</v>
      </c>
      <c r="J755" s="1345"/>
      <c r="K755" s="1345" t="s">
        <v>2992</v>
      </c>
      <c r="L755" s="1344"/>
      <c r="M755" s="1344"/>
      <c r="N755" s="1344"/>
      <c r="O755" s="1344"/>
      <c r="P755" s="1344"/>
      <c r="Q755" s="1344"/>
      <c r="R755" s="1344"/>
      <c r="S755" s="1344"/>
      <c r="T755" s="1344"/>
      <c r="U755" s="1344"/>
      <c r="V755" s="1344"/>
      <c r="W755" s="1344"/>
      <c r="X755" s="1353">
        <f t="shared" si="24"/>
        <v>0</v>
      </c>
      <c r="Y755" s="175">
        <f t="shared" si="25"/>
        <v>-416098660</v>
      </c>
    </row>
    <row r="756" spans="1:25" ht="30" x14ac:dyDescent="0.25">
      <c r="A756" s="32"/>
      <c r="B756" s="32"/>
      <c r="C756" s="32"/>
      <c r="D756" s="32">
        <v>5</v>
      </c>
      <c r="E756" s="32">
        <v>2</v>
      </c>
      <c r="F756" s="32"/>
      <c r="G756" s="32"/>
      <c r="H756" s="66" t="str">
        <f>'BID III'!B100</f>
        <v>Belanja Barang Dan Jasa</v>
      </c>
      <c r="I756" s="32"/>
      <c r="J756" s="66"/>
      <c r="K756" s="66" t="s">
        <v>2992</v>
      </c>
      <c r="L756" s="32"/>
      <c r="M756" s="32"/>
      <c r="N756" s="32"/>
      <c r="O756" s="32"/>
      <c r="P756" s="32"/>
      <c r="Q756" s="32"/>
      <c r="R756" s="32"/>
      <c r="S756" s="32"/>
      <c r="T756" s="32"/>
      <c r="U756" s="32"/>
      <c r="V756" s="32"/>
      <c r="W756" s="32"/>
      <c r="X756" s="1750">
        <f t="shared" si="24"/>
        <v>0</v>
      </c>
      <c r="Y756" s="175">
        <f t="shared" si="25"/>
        <v>0</v>
      </c>
    </row>
    <row r="757" spans="1:25" ht="30" x14ac:dyDescent="0.25">
      <c r="A757" s="32"/>
      <c r="B757" s="32"/>
      <c r="C757" s="32"/>
      <c r="D757" s="32"/>
      <c r="E757" s="32"/>
      <c r="F757" s="32">
        <v>1</v>
      </c>
      <c r="G757" s="32"/>
      <c r="H757" s="66" t="str">
        <f>'BID III'!B101</f>
        <v>Belanja Barang Perlengkapan</v>
      </c>
      <c r="I757" s="32"/>
      <c r="J757" s="66"/>
      <c r="K757" s="66" t="s">
        <v>2992</v>
      </c>
      <c r="L757" s="32"/>
      <c r="M757" s="32"/>
      <c r="N757" s="32"/>
      <c r="O757" s="32"/>
      <c r="P757" s="32"/>
      <c r="Q757" s="32"/>
      <c r="R757" s="32"/>
      <c r="S757" s="32"/>
      <c r="T757" s="32"/>
      <c r="U757" s="32"/>
      <c r="V757" s="32"/>
      <c r="W757" s="32"/>
      <c r="X757" s="1750">
        <f t="shared" si="24"/>
        <v>0</v>
      </c>
      <c r="Y757" s="175">
        <f t="shared" si="25"/>
        <v>0</v>
      </c>
    </row>
    <row r="758" spans="1:25" ht="30" x14ac:dyDescent="0.25">
      <c r="A758" s="32"/>
      <c r="B758" s="32"/>
      <c r="C758" s="32"/>
      <c r="D758" s="32"/>
      <c r="E758" s="32"/>
      <c r="F758" s="32"/>
      <c r="G758" s="1340" t="s">
        <v>2706</v>
      </c>
      <c r="H758" s="66" t="str">
        <f>'BID III'!B102</f>
        <v>Belanja perlengkapan Cetak</v>
      </c>
      <c r="I758" s="513">
        <f>SUM('BID III'!F103:F104)</f>
        <v>300000</v>
      </c>
      <c r="J758" s="66" t="s">
        <v>1682</v>
      </c>
      <c r="K758" s="66" t="s">
        <v>2992</v>
      </c>
      <c r="L758" s="32"/>
      <c r="M758" s="32"/>
      <c r="N758" s="32"/>
      <c r="O758" s="32"/>
      <c r="P758" s="32"/>
      <c r="Q758" s="32"/>
      <c r="R758" s="32"/>
      <c r="S758" s="497">
        <v>300000</v>
      </c>
      <c r="T758" s="32"/>
      <c r="U758" s="32"/>
      <c r="V758" s="32"/>
      <c r="W758" s="32"/>
      <c r="X758" s="1750">
        <f t="shared" si="24"/>
        <v>300000</v>
      </c>
      <c r="Y758" s="175">
        <f t="shared" si="25"/>
        <v>0</v>
      </c>
    </row>
    <row r="759" spans="1:25" ht="60" x14ac:dyDescent="0.25">
      <c r="A759" s="32"/>
      <c r="B759" s="32"/>
      <c r="C759" s="32"/>
      <c r="D759" s="32"/>
      <c r="E759" s="32"/>
      <c r="F759" s="32"/>
      <c r="G759" s="1340" t="s">
        <v>2704</v>
      </c>
      <c r="H759" s="66" t="str">
        <f>'BID III'!B105</f>
        <v>Belanja Bahan Bakar Minyak/ gas/ isi Ulang Tabung Pemadam Kebakaran</v>
      </c>
      <c r="I759" s="513">
        <f>SUM('BID III'!F106:F107)</f>
        <v>15000000</v>
      </c>
      <c r="J759" s="66" t="s">
        <v>1682</v>
      </c>
      <c r="K759" s="66" t="s">
        <v>2992</v>
      </c>
      <c r="L759" s="32"/>
      <c r="M759" s="32"/>
      <c r="N759" s="32"/>
      <c r="O759" s="32"/>
      <c r="P759" s="32"/>
      <c r="Q759" s="32"/>
      <c r="R759" s="32"/>
      <c r="S759" s="497">
        <v>15000000</v>
      </c>
      <c r="T759" s="32"/>
      <c r="U759" s="32"/>
      <c r="V759" s="32"/>
      <c r="W759" s="32"/>
      <c r="X759" s="1750">
        <f t="shared" si="24"/>
        <v>15000000</v>
      </c>
      <c r="Y759" s="175">
        <f t="shared" si="25"/>
        <v>0</v>
      </c>
    </row>
    <row r="760" spans="1:25" ht="30" x14ac:dyDescent="0.25">
      <c r="A760" s="32"/>
      <c r="B760" s="32"/>
      <c r="C760" s="32"/>
      <c r="D760" s="32"/>
      <c r="E760" s="32"/>
      <c r="F760" s="32"/>
      <c r="G760" s="1340" t="s">
        <v>2708</v>
      </c>
      <c r="H760" s="66" t="str">
        <f>'BID III'!B108</f>
        <v>Belanja Bahan Meterial</v>
      </c>
      <c r="I760" s="513">
        <f>SUM('BID III'!F109:F116)</f>
        <v>136498660</v>
      </c>
      <c r="J760" s="66" t="s">
        <v>1682</v>
      </c>
      <c r="K760" s="66" t="s">
        <v>2992</v>
      </c>
      <c r="L760" s="32"/>
      <c r="M760" s="32"/>
      <c r="N760" s="32"/>
      <c r="O760" s="497">
        <v>136498660</v>
      </c>
      <c r="P760" s="32"/>
      <c r="Q760" s="32"/>
      <c r="R760" s="32"/>
      <c r="S760" s="32"/>
      <c r="T760" s="32"/>
      <c r="U760" s="32"/>
      <c r="V760" s="32"/>
      <c r="W760" s="32"/>
      <c r="X760" s="1750">
        <f t="shared" si="24"/>
        <v>136498660</v>
      </c>
      <c r="Y760" s="175">
        <f t="shared" si="25"/>
        <v>0</v>
      </c>
    </row>
    <row r="761" spans="1:25" ht="30" x14ac:dyDescent="0.25">
      <c r="A761" s="32"/>
      <c r="B761" s="32"/>
      <c r="C761" s="32"/>
      <c r="D761" s="32">
        <v>5</v>
      </c>
      <c r="E761" s="32">
        <v>2</v>
      </c>
      <c r="F761" s="32">
        <v>2</v>
      </c>
      <c r="G761" s="32"/>
      <c r="H761" s="66" t="str">
        <f>'BID III'!B117</f>
        <v>Belanja Jasa Honorarium</v>
      </c>
      <c r="I761" s="32"/>
      <c r="J761" s="66"/>
      <c r="K761" s="66" t="s">
        <v>2992</v>
      </c>
      <c r="L761" s="32"/>
      <c r="M761" s="32"/>
      <c r="N761" s="32"/>
      <c r="O761" s="32"/>
      <c r="P761" s="32"/>
      <c r="Q761" s="32"/>
      <c r="R761" s="32"/>
      <c r="S761" s="32"/>
      <c r="T761" s="32"/>
      <c r="U761" s="32"/>
      <c r="V761" s="32"/>
      <c r="W761" s="32"/>
      <c r="X761" s="1750">
        <f t="shared" si="24"/>
        <v>0</v>
      </c>
      <c r="Y761" s="175">
        <f t="shared" si="25"/>
        <v>0</v>
      </c>
    </row>
    <row r="762" spans="1:25" ht="30" x14ac:dyDescent="0.25">
      <c r="A762" s="32"/>
      <c r="B762" s="32"/>
      <c r="C762" s="32"/>
      <c r="D762" s="32"/>
      <c r="E762" s="32"/>
      <c r="F762" s="32"/>
      <c r="G762" s="1340" t="s">
        <v>2706</v>
      </c>
      <c r="H762" s="66" t="str">
        <f>'BID III'!B118</f>
        <v>Belanja Jasa Honorarium Petugas</v>
      </c>
      <c r="I762" s="513">
        <f>'BID III'!F119</f>
        <v>255500000</v>
      </c>
      <c r="J762" s="66" t="s">
        <v>2626</v>
      </c>
      <c r="K762" s="66" t="s">
        <v>2992</v>
      </c>
      <c r="L762" s="497">
        <v>21700000</v>
      </c>
      <c r="M762" s="497">
        <v>20300000</v>
      </c>
      <c r="N762" s="497">
        <v>21700000</v>
      </c>
      <c r="O762" s="497">
        <v>21000000</v>
      </c>
      <c r="P762" s="497">
        <v>21700000</v>
      </c>
      <c r="Q762" s="497">
        <v>21000000</v>
      </c>
      <c r="R762" s="497">
        <v>21700000</v>
      </c>
      <c r="S762" s="497">
        <v>21700000</v>
      </c>
      <c r="T762" s="497">
        <v>21000000</v>
      </c>
      <c r="U762" s="497">
        <v>21700000</v>
      </c>
      <c r="V762" s="497">
        <v>21000000</v>
      </c>
      <c r="W762" s="497">
        <v>21000000</v>
      </c>
      <c r="X762" s="1750">
        <f t="shared" si="24"/>
        <v>255500000</v>
      </c>
      <c r="Y762" s="175">
        <f t="shared" si="25"/>
        <v>0</v>
      </c>
    </row>
    <row r="763" spans="1:25" ht="30" x14ac:dyDescent="0.25">
      <c r="A763" s="32"/>
      <c r="B763" s="32"/>
      <c r="C763" s="32"/>
      <c r="D763" s="32">
        <v>5</v>
      </c>
      <c r="E763" s="32">
        <v>2</v>
      </c>
      <c r="F763" s="32">
        <v>6</v>
      </c>
      <c r="G763" s="32"/>
      <c r="H763" s="66" t="str">
        <f>'BID III'!B120</f>
        <v>Belanja Pemeliharaan</v>
      </c>
      <c r="I763" s="32"/>
      <c r="J763" s="66"/>
      <c r="K763" s="66" t="s">
        <v>2992</v>
      </c>
      <c r="L763" s="32"/>
      <c r="M763" s="32"/>
      <c r="N763" s="32"/>
      <c r="O763" s="32"/>
      <c r="P763" s="32"/>
      <c r="Q763" s="32"/>
      <c r="R763" s="32"/>
      <c r="S763" s="32"/>
      <c r="T763" s="32"/>
      <c r="U763" s="32"/>
      <c r="V763" s="32"/>
      <c r="W763" s="32"/>
      <c r="X763" s="1750">
        <f t="shared" si="24"/>
        <v>0</v>
      </c>
      <c r="Y763" s="175">
        <f t="shared" si="25"/>
        <v>0</v>
      </c>
    </row>
    <row r="764" spans="1:25" ht="30" x14ac:dyDescent="0.25">
      <c r="A764" s="32"/>
      <c r="B764" s="32"/>
      <c r="C764" s="32"/>
      <c r="D764" s="32"/>
      <c r="E764" s="32"/>
      <c r="F764" s="32"/>
      <c r="G764" s="1340" t="s">
        <v>2702</v>
      </c>
      <c r="H764" s="66" t="str">
        <f>'BID III'!B121</f>
        <v>Belanja Pemeliharaan Kendaraan Bermotor</v>
      </c>
      <c r="I764" s="513">
        <f>SUM('BID III'!F122:F125)</f>
        <v>8800000</v>
      </c>
      <c r="J764" s="66" t="s">
        <v>1682</v>
      </c>
      <c r="K764" s="66" t="s">
        <v>2992</v>
      </c>
      <c r="L764" s="32"/>
      <c r="M764" s="32"/>
      <c r="N764" s="32"/>
      <c r="O764" s="32"/>
      <c r="P764" s="32"/>
      <c r="Q764" s="32"/>
      <c r="R764" s="32"/>
      <c r="S764" s="497">
        <v>8800000</v>
      </c>
      <c r="T764" s="32"/>
      <c r="U764" s="32"/>
      <c r="V764" s="32"/>
      <c r="W764" s="32"/>
      <c r="X764" s="1750">
        <f t="shared" si="24"/>
        <v>8800000</v>
      </c>
      <c r="Y764" s="175">
        <f t="shared" si="25"/>
        <v>0</v>
      </c>
    </row>
    <row r="765" spans="1:25" ht="75" x14ac:dyDescent="0.25">
      <c r="A765" s="1344">
        <v>3</v>
      </c>
      <c r="B765" s="1344">
        <v>1</v>
      </c>
      <c r="C765" s="1346" t="s">
        <v>2704</v>
      </c>
      <c r="D765" s="1344"/>
      <c r="E765" s="1344"/>
      <c r="F765" s="1344"/>
      <c r="G765" s="1344"/>
      <c r="H765" s="1345" t="str">
        <f>'BID III'!B141</f>
        <v>: Pelatihan Kesiapsiagaan/Tanggap Bencana Skala Lokal Desa ( Pelatihan Tanggap Darurat Bencana )</v>
      </c>
      <c r="I765" s="1347">
        <f>SUM(I766:I774)</f>
        <v>8578000</v>
      </c>
      <c r="J765" s="1345" t="s">
        <v>1682</v>
      </c>
      <c r="K765" s="1345" t="s">
        <v>2992</v>
      </c>
      <c r="L765" s="1344"/>
      <c r="M765" s="1344"/>
      <c r="N765" s="1344"/>
      <c r="O765" s="1344"/>
      <c r="P765" s="1344"/>
      <c r="Q765" s="1344"/>
      <c r="R765" s="1344"/>
      <c r="S765" s="1344"/>
      <c r="T765" s="1344"/>
      <c r="U765" s="1344"/>
      <c r="V765" s="1344"/>
      <c r="W765" s="1344"/>
      <c r="X765" s="1353">
        <f t="shared" si="24"/>
        <v>0</v>
      </c>
      <c r="Y765" s="175">
        <f t="shared" si="25"/>
        <v>-8578000</v>
      </c>
    </row>
    <row r="766" spans="1:25" ht="30" x14ac:dyDescent="0.25">
      <c r="A766" s="32"/>
      <c r="B766" s="32"/>
      <c r="C766" s="32"/>
      <c r="D766" s="32">
        <v>5</v>
      </c>
      <c r="E766" s="32">
        <v>2</v>
      </c>
      <c r="F766" s="32"/>
      <c r="G766" s="32"/>
      <c r="H766" s="66" t="str">
        <f>'BID III'!B147</f>
        <v>Belanja Barang Dan Jasa</v>
      </c>
      <c r="I766" s="32"/>
      <c r="J766" s="66"/>
      <c r="K766" s="66" t="s">
        <v>2992</v>
      </c>
      <c r="L766" s="32"/>
      <c r="M766" s="32"/>
      <c r="N766" s="32"/>
      <c r="O766" s="32"/>
      <c r="P766" s="32"/>
      <c r="Q766" s="32"/>
      <c r="R766" s="32"/>
      <c r="S766" s="32"/>
      <c r="T766" s="32"/>
      <c r="U766" s="32"/>
      <c r="V766" s="32"/>
      <c r="W766" s="32"/>
      <c r="X766" s="1750">
        <f t="shared" si="24"/>
        <v>0</v>
      </c>
      <c r="Y766" s="175">
        <f t="shared" si="25"/>
        <v>0</v>
      </c>
    </row>
    <row r="767" spans="1:25" ht="30" x14ac:dyDescent="0.25">
      <c r="A767" s="32"/>
      <c r="B767" s="32"/>
      <c r="C767" s="32"/>
      <c r="D767" s="32"/>
      <c r="E767" s="32"/>
      <c r="F767" s="32">
        <v>1</v>
      </c>
      <c r="G767" s="32"/>
      <c r="H767" s="66" t="str">
        <f>'BID III'!B148</f>
        <v>Belanja Barang Perlengkapan</v>
      </c>
      <c r="I767" s="32"/>
      <c r="J767" s="66"/>
      <c r="K767" s="66" t="s">
        <v>2992</v>
      </c>
      <c r="L767" s="32"/>
      <c r="M767" s="32"/>
      <c r="N767" s="32"/>
      <c r="O767" s="32"/>
      <c r="P767" s="32"/>
      <c r="Q767" s="32"/>
      <c r="R767" s="32"/>
      <c r="S767" s="32"/>
      <c r="T767" s="32"/>
      <c r="U767" s="32"/>
      <c r="V767" s="32"/>
      <c r="W767" s="32"/>
      <c r="X767" s="1750">
        <f t="shared" si="24"/>
        <v>0</v>
      </c>
      <c r="Y767" s="175">
        <f t="shared" si="25"/>
        <v>0</v>
      </c>
    </row>
    <row r="768" spans="1:25" ht="60" x14ac:dyDescent="0.25">
      <c r="A768" s="32"/>
      <c r="B768" s="32"/>
      <c r="C768" s="32"/>
      <c r="D768" s="32"/>
      <c r="E768" s="32"/>
      <c r="F768" s="32"/>
      <c r="G768" s="1340" t="s">
        <v>2704</v>
      </c>
      <c r="H768" s="66" t="str">
        <f>'BID III'!B149</f>
        <v>Belanja Bahan Bakar Minyak/Gas/Isi Ulang Tabung Pemadam Kebakaran</v>
      </c>
      <c r="I768" s="174">
        <f>SUM('BID III'!F150)</f>
        <v>1800000</v>
      </c>
      <c r="J768" s="66" t="s">
        <v>1682</v>
      </c>
      <c r="K768" s="66" t="s">
        <v>2992</v>
      </c>
      <c r="L768" s="32"/>
      <c r="M768" s="32"/>
      <c r="N768" s="32"/>
      <c r="O768" s="32"/>
      <c r="P768" s="32"/>
      <c r="Q768" s="32"/>
      <c r="R768" s="32"/>
      <c r="S768" s="32"/>
      <c r="T768" s="497">
        <v>1800000</v>
      </c>
      <c r="U768" s="32"/>
      <c r="V768" s="32"/>
      <c r="W768" s="32"/>
      <c r="X768" s="1750">
        <f t="shared" si="24"/>
        <v>1800000</v>
      </c>
      <c r="Y768" s="175">
        <f t="shared" si="25"/>
        <v>0</v>
      </c>
    </row>
    <row r="769" spans="1:25" ht="30" x14ac:dyDescent="0.25">
      <c r="A769" s="32"/>
      <c r="B769" s="32"/>
      <c r="C769" s="32"/>
      <c r="D769" s="32"/>
      <c r="E769" s="32"/>
      <c r="F769" s="32"/>
      <c r="G769" s="1340" t="s">
        <v>2705</v>
      </c>
      <c r="H769" s="66" t="str">
        <f>'BID III'!B151</f>
        <v>Belanja Perlengkapan Barang Konsumsi</v>
      </c>
      <c r="I769" s="174">
        <f>SUM('BID III'!F152)</f>
        <v>675000</v>
      </c>
      <c r="J769" s="66" t="s">
        <v>1682</v>
      </c>
      <c r="K769" s="66" t="s">
        <v>2992</v>
      </c>
      <c r="L769" s="32"/>
      <c r="M769" s="32"/>
      <c r="N769" s="32"/>
      <c r="O769" s="32"/>
      <c r="P769" s="32"/>
      <c r="Q769" s="32"/>
      <c r="R769" s="32"/>
      <c r="S769" s="32"/>
      <c r="T769" s="497">
        <v>675000</v>
      </c>
      <c r="U769" s="32"/>
      <c r="V769" s="32"/>
      <c r="W769" s="32"/>
      <c r="X769" s="1750">
        <f t="shared" si="24"/>
        <v>675000</v>
      </c>
      <c r="Y769" s="175">
        <f t="shared" si="25"/>
        <v>0</v>
      </c>
    </row>
    <row r="770" spans="1:25" ht="30" x14ac:dyDescent="0.25">
      <c r="A770" s="32"/>
      <c r="B770" s="32"/>
      <c r="C770" s="32"/>
      <c r="D770" s="32"/>
      <c r="E770" s="32"/>
      <c r="F770" s="32"/>
      <c r="G770" s="1340" t="s">
        <v>2708</v>
      </c>
      <c r="H770" s="66" t="str">
        <f>'BID III'!B153</f>
        <v>Belanja Bahan Material</v>
      </c>
      <c r="I770" s="174">
        <f>SUM('BID III'!F154:F156)</f>
        <v>5638000</v>
      </c>
      <c r="J770" s="66"/>
      <c r="K770" s="66" t="s">
        <v>2992</v>
      </c>
      <c r="L770" s="32"/>
      <c r="M770" s="32"/>
      <c r="N770" s="32"/>
      <c r="O770" s="32"/>
      <c r="P770" s="32"/>
      <c r="Q770" s="32"/>
      <c r="R770" s="32"/>
      <c r="S770" s="32"/>
      <c r="T770" s="497">
        <v>5638000</v>
      </c>
      <c r="U770" s="32"/>
      <c r="V770" s="32"/>
      <c r="W770" s="32"/>
      <c r="X770" s="1750">
        <f t="shared" si="24"/>
        <v>5638000</v>
      </c>
      <c r="Y770" s="175">
        <f t="shared" si="25"/>
        <v>0</v>
      </c>
    </row>
    <row r="771" spans="1:25" ht="30" x14ac:dyDescent="0.25">
      <c r="A771" s="32"/>
      <c r="B771" s="32"/>
      <c r="C771" s="32"/>
      <c r="D771" s="32"/>
      <c r="E771" s="32"/>
      <c r="F771" s="32"/>
      <c r="G771" s="1340" t="s">
        <v>2707</v>
      </c>
      <c r="H771" s="66" t="str">
        <f>'BID III'!B158</f>
        <v>Belanja Bendera/ Umbul-umbul/ Spanduk</v>
      </c>
      <c r="I771" s="174">
        <f>'BID III'!F159</f>
        <v>90000</v>
      </c>
      <c r="J771" s="66" t="s">
        <v>1682</v>
      </c>
      <c r="K771" s="66" t="s">
        <v>2992</v>
      </c>
      <c r="L771" s="32"/>
      <c r="M771" s="32"/>
      <c r="N771" s="32"/>
      <c r="O771" s="32"/>
      <c r="P771" s="32"/>
      <c r="Q771" s="32"/>
      <c r="R771" s="32"/>
      <c r="S771" s="32"/>
      <c r="T771" s="497">
        <v>90000</v>
      </c>
      <c r="U771" s="32"/>
      <c r="V771" s="32"/>
      <c r="W771" s="32"/>
      <c r="X771" s="1750">
        <f t="shared" si="24"/>
        <v>90000</v>
      </c>
      <c r="Y771" s="175">
        <f t="shared" si="25"/>
        <v>0</v>
      </c>
    </row>
    <row r="772" spans="1:25" ht="30" x14ac:dyDescent="0.25">
      <c r="A772" s="32"/>
      <c r="B772" s="32"/>
      <c r="C772" s="32"/>
      <c r="D772" s="32"/>
      <c r="E772" s="32"/>
      <c r="F772" s="32"/>
      <c r="G772" s="32">
        <v>90</v>
      </c>
      <c r="H772" s="66" t="str">
        <f>'BID III'!B160</f>
        <v>Belanja Upakara, Upacara Dan Aci</v>
      </c>
      <c r="I772" s="174">
        <f>SUM('BID III'!F161:F163)</f>
        <v>75000</v>
      </c>
      <c r="J772" s="66" t="s">
        <v>1682</v>
      </c>
      <c r="K772" s="66" t="s">
        <v>2992</v>
      </c>
      <c r="L772" s="32"/>
      <c r="M772" s="32"/>
      <c r="N772" s="32"/>
      <c r="O772" s="32"/>
      <c r="P772" s="32"/>
      <c r="Q772" s="32"/>
      <c r="R772" s="32"/>
      <c r="S772" s="32"/>
      <c r="T772" s="497">
        <v>75000</v>
      </c>
      <c r="U772" s="32"/>
      <c r="V772" s="32"/>
      <c r="W772" s="32"/>
      <c r="X772" s="1750">
        <f t="shared" si="24"/>
        <v>75000</v>
      </c>
      <c r="Y772" s="175">
        <f t="shared" si="25"/>
        <v>0</v>
      </c>
    </row>
    <row r="773" spans="1:25" ht="30" x14ac:dyDescent="0.25">
      <c r="A773" s="32"/>
      <c r="B773" s="32"/>
      <c r="C773" s="32"/>
      <c r="D773" s="32">
        <v>5</v>
      </c>
      <c r="E773" s="32">
        <v>2</v>
      </c>
      <c r="F773" s="32">
        <v>2</v>
      </c>
      <c r="G773" s="32"/>
      <c r="H773" s="66" t="str">
        <f>'BID III'!B164</f>
        <v>Belanja Jasa Honorarium</v>
      </c>
      <c r="I773" s="32"/>
      <c r="J773" s="66"/>
      <c r="K773" s="66" t="s">
        <v>2992</v>
      </c>
      <c r="L773" s="32"/>
      <c r="M773" s="32"/>
      <c r="N773" s="32"/>
      <c r="O773" s="32"/>
      <c r="P773" s="32"/>
      <c r="Q773" s="32"/>
      <c r="R773" s="32"/>
      <c r="S773" s="32"/>
      <c r="T773" s="497"/>
      <c r="U773" s="32"/>
      <c r="V773" s="32"/>
      <c r="W773" s="32"/>
      <c r="X773" s="1750">
        <f t="shared" si="24"/>
        <v>0</v>
      </c>
      <c r="Y773" s="175">
        <f t="shared" si="25"/>
        <v>0</v>
      </c>
    </row>
    <row r="774" spans="1:25" ht="45" x14ac:dyDescent="0.25">
      <c r="A774" s="32"/>
      <c r="B774" s="32"/>
      <c r="C774" s="32"/>
      <c r="D774" s="32"/>
      <c r="E774" s="32"/>
      <c r="F774" s="32"/>
      <c r="G774" s="1340" t="s">
        <v>2706</v>
      </c>
      <c r="H774" s="66" t="str">
        <f>'BID III'!B165</f>
        <v>Belanja Jasa Honorarium Ahli/Profesi/Konsultan/Narasumber</v>
      </c>
      <c r="I774" s="174">
        <f>'BID III'!F166</f>
        <v>300000</v>
      </c>
      <c r="J774" s="66" t="s">
        <v>1682</v>
      </c>
      <c r="K774" s="66" t="s">
        <v>2992</v>
      </c>
      <c r="L774" s="32"/>
      <c r="M774" s="32"/>
      <c r="N774" s="32"/>
      <c r="O774" s="32"/>
      <c r="P774" s="32"/>
      <c r="Q774" s="32"/>
      <c r="R774" s="32"/>
      <c r="S774" s="32"/>
      <c r="T774" s="497">
        <v>300000</v>
      </c>
      <c r="U774" s="32"/>
      <c r="V774" s="32"/>
      <c r="W774" s="32"/>
      <c r="X774" s="1750">
        <f t="shared" si="24"/>
        <v>300000</v>
      </c>
      <c r="Y774" s="175">
        <f t="shared" si="25"/>
        <v>0</v>
      </c>
    </row>
    <row r="775" spans="1:25" ht="60" x14ac:dyDescent="0.25">
      <c r="A775" s="1344">
        <v>3</v>
      </c>
      <c r="B775" s="1344">
        <v>2</v>
      </c>
      <c r="C775" s="1346" t="s">
        <v>2703</v>
      </c>
      <c r="D775" s="1344"/>
      <c r="E775" s="1344"/>
      <c r="F775" s="1344"/>
      <c r="G775" s="1344"/>
      <c r="H775" s="1345" t="str">
        <f>'BID III'!B183</f>
        <v>: Pembinaan Kesenian, Adat, Kebudayaan, dan Keagamaan ( Pembinaan Sekaa Seni Joged )</v>
      </c>
      <c r="I775" s="1347">
        <f>SUM(I776:I784)</f>
        <v>37765000</v>
      </c>
      <c r="J775" s="1345" t="s">
        <v>1682</v>
      </c>
      <c r="K775" s="1347" t="s">
        <v>3031</v>
      </c>
      <c r="L775" s="1344"/>
      <c r="M775" s="1344"/>
      <c r="N775" s="1344"/>
      <c r="O775" s="1344"/>
      <c r="P775" s="1344"/>
      <c r="Q775" s="1344"/>
      <c r="R775" s="1344"/>
      <c r="S775" s="1344"/>
      <c r="T775" s="1344"/>
      <c r="U775" s="1344"/>
      <c r="V775" s="1344"/>
      <c r="W775" s="1344"/>
      <c r="X775" s="1353">
        <f t="shared" si="24"/>
        <v>0</v>
      </c>
      <c r="Y775" s="175">
        <f t="shared" si="25"/>
        <v>-37765000</v>
      </c>
    </row>
    <row r="776" spans="1:25" x14ac:dyDescent="0.25">
      <c r="A776" s="32"/>
      <c r="B776" s="32"/>
      <c r="C776" s="32"/>
      <c r="D776" s="32">
        <v>5</v>
      </c>
      <c r="E776" s="32">
        <v>2</v>
      </c>
      <c r="F776" s="32"/>
      <c r="G776" s="32"/>
      <c r="H776" s="66" t="str">
        <f>'BID III'!B189</f>
        <v>Belanja Barang Jasa</v>
      </c>
      <c r="I776" s="32"/>
      <c r="J776" s="66"/>
      <c r="K776" s="497" t="s">
        <v>3031</v>
      </c>
      <c r="L776" s="32"/>
      <c r="M776" s="32"/>
      <c r="N776" s="32"/>
      <c r="O776" s="32"/>
      <c r="P776" s="32"/>
      <c r="Q776" s="32"/>
      <c r="R776" s="32"/>
      <c r="S776" s="32"/>
      <c r="T776" s="32"/>
      <c r="U776" s="32"/>
      <c r="V776" s="32"/>
      <c r="W776" s="32"/>
      <c r="X776" s="1750">
        <f t="shared" si="24"/>
        <v>0</v>
      </c>
      <c r="Y776" s="175">
        <f t="shared" si="25"/>
        <v>0</v>
      </c>
    </row>
    <row r="777" spans="1:25" ht="30" x14ac:dyDescent="0.25">
      <c r="A777" s="32"/>
      <c r="B777" s="32"/>
      <c r="C777" s="32"/>
      <c r="D777" s="32"/>
      <c r="E777" s="32"/>
      <c r="F777" s="32">
        <v>1</v>
      </c>
      <c r="G777" s="32"/>
      <c r="H777" s="66" t="str">
        <f>'BID III'!B190</f>
        <v>Belanja Barang Perlengkapan</v>
      </c>
      <c r="I777" s="32"/>
      <c r="J777" s="66"/>
      <c r="K777" s="497" t="s">
        <v>3031</v>
      </c>
      <c r="L777" s="32"/>
      <c r="M777" s="32"/>
      <c r="N777" s="32"/>
      <c r="O777" s="32"/>
      <c r="P777" s="32"/>
      <c r="Q777" s="32"/>
      <c r="R777" s="32"/>
      <c r="S777" s="32"/>
      <c r="T777" s="32"/>
      <c r="U777" s="32"/>
      <c r="V777" s="32"/>
      <c r="W777" s="32"/>
      <c r="X777" s="1750">
        <f t="shared" si="24"/>
        <v>0</v>
      </c>
      <c r="Y777" s="175">
        <f t="shared" si="25"/>
        <v>0</v>
      </c>
    </row>
    <row r="778" spans="1:25" ht="30" x14ac:dyDescent="0.25">
      <c r="A778" s="32"/>
      <c r="B778" s="32"/>
      <c r="C778" s="32"/>
      <c r="D778" s="32"/>
      <c r="E778" s="32"/>
      <c r="F778" s="32"/>
      <c r="G778" s="1340" t="s">
        <v>2705</v>
      </c>
      <c r="H778" s="66" t="str">
        <f>'BID III'!B191</f>
        <v>Belanja Perlengkapan Barang Konsumsi</v>
      </c>
      <c r="I778" s="174">
        <f>SUM('BID III'!F192)</f>
        <v>6000000</v>
      </c>
      <c r="J778" s="66" t="s">
        <v>1682</v>
      </c>
      <c r="K778" s="497" t="s">
        <v>3031</v>
      </c>
      <c r="L778" s="32"/>
      <c r="M778" s="32"/>
      <c r="N778" s="497">
        <v>6000000</v>
      </c>
      <c r="O778" s="32"/>
      <c r="P778" s="32"/>
      <c r="Q778" s="32"/>
      <c r="R778" s="32"/>
      <c r="S778" s="32"/>
      <c r="T778" s="32"/>
      <c r="U778" s="32"/>
      <c r="V778" s="32"/>
      <c r="W778" s="32"/>
      <c r="X778" s="1750">
        <f t="shared" si="24"/>
        <v>6000000</v>
      </c>
      <c r="Y778" s="175">
        <f t="shared" si="25"/>
        <v>0</v>
      </c>
    </row>
    <row r="779" spans="1:25" ht="30" x14ac:dyDescent="0.25">
      <c r="A779" s="32"/>
      <c r="B779" s="32"/>
      <c r="C779" s="32"/>
      <c r="D779" s="32"/>
      <c r="E779" s="32"/>
      <c r="F779" s="32"/>
      <c r="G779" s="1340" t="s">
        <v>2707</v>
      </c>
      <c r="H779" s="66" t="str">
        <f>'BID III'!B193</f>
        <v>Belanja Bendera/Umbul - umbul/Spanduk</v>
      </c>
      <c r="I779" s="174">
        <f>'BID III'!F194</f>
        <v>90000</v>
      </c>
      <c r="J779" s="66" t="s">
        <v>1682</v>
      </c>
      <c r="K779" s="497" t="s">
        <v>3031</v>
      </c>
      <c r="L779" s="32"/>
      <c r="M779" s="32"/>
      <c r="N779" s="497">
        <v>90000</v>
      </c>
      <c r="O779" s="32"/>
      <c r="P779" s="32"/>
      <c r="Q779" s="32"/>
      <c r="R779" s="32"/>
      <c r="S779" s="32"/>
      <c r="T779" s="32"/>
      <c r="U779" s="32"/>
      <c r="V779" s="32"/>
      <c r="W779" s="32"/>
      <c r="X779" s="1750">
        <f t="shared" si="24"/>
        <v>90000</v>
      </c>
      <c r="Y779" s="175">
        <f t="shared" si="25"/>
        <v>0</v>
      </c>
    </row>
    <row r="780" spans="1:25" ht="30" x14ac:dyDescent="0.25">
      <c r="A780" s="32"/>
      <c r="B780" s="32"/>
      <c r="C780" s="32"/>
      <c r="D780" s="32"/>
      <c r="E780" s="32"/>
      <c r="F780" s="32"/>
      <c r="G780" s="32">
        <v>90</v>
      </c>
      <c r="H780" s="66" t="str">
        <f>'BID III'!B195</f>
        <v>Belanja Upakara, Upacara Dan Aci</v>
      </c>
      <c r="I780" s="174">
        <f>'BID III'!F196+'BID III'!F197+'BID III'!F198</f>
        <v>75000</v>
      </c>
      <c r="J780" s="66" t="s">
        <v>1682</v>
      </c>
      <c r="K780" s="497" t="s">
        <v>3031</v>
      </c>
      <c r="L780" s="32"/>
      <c r="M780" s="32"/>
      <c r="N780" s="497">
        <v>75000</v>
      </c>
      <c r="O780" s="32"/>
      <c r="P780" s="32"/>
      <c r="Q780" s="32"/>
      <c r="R780" s="32"/>
      <c r="S780" s="32"/>
      <c r="T780" s="32"/>
      <c r="U780" s="32"/>
      <c r="V780" s="32"/>
      <c r="W780" s="32"/>
      <c r="X780" s="1750">
        <f t="shared" si="24"/>
        <v>75000</v>
      </c>
      <c r="Y780" s="175">
        <f t="shared" si="25"/>
        <v>0</v>
      </c>
    </row>
    <row r="781" spans="1:25" x14ac:dyDescent="0.25">
      <c r="A781" s="32"/>
      <c r="B781" s="32"/>
      <c r="C781" s="32"/>
      <c r="D781" s="32">
        <v>5</v>
      </c>
      <c r="E781" s="32">
        <v>2</v>
      </c>
      <c r="F781" s="32">
        <v>2</v>
      </c>
      <c r="G781" s="32"/>
      <c r="H781" s="66" t="str">
        <f>'BID III'!B200</f>
        <v>Belanja Jasa Honorarium</v>
      </c>
      <c r="I781" s="32"/>
      <c r="J781" s="66"/>
      <c r="K781" s="497" t="s">
        <v>3031</v>
      </c>
      <c r="L781" s="32"/>
      <c r="M781" s="32"/>
      <c r="N781" s="497"/>
      <c r="O781" s="32"/>
      <c r="P781" s="32"/>
      <c r="Q781" s="32"/>
      <c r="R781" s="32"/>
      <c r="S781" s="32"/>
      <c r="T781" s="32"/>
      <c r="U781" s="32"/>
      <c r="V781" s="32"/>
      <c r="W781" s="32"/>
      <c r="X781" s="1750">
        <f t="shared" si="24"/>
        <v>0</v>
      </c>
      <c r="Y781" s="175">
        <f t="shared" si="25"/>
        <v>0</v>
      </c>
    </row>
    <row r="782" spans="1:25" ht="60" x14ac:dyDescent="0.25">
      <c r="A782" s="32"/>
      <c r="B782" s="32"/>
      <c r="C782" s="32"/>
      <c r="D782" s="32"/>
      <c r="E782" s="32"/>
      <c r="F782" s="32"/>
      <c r="G782" s="1340" t="s">
        <v>2688</v>
      </c>
      <c r="H782" s="66" t="str">
        <f>'BID III'!B201</f>
        <v>Belanja Jasa Honorarium Ahli Profesi/Konsultan/Narasumber</v>
      </c>
      <c r="I782" s="174">
        <f>SUM('BID III'!F202:F203)</f>
        <v>4800000</v>
      </c>
      <c r="J782" s="66" t="s">
        <v>1682</v>
      </c>
      <c r="K782" s="497" t="s">
        <v>3031</v>
      </c>
      <c r="L782" s="32"/>
      <c r="M782" s="32"/>
      <c r="N782" s="497">
        <v>4800000</v>
      </c>
      <c r="O782" s="32"/>
      <c r="P782" s="32"/>
      <c r="Q782" s="32"/>
      <c r="R782" s="32"/>
      <c r="S782" s="32"/>
      <c r="T782" s="32"/>
      <c r="U782" s="32"/>
      <c r="V782" s="32"/>
      <c r="W782" s="32"/>
      <c r="X782" s="1750">
        <f t="shared" si="24"/>
        <v>4800000</v>
      </c>
      <c r="Y782" s="175">
        <f t="shared" si="25"/>
        <v>0</v>
      </c>
    </row>
    <row r="783" spans="1:25" ht="30" x14ac:dyDescent="0.25">
      <c r="A783" s="32"/>
      <c r="B783" s="32"/>
      <c r="C783" s="32"/>
      <c r="D783" s="32">
        <v>5</v>
      </c>
      <c r="E783" s="32">
        <v>2</v>
      </c>
      <c r="F783" s="32">
        <v>7</v>
      </c>
      <c r="G783" s="1340"/>
      <c r="H783" s="66" t="str">
        <f>'BID III'!B204</f>
        <v>Belanja Barang Yanf Diserhkan</v>
      </c>
      <c r="I783" s="174"/>
      <c r="J783" s="66"/>
      <c r="K783" s="497" t="s">
        <v>3031</v>
      </c>
      <c r="L783" s="32"/>
      <c r="M783" s="32"/>
      <c r="N783" s="497"/>
      <c r="O783" s="32"/>
      <c r="P783" s="32"/>
      <c r="Q783" s="32"/>
      <c r="R783" s="32"/>
      <c r="S783" s="32"/>
      <c r="T783" s="32"/>
      <c r="U783" s="32"/>
      <c r="V783" s="32"/>
      <c r="W783" s="32"/>
      <c r="X783" s="1750">
        <f t="shared" si="24"/>
        <v>0</v>
      </c>
      <c r="Y783" s="175">
        <f t="shared" si="25"/>
        <v>0</v>
      </c>
    </row>
    <row r="784" spans="1:25" ht="60" x14ac:dyDescent="0.25">
      <c r="A784" s="32"/>
      <c r="B784" s="32"/>
      <c r="C784" s="32"/>
      <c r="D784" s="32"/>
      <c r="E784" s="32"/>
      <c r="F784" s="32"/>
      <c r="G784" s="1340" t="s">
        <v>2688</v>
      </c>
      <c r="H784" s="66" t="str">
        <f>'BID III'!B205</f>
        <v>Belanja Bahan Perlengkapan yang diserahkan kepada masyarakat</v>
      </c>
      <c r="I784" s="174">
        <f>SUM('BID III'!F207:F209)</f>
        <v>26800000</v>
      </c>
      <c r="J784" s="66" t="s">
        <v>1682</v>
      </c>
      <c r="K784" s="497" t="s">
        <v>3031</v>
      </c>
      <c r="L784" s="32"/>
      <c r="M784" s="32"/>
      <c r="N784" s="497">
        <v>26800000</v>
      </c>
      <c r="O784" s="32"/>
      <c r="P784" s="32"/>
      <c r="Q784" s="32"/>
      <c r="R784" s="32"/>
      <c r="S784" s="32"/>
      <c r="T784" s="32"/>
      <c r="U784" s="32"/>
      <c r="V784" s="32"/>
      <c r="W784" s="32"/>
      <c r="X784" s="1750">
        <f t="shared" si="24"/>
        <v>26800000</v>
      </c>
      <c r="Y784" s="175">
        <f t="shared" si="25"/>
        <v>0</v>
      </c>
    </row>
    <row r="785" spans="1:25" ht="165" x14ac:dyDescent="0.25">
      <c r="A785" s="1344">
        <v>3</v>
      </c>
      <c r="B785" s="1344">
        <v>2</v>
      </c>
      <c r="C785" s="1346" t="s">
        <v>2703</v>
      </c>
      <c r="D785" s="1344"/>
      <c r="E785" s="1344"/>
      <c r="F785" s="1344"/>
      <c r="G785" s="1344"/>
      <c r="H785" s="1345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I785" s="1347">
        <f>SUM(I786:I805)</f>
        <v>35502000</v>
      </c>
      <c r="J785" s="1345" t="s">
        <v>2626</v>
      </c>
      <c r="K785" s="1347" t="s">
        <v>3031</v>
      </c>
      <c r="L785" s="1344"/>
      <c r="M785" s="1344"/>
      <c r="N785" s="1344"/>
      <c r="O785" s="1344"/>
      <c r="P785" s="1344"/>
      <c r="Q785" s="1344"/>
      <c r="R785" s="1344"/>
      <c r="S785" s="1344"/>
      <c r="T785" s="1344"/>
      <c r="U785" s="1344"/>
      <c r="V785" s="1344"/>
      <c r="W785" s="1344"/>
      <c r="X785" s="1353">
        <f t="shared" si="24"/>
        <v>0</v>
      </c>
      <c r="Y785" s="175">
        <f t="shared" si="25"/>
        <v>-35502000</v>
      </c>
    </row>
    <row r="786" spans="1:25" x14ac:dyDescent="0.25">
      <c r="A786" s="32"/>
      <c r="B786" s="32"/>
      <c r="C786" s="32"/>
      <c r="D786" s="32">
        <v>5</v>
      </c>
      <c r="E786" s="32">
        <v>2</v>
      </c>
      <c r="F786" s="32"/>
      <c r="G786" s="32"/>
      <c r="H786" s="66" t="str">
        <f>'BID III'!B229</f>
        <v>Belanja Barang Jasa</v>
      </c>
      <c r="I786" s="32"/>
      <c r="J786" s="66"/>
      <c r="K786" s="497" t="s">
        <v>3031</v>
      </c>
      <c r="L786" s="32"/>
      <c r="M786" s="32"/>
      <c r="N786" s="32"/>
      <c r="O786" s="32"/>
      <c r="P786" s="32"/>
      <c r="Q786" s="32"/>
      <c r="R786" s="32"/>
      <c r="S786" s="32"/>
      <c r="T786" s="32"/>
      <c r="U786" s="32"/>
      <c r="V786" s="32"/>
      <c r="W786" s="32"/>
      <c r="X786" s="1750">
        <f t="shared" si="24"/>
        <v>0</v>
      </c>
      <c r="Y786" s="175">
        <f t="shared" si="25"/>
        <v>0</v>
      </c>
    </row>
    <row r="787" spans="1:25" ht="30" x14ac:dyDescent="0.25">
      <c r="A787" s="32"/>
      <c r="B787" s="32"/>
      <c r="C787" s="32"/>
      <c r="D787" s="32"/>
      <c r="E787" s="32"/>
      <c r="F787" s="32">
        <v>1</v>
      </c>
      <c r="G787" s="32"/>
      <c r="H787" s="66" t="str">
        <f>'BID III'!B230</f>
        <v>Belanja Barang Perlengkapan</v>
      </c>
      <c r="I787" s="32"/>
      <c r="J787" s="66"/>
      <c r="K787" s="497" t="s">
        <v>3031</v>
      </c>
      <c r="L787" s="32"/>
      <c r="M787" s="32"/>
      <c r="N787" s="32"/>
      <c r="O787" s="32"/>
      <c r="P787" s="32"/>
      <c r="Q787" s="32"/>
      <c r="R787" s="32"/>
      <c r="S787" s="32"/>
      <c r="T787" s="32"/>
      <c r="U787" s="32"/>
      <c r="V787" s="32"/>
      <c r="W787" s="32"/>
      <c r="X787" s="1750">
        <f t="shared" si="24"/>
        <v>0</v>
      </c>
      <c r="Y787" s="175">
        <f t="shared" si="25"/>
        <v>0</v>
      </c>
    </row>
    <row r="788" spans="1:25" ht="30" x14ac:dyDescent="0.25">
      <c r="A788" s="32"/>
      <c r="B788" s="32"/>
      <c r="C788" s="32"/>
      <c r="D788" s="32"/>
      <c r="E788" s="32"/>
      <c r="F788" s="32"/>
      <c r="G788" s="1340" t="s">
        <v>2705</v>
      </c>
      <c r="H788" s="66" t="str">
        <f>'BID III'!B231</f>
        <v>Belanja Perlengkapan Barang Konsumsi</v>
      </c>
      <c r="I788" s="174">
        <f>SUM('BID III'!F233:F239)</f>
        <v>7950000</v>
      </c>
      <c r="J788" s="66" t="s">
        <v>2626</v>
      </c>
      <c r="K788" s="497" t="s">
        <v>3031</v>
      </c>
      <c r="L788" s="32"/>
      <c r="M788" s="497">
        <v>7950000</v>
      </c>
      <c r="N788" s="32"/>
      <c r="O788" s="32"/>
      <c r="P788" s="32"/>
      <c r="Q788" s="32"/>
      <c r="R788" s="32"/>
      <c r="S788" s="32"/>
      <c r="T788" s="32"/>
      <c r="U788" s="32"/>
      <c r="V788" s="32"/>
      <c r="W788" s="32"/>
      <c r="X788" s="1750">
        <f t="shared" si="24"/>
        <v>7950000</v>
      </c>
      <c r="Y788" s="175">
        <f t="shared" si="25"/>
        <v>0</v>
      </c>
    </row>
    <row r="789" spans="1:25" ht="30" x14ac:dyDescent="0.25">
      <c r="A789" s="32"/>
      <c r="B789" s="32"/>
      <c r="C789" s="32"/>
      <c r="D789" s="32"/>
      <c r="E789" s="32"/>
      <c r="F789" s="32"/>
      <c r="G789" s="1340" t="s">
        <v>2707</v>
      </c>
      <c r="H789" s="66" t="str">
        <f>'BID III'!B240</f>
        <v>Belanja Bendera/Umbul - umbul/ Spanduk</v>
      </c>
      <c r="I789" s="174">
        <f>'BID III'!F241</f>
        <v>270000</v>
      </c>
      <c r="J789" s="66" t="s">
        <v>2626</v>
      </c>
      <c r="K789" s="497" t="s">
        <v>3031</v>
      </c>
      <c r="L789" s="32"/>
      <c r="M789" s="497">
        <v>270000</v>
      </c>
      <c r="N789" s="32"/>
      <c r="O789" s="32"/>
      <c r="P789" s="32"/>
      <c r="Q789" s="32"/>
      <c r="R789" s="32"/>
      <c r="S789" s="32"/>
      <c r="T789" s="32"/>
      <c r="U789" s="32"/>
      <c r="V789" s="32"/>
      <c r="W789" s="32"/>
      <c r="X789" s="1750">
        <f t="shared" si="24"/>
        <v>270000</v>
      </c>
      <c r="Y789" s="175">
        <f t="shared" si="25"/>
        <v>0</v>
      </c>
    </row>
    <row r="790" spans="1:25" ht="30" x14ac:dyDescent="0.25">
      <c r="A790" s="32"/>
      <c r="B790" s="32"/>
      <c r="C790" s="32"/>
      <c r="D790" s="32"/>
      <c r="E790" s="32"/>
      <c r="F790" s="32"/>
      <c r="G790" s="32">
        <v>90</v>
      </c>
      <c r="H790" s="66" t="str">
        <f>'BID III'!B242</f>
        <v>Belanja Upakara, Upacara Dan Aci</v>
      </c>
      <c r="I790" s="174">
        <f>SUM('BID III'!F243:F246)</f>
        <v>165000</v>
      </c>
      <c r="J790" s="66" t="s">
        <v>2626</v>
      </c>
      <c r="K790" s="497" t="s">
        <v>3031</v>
      </c>
      <c r="L790" s="32"/>
      <c r="M790" s="497">
        <v>165000</v>
      </c>
      <c r="N790" s="32"/>
      <c r="O790" s="32"/>
      <c r="P790" s="32"/>
      <c r="Q790" s="32"/>
      <c r="R790" s="32"/>
      <c r="S790" s="32"/>
      <c r="T790" s="32"/>
      <c r="U790" s="32"/>
      <c r="V790" s="32"/>
      <c r="W790" s="32"/>
      <c r="X790" s="1750">
        <f t="shared" si="24"/>
        <v>165000</v>
      </c>
      <c r="Y790" s="175">
        <f t="shared" si="25"/>
        <v>0</v>
      </c>
    </row>
    <row r="791" spans="1:25" x14ac:dyDescent="0.25">
      <c r="A791" s="32"/>
      <c r="B791" s="32"/>
      <c r="C791" s="32"/>
      <c r="D791" s="32">
        <v>5</v>
      </c>
      <c r="E791" s="32">
        <v>2</v>
      </c>
      <c r="F791" s="32">
        <v>2</v>
      </c>
      <c r="G791" s="32"/>
      <c r="H791" s="66" t="str">
        <f>'BID III'!B247</f>
        <v>Belanja Jasa Honorarium</v>
      </c>
      <c r="I791" s="32"/>
      <c r="J791" s="66"/>
      <c r="K791" s="497" t="s">
        <v>3031</v>
      </c>
      <c r="L791" s="32"/>
      <c r="M791" s="497"/>
      <c r="N791" s="32"/>
      <c r="O791" s="32"/>
      <c r="P791" s="32"/>
      <c r="Q791" s="32"/>
      <c r="R791" s="32"/>
      <c r="S791" s="32"/>
      <c r="T791" s="32"/>
      <c r="U791" s="32"/>
      <c r="V791" s="32"/>
      <c r="W791" s="32"/>
      <c r="X791" s="1750">
        <f t="shared" si="24"/>
        <v>0</v>
      </c>
      <c r="Y791" s="175">
        <f t="shared" si="25"/>
        <v>0</v>
      </c>
    </row>
    <row r="792" spans="1:25" ht="60" x14ac:dyDescent="0.25">
      <c r="A792" s="32"/>
      <c r="B792" s="32"/>
      <c r="C792" s="32"/>
      <c r="D792" s="32"/>
      <c r="E792" s="32"/>
      <c r="F792" s="32"/>
      <c r="G792" s="1340" t="s">
        <v>2706</v>
      </c>
      <c r="H792" s="66" t="str">
        <f>'BID III'!B248</f>
        <v>Belanja Jasa Honorarium Ahli Profesi/Konsultan/Narasumber</v>
      </c>
      <c r="I792" s="174">
        <f>'BID III'!F249+'BID III'!F250+'BID III'!F251</f>
        <v>11950000</v>
      </c>
      <c r="J792" s="66" t="s">
        <v>2626</v>
      </c>
      <c r="K792" s="497" t="s">
        <v>3031</v>
      </c>
      <c r="L792" s="32"/>
      <c r="M792" s="497">
        <v>11950000</v>
      </c>
      <c r="N792" s="32"/>
      <c r="O792" s="32"/>
      <c r="P792" s="32"/>
      <c r="Q792" s="32"/>
      <c r="R792" s="32"/>
      <c r="S792" s="32"/>
      <c r="T792" s="32"/>
      <c r="U792" s="32"/>
      <c r="V792" s="32"/>
      <c r="W792" s="32"/>
      <c r="X792" s="1750">
        <f t="shared" si="24"/>
        <v>11950000</v>
      </c>
      <c r="Y792" s="175">
        <f t="shared" si="25"/>
        <v>0</v>
      </c>
    </row>
    <row r="793" spans="1:25" x14ac:dyDescent="0.25">
      <c r="A793" s="32"/>
      <c r="B793" s="32"/>
      <c r="C793" s="32"/>
      <c r="D793" s="32">
        <v>5</v>
      </c>
      <c r="E793" s="32">
        <v>2</v>
      </c>
      <c r="F793" s="32">
        <v>4</v>
      </c>
      <c r="G793" s="32"/>
      <c r="H793" s="66" t="str">
        <f>'BID III'!B252</f>
        <v>Belanja Jasa Sewa</v>
      </c>
      <c r="I793" s="32"/>
      <c r="J793" s="66"/>
      <c r="K793" s="497" t="s">
        <v>3031</v>
      </c>
      <c r="L793" s="32"/>
      <c r="M793" s="497"/>
      <c r="N793" s="32"/>
      <c r="O793" s="32"/>
      <c r="P793" s="32"/>
      <c r="Q793" s="32"/>
      <c r="R793" s="32"/>
      <c r="S793" s="32"/>
      <c r="T793" s="32"/>
      <c r="U793" s="32"/>
      <c r="V793" s="32"/>
      <c r="W793" s="32"/>
      <c r="X793" s="1750">
        <f t="shared" si="24"/>
        <v>0</v>
      </c>
      <c r="Y793" s="175">
        <f t="shared" si="25"/>
        <v>0</v>
      </c>
    </row>
    <row r="794" spans="1:25" ht="30" x14ac:dyDescent="0.25">
      <c r="A794" s="32"/>
      <c r="B794" s="32"/>
      <c r="C794" s="32"/>
      <c r="D794" s="32"/>
      <c r="E794" s="32"/>
      <c r="F794" s="32"/>
      <c r="G794" s="1340" t="s">
        <v>2702</v>
      </c>
      <c r="H794" s="66" t="str">
        <f>'BID III'!B253</f>
        <v>Belanja Jasa Sewa Perlengkapan</v>
      </c>
      <c r="I794" s="174">
        <f>'BID III'!F254</f>
        <v>1000000</v>
      </c>
      <c r="J794" s="66" t="s">
        <v>2626</v>
      </c>
      <c r="K794" s="497" t="s">
        <v>3031</v>
      </c>
      <c r="L794" s="32"/>
      <c r="M794" s="497">
        <v>1000000</v>
      </c>
      <c r="N794" s="32"/>
      <c r="O794" s="32"/>
      <c r="P794" s="32"/>
      <c r="Q794" s="32"/>
      <c r="R794" s="32"/>
      <c r="S794" s="32"/>
      <c r="T794" s="32"/>
      <c r="U794" s="32"/>
      <c r="V794" s="32"/>
      <c r="W794" s="32"/>
      <c r="X794" s="1750">
        <f t="shared" si="24"/>
        <v>1000000</v>
      </c>
      <c r="Y794" s="175">
        <f t="shared" si="25"/>
        <v>0</v>
      </c>
    </row>
    <row r="795" spans="1:25" ht="45" x14ac:dyDescent="0.25">
      <c r="A795" s="32"/>
      <c r="B795" s="32"/>
      <c r="C795" s="32"/>
      <c r="D795" s="32">
        <v>5</v>
      </c>
      <c r="E795" s="32">
        <v>2</v>
      </c>
      <c r="F795" s="32">
        <v>7</v>
      </c>
      <c r="G795" s="32"/>
      <c r="H795" s="66" t="str">
        <f>'BID III'!B255</f>
        <v>Belanja Barang dan Jasa yang Diserahkan Kepada Masyarakat</v>
      </c>
      <c r="I795" s="32"/>
      <c r="J795" s="66"/>
      <c r="K795" s="497" t="s">
        <v>3031</v>
      </c>
      <c r="L795" s="32"/>
      <c r="M795" s="497"/>
      <c r="N795" s="32"/>
      <c r="O795" s="32"/>
      <c r="P795" s="32"/>
      <c r="Q795" s="32"/>
      <c r="R795" s="32"/>
      <c r="S795" s="32"/>
      <c r="T795" s="32"/>
      <c r="U795" s="32"/>
      <c r="V795" s="32"/>
      <c r="W795" s="32"/>
      <c r="X795" s="1750">
        <f t="shared" si="24"/>
        <v>0</v>
      </c>
      <c r="Y795" s="175">
        <f t="shared" si="25"/>
        <v>0</v>
      </c>
    </row>
    <row r="796" spans="1:25" ht="30" x14ac:dyDescent="0.25">
      <c r="A796" s="32"/>
      <c r="B796" s="32"/>
      <c r="C796" s="32"/>
      <c r="D796" s="32"/>
      <c r="E796" s="32"/>
      <c r="F796" s="32"/>
      <c r="G796" s="32">
        <v>90</v>
      </c>
      <c r="H796" s="66" t="str">
        <f>'BID III'!B256</f>
        <v>Belanja Jasa Atlit dan Seniman Berprestasi</v>
      </c>
      <c r="I796" s="174">
        <f>SUM('BID III'!F259:F267)</f>
        <v>10692000</v>
      </c>
      <c r="J796" s="66" t="s">
        <v>2626</v>
      </c>
      <c r="K796" s="497" t="s">
        <v>3031</v>
      </c>
      <c r="L796" s="32"/>
      <c r="M796" s="497">
        <v>10692000</v>
      </c>
      <c r="N796" s="32"/>
      <c r="O796" s="32"/>
      <c r="P796" s="32"/>
      <c r="Q796" s="32"/>
      <c r="R796" s="32"/>
      <c r="S796" s="32"/>
      <c r="T796" s="32"/>
      <c r="U796" s="32"/>
      <c r="V796" s="32"/>
      <c r="W796" s="32"/>
      <c r="X796" s="1750">
        <f t="shared" si="24"/>
        <v>10692000</v>
      </c>
      <c r="Y796" s="175">
        <f t="shared" si="25"/>
        <v>0</v>
      </c>
    </row>
    <row r="797" spans="1:25" ht="30" x14ac:dyDescent="0.25">
      <c r="A797" s="32"/>
      <c r="B797" s="32"/>
      <c r="C797" s="32"/>
      <c r="D797" s="32"/>
      <c r="E797" s="32"/>
      <c r="F797" s="32"/>
      <c r="G797" s="32"/>
      <c r="H797" s="66" t="str">
        <f>'BID III'!B268</f>
        <v>Pengiriman Peserta Bulan Bahasa Bali Ke Kota</v>
      </c>
      <c r="I797" s="32"/>
      <c r="J797" s="66"/>
      <c r="K797" s="497" t="s">
        <v>3031</v>
      </c>
      <c r="L797" s="32"/>
      <c r="M797" s="497"/>
      <c r="N797" s="32"/>
      <c r="O797" s="32"/>
      <c r="P797" s="32"/>
      <c r="Q797" s="32"/>
      <c r="R797" s="32"/>
      <c r="S797" s="32"/>
      <c r="T797" s="32"/>
      <c r="U797" s="32"/>
      <c r="V797" s="32"/>
      <c r="W797" s="32"/>
      <c r="X797" s="1750">
        <f t="shared" si="24"/>
        <v>0</v>
      </c>
      <c r="Y797" s="175">
        <f t="shared" si="25"/>
        <v>0</v>
      </c>
    </row>
    <row r="798" spans="1:25" x14ac:dyDescent="0.25">
      <c r="A798" s="32"/>
      <c r="B798" s="32"/>
      <c r="C798" s="32"/>
      <c r="D798" s="32">
        <v>5</v>
      </c>
      <c r="E798" s="32">
        <v>2</v>
      </c>
      <c r="F798" s="32"/>
      <c r="G798" s="32"/>
      <c r="H798" s="66" t="str">
        <f>'BID III'!B269</f>
        <v>Belanja Barang Jasa</v>
      </c>
      <c r="I798" s="32"/>
      <c r="J798" s="66"/>
      <c r="K798" s="497" t="s">
        <v>3031</v>
      </c>
      <c r="L798" s="32"/>
      <c r="M798" s="497"/>
      <c r="N798" s="32"/>
      <c r="O798" s="32"/>
      <c r="P798" s="32"/>
      <c r="Q798" s="32"/>
      <c r="R798" s="32"/>
      <c r="S798" s="32"/>
      <c r="T798" s="32"/>
      <c r="U798" s="32"/>
      <c r="V798" s="32"/>
      <c r="W798" s="32"/>
      <c r="X798" s="1750">
        <f t="shared" si="24"/>
        <v>0</v>
      </c>
      <c r="Y798" s="175">
        <f t="shared" si="25"/>
        <v>0</v>
      </c>
    </row>
    <row r="799" spans="1:25" ht="30" x14ac:dyDescent="0.25">
      <c r="A799" s="32"/>
      <c r="B799" s="32"/>
      <c r="C799" s="32"/>
      <c r="D799" s="32"/>
      <c r="E799" s="32"/>
      <c r="F799" s="32">
        <v>1</v>
      </c>
      <c r="G799" s="32"/>
      <c r="H799" s="66" t="str">
        <f>'BID III'!B270</f>
        <v>Belanja Barang Perlengkapan</v>
      </c>
      <c r="I799" s="32"/>
      <c r="J799" s="66"/>
      <c r="K799" s="497" t="s">
        <v>3031</v>
      </c>
      <c r="L799" s="32"/>
      <c r="M799" s="497"/>
      <c r="N799" s="32"/>
      <c r="O799" s="32"/>
      <c r="P799" s="32"/>
      <c r="Q799" s="32"/>
      <c r="R799" s="32"/>
      <c r="S799" s="32"/>
      <c r="T799" s="32"/>
      <c r="U799" s="32"/>
      <c r="V799" s="32"/>
      <c r="W799" s="32"/>
      <c r="X799" s="1750">
        <f t="shared" si="24"/>
        <v>0</v>
      </c>
      <c r="Y799" s="175">
        <f t="shared" si="25"/>
        <v>0</v>
      </c>
    </row>
    <row r="800" spans="1:25" ht="45" x14ac:dyDescent="0.25">
      <c r="A800" s="32"/>
      <c r="B800" s="32"/>
      <c r="C800" s="32"/>
      <c r="D800" s="32"/>
      <c r="E800" s="32"/>
      <c r="F800" s="32"/>
      <c r="G800" s="1340" t="s">
        <v>2705</v>
      </c>
      <c r="H800" s="66" t="str">
        <f>'BID III'!B271</f>
        <v>Belanja Barang Perlengkapan Barang Konsumsi</v>
      </c>
      <c r="I800" s="174">
        <f>SUM('BID III'!F272:F273)</f>
        <v>525000</v>
      </c>
      <c r="J800" s="66" t="s">
        <v>2626</v>
      </c>
      <c r="K800" s="497" t="s">
        <v>3031</v>
      </c>
      <c r="L800" s="32"/>
      <c r="M800" s="497">
        <v>525000</v>
      </c>
      <c r="N800" s="32"/>
      <c r="O800" s="32"/>
      <c r="P800" s="32"/>
      <c r="Q800" s="32"/>
      <c r="R800" s="32"/>
      <c r="S800" s="32"/>
      <c r="T800" s="32"/>
      <c r="U800" s="32"/>
      <c r="V800" s="32"/>
      <c r="W800" s="32"/>
      <c r="X800" s="1750">
        <f t="shared" ref="X800:X863" si="26">SUM(L800:W800)</f>
        <v>525000</v>
      </c>
      <c r="Y800" s="175">
        <f t="shared" si="25"/>
        <v>0</v>
      </c>
    </row>
    <row r="801" spans="1:25" ht="30" x14ac:dyDescent="0.25">
      <c r="A801" s="32"/>
      <c r="B801" s="32"/>
      <c r="C801" s="32"/>
      <c r="D801" s="32"/>
      <c r="E801" s="32"/>
      <c r="F801" s="32"/>
      <c r="G801" s="1340" t="s">
        <v>2708</v>
      </c>
      <c r="H801" s="66" t="str">
        <f>'BID III'!B274</f>
        <v>Belanja Bahan Material</v>
      </c>
      <c r="I801" s="174">
        <f>'BID III'!F275+'BID III'!F276</f>
        <v>1800000</v>
      </c>
      <c r="J801" s="66" t="s">
        <v>2626</v>
      </c>
      <c r="K801" s="497" t="s">
        <v>3031</v>
      </c>
      <c r="L801" s="32"/>
      <c r="M801" s="497">
        <v>1800000</v>
      </c>
      <c r="N801" s="32"/>
      <c r="O801" s="32"/>
      <c r="P801" s="32"/>
      <c r="Q801" s="32"/>
      <c r="R801" s="32"/>
      <c r="S801" s="32"/>
      <c r="T801" s="32"/>
      <c r="U801" s="32"/>
      <c r="V801" s="32"/>
      <c r="W801" s="32"/>
      <c r="X801" s="1750">
        <f t="shared" si="26"/>
        <v>1800000</v>
      </c>
      <c r="Y801" s="175">
        <f t="shared" si="25"/>
        <v>0</v>
      </c>
    </row>
    <row r="802" spans="1:25" x14ac:dyDescent="0.25">
      <c r="A802" s="32"/>
      <c r="B802" s="32"/>
      <c r="C802" s="32"/>
      <c r="D802" s="32">
        <v>5</v>
      </c>
      <c r="E802" s="32">
        <v>2</v>
      </c>
      <c r="F802" s="32">
        <v>2</v>
      </c>
      <c r="G802" s="32"/>
      <c r="H802" s="66" t="str">
        <f>'BID III'!B277</f>
        <v>Belanja Jasa Honorarium</v>
      </c>
      <c r="I802" s="32"/>
      <c r="J802" s="66"/>
      <c r="K802" s="497" t="s">
        <v>3031</v>
      </c>
      <c r="L802" s="32"/>
      <c r="M802" s="497"/>
      <c r="N802" s="32"/>
      <c r="O802" s="32"/>
      <c r="P802" s="32"/>
      <c r="Q802" s="32"/>
      <c r="R802" s="32"/>
      <c r="S802" s="32"/>
      <c r="T802" s="32"/>
      <c r="U802" s="32"/>
      <c r="V802" s="32"/>
      <c r="W802" s="32"/>
      <c r="X802" s="1750">
        <f t="shared" si="26"/>
        <v>0</v>
      </c>
      <c r="Y802" s="175">
        <f t="shared" si="25"/>
        <v>0</v>
      </c>
    </row>
    <row r="803" spans="1:25" ht="30" x14ac:dyDescent="0.25">
      <c r="A803" s="32"/>
      <c r="B803" s="32"/>
      <c r="C803" s="32"/>
      <c r="D803" s="32"/>
      <c r="E803" s="32"/>
      <c r="F803" s="32"/>
      <c r="G803" s="1340" t="s">
        <v>2688</v>
      </c>
      <c r="H803" s="66" t="str">
        <f>'BID III'!B278</f>
        <v>Honor Tim Pelaksana Kegiatan</v>
      </c>
      <c r="I803" s="174">
        <f>SUM('BID III'!F279:F280)</f>
        <v>700000</v>
      </c>
      <c r="J803" s="66" t="s">
        <v>2626</v>
      </c>
      <c r="K803" s="497" t="s">
        <v>3031</v>
      </c>
      <c r="L803" s="32"/>
      <c r="M803" s="497">
        <v>700000</v>
      </c>
      <c r="N803" s="32"/>
      <c r="O803" s="32"/>
      <c r="P803" s="32"/>
      <c r="Q803" s="32"/>
      <c r="R803" s="32"/>
      <c r="S803" s="32"/>
      <c r="T803" s="32"/>
      <c r="U803" s="32"/>
      <c r="V803" s="32"/>
      <c r="W803" s="32"/>
      <c r="X803" s="1750">
        <f t="shared" si="26"/>
        <v>700000</v>
      </c>
      <c r="Y803" s="175">
        <f t="shared" si="25"/>
        <v>0</v>
      </c>
    </row>
    <row r="804" spans="1:25" ht="60" x14ac:dyDescent="0.25">
      <c r="A804" s="32"/>
      <c r="B804" s="32"/>
      <c r="C804" s="32"/>
      <c r="D804" s="32"/>
      <c r="E804" s="32"/>
      <c r="F804" s="32"/>
      <c r="G804" s="1340" t="s">
        <v>2704</v>
      </c>
      <c r="H804" s="66" t="str">
        <f>'BID III'!B281</f>
        <v>Belanja Jasa Honorarium Ahli/ Profesi/Konsultan/Narasumber</v>
      </c>
      <c r="I804" s="174">
        <f>'BID III'!F282</f>
        <v>300000</v>
      </c>
      <c r="J804" s="66" t="s">
        <v>2626</v>
      </c>
      <c r="K804" s="497" t="s">
        <v>3031</v>
      </c>
      <c r="L804" s="32"/>
      <c r="M804" s="497">
        <v>300000</v>
      </c>
      <c r="N804" s="32"/>
      <c r="O804" s="32"/>
      <c r="P804" s="32"/>
      <c r="Q804" s="32"/>
      <c r="R804" s="32"/>
      <c r="S804" s="32"/>
      <c r="T804" s="32"/>
      <c r="U804" s="32"/>
      <c r="V804" s="32"/>
      <c r="W804" s="32"/>
      <c r="X804" s="1750">
        <f t="shared" si="26"/>
        <v>300000</v>
      </c>
      <c r="Y804" s="175">
        <f t="shared" si="25"/>
        <v>0</v>
      </c>
    </row>
    <row r="805" spans="1:25" ht="45" x14ac:dyDescent="0.25">
      <c r="A805" s="32"/>
      <c r="B805" s="32"/>
      <c r="C805" s="32"/>
      <c r="D805" s="32">
        <v>5</v>
      </c>
      <c r="E805" s="32">
        <v>2</v>
      </c>
      <c r="F805" s="32">
        <v>1</v>
      </c>
      <c r="G805" s="32">
        <v>90</v>
      </c>
      <c r="H805" s="66" t="str">
        <f>'BID III'!B283</f>
        <v>Belanja Barang dan Jasa yang Diserahkan Kepada Masyarakat</v>
      </c>
      <c r="I805" s="174">
        <f>'BID III'!F284</f>
        <v>150000</v>
      </c>
      <c r="J805" s="66" t="s">
        <v>2626</v>
      </c>
      <c r="K805" s="497" t="s">
        <v>3031</v>
      </c>
      <c r="L805" s="32"/>
      <c r="M805" s="497">
        <v>150000</v>
      </c>
      <c r="N805" s="32"/>
      <c r="O805" s="32"/>
      <c r="P805" s="32"/>
      <c r="Q805" s="32"/>
      <c r="R805" s="32"/>
      <c r="S805" s="32"/>
      <c r="T805" s="32"/>
      <c r="U805" s="32"/>
      <c r="V805" s="32"/>
      <c r="W805" s="32"/>
      <c r="X805" s="1750">
        <f t="shared" si="26"/>
        <v>150000</v>
      </c>
      <c r="Y805" s="175">
        <f t="shared" si="25"/>
        <v>0</v>
      </c>
    </row>
    <row r="806" spans="1:25" ht="75" x14ac:dyDescent="0.25">
      <c r="A806" s="1344">
        <v>3</v>
      </c>
      <c r="B806" s="1344">
        <v>2</v>
      </c>
      <c r="C806" s="1346" t="s">
        <v>2704</v>
      </c>
      <c r="D806" s="1344"/>
      <c r="E806" s="1344"/>
      <c r="F806" s="1344"/>
      <c r="G806" s="1344"/>
      <c r="H806" s="1345" t="str">
        <f>'BID III'!B299</f>
        <v>Pemeliharaan sarana prasarana keagamaan milik desa (Pavingnisasi Area Pura Dalem Taman Pohmanis)</v>
      </c>
      <c r="I806" s="1349">
        <f>SUM(I808:I809)</f>
        <v>94693000</v>
      </c>
      <c r="J806" s="1345" t="s">
        <v>2620</v>
      </c>
      <c r="K806" s="1796" t="s">
        <v>3030</v>
      </c>
      <c r="L806" s="1344"/>
      <c r="M806" s="1344"/>
      <c r="N806" s="1344"/>
      <c r="O806" s="1344"/>
      <c r="P806" s="1344"/>
      <c r="Q806" s="1344"/>
      <c r="R806" s="1344"/>
      <c r="S806" s="1344"/>
      <c r="T806" s="1344"/>
      <c r="U806" s="1344"/>
      <c r="V806" s="1344"/>
      <c r="W806" s="1344"/>
      <c r="X806" s="1353">
        <f t="shared" si="26"/>
        <v>0</v>
      </c>
      <c r="Y806" s="175">
        <f t="shared" si="25"/>
        <v>-94693000</v>
      </c>
    </row>
    <row r="807" spans="1:25" ht="30" x14ac:dyDescent="0.25">
      <c r="A807" s="32"/>
      <c r="B807" s="32"/>
      <c r="C807" s="1340"/>
      <c r="D807" s="32">
        <v>5</v>
      </c>
      <c r="E807" s="32">
        <v>2</v>
      </c>
      <c r="F807" s="32"/>
      <c r="G807" s="32"/>
      <c r="H807" s="66" t="s">
        <v>323</v>
      </c>
      <c r="I807" s="174"/>
      <c r="J807" s="66"/>
      <c r="K807" s="1797" t="s">
        <v>3030</v>
      </c>
      <c r="L807" s="32"/>
      <c r="M807" s="32"/>
      <c r="N807" s="32"/>
      <c r="O807" s="32"/>
      <c r="P807" s="32"/>
      <c r="Q807" s="32"/>
      <c r="R807" s="32"/>
      <c r="S807" s="32"/>
      <c r="T807" s="32"/>
      <c r="U807" s="32"/>
      <c r="V807" s="32"/>
      <c r="W807" s="32"/>
      <c r="X807" s="1750">
        <f t="shared" si="26"/>
        <v>0</v>
      </c>
      <c r="Y807" s="175">
        <f t="shared" si="25"/>
        <v>0</v>
      </c>
    </row>
    <row r="808" spans="1:25" ht="45" x14ac:dyDescent="0.25">
      <c r="A808" s="32"/>
      <c r="B808" s="32"/>
      <c r="C808" s="32"/>
      <c r="D808" s="32">
        <v>5</v>
      </c>
      <c r="E808" s="32">
        <v>2</v>
      </c>
      <c r="F808" s="32">
        <v>7</v>
      </c>
      <c r="G808" s="32"/>
      <c r="H808" s="66" t="str">
        <f>'BID III'!B306</f>
        <v>Belanja Barang dan Jasa yang Diserahkan Kepada Masyarakat</v>
      </c>
      <c r="I808" s="174"/>
      <c r="J808" s="66"/>
      <c r="K808" s="1797" t="s">
        <v>3030</v>
      </c>
      <c r="L808" s="32"/>
      <c r="M808" s="32"/>
      <c r="N808" s="32"/>
      <c r="O808" s="32"/>
      <c r="P808" s="32"/>
      <c r="Q808" s="32"/>
      <c r="R808" s="32"/>
      <c r="S808" s="32"/>
      <c r="T808" s="32"/>
      <c r="U808" s="32"/>
      <c r="V808" s="32"/>
      <c r="W808" s="32"/>
      <c r="X808" s="1750">
        <f t="shared" si="26"/>
        <v>0</v>
      </c>
      <c r="Y808" s="175">
        <f t="shared" si="25"/>
        <v>0</v>
      </c>
    </row>
    <row r="809" spans="1:25" ht="60" x14ac:dyDescent="0.25">
      <c r="A809" s="32"/>
      <c r="B809" s="32"/>
      <c r="C809" s="32"/>
      <c r="D809" s="32"/>
      <c r="E809" s="32"/>
      <c r="F809" s="32"/>
      <c r="G809" s="1340" t="s">
        <v>2703</v>
      </c>
      <c r="H809" s="66" t="str">
        <f>'BID III'!B307</f>
        <v>Belanja Bantuan Bangunan Yang Diserahkan Kepada Masyarakat</v>
      </c>
      <c r="I809" s="174">
        <f>'BID III'!F324</f>
        <v>94693000</v>
      </c>
      <c r="J809" s="66" t="s">
        <v>2620</v>
      </c>
      <c r="K809" s="1797" t="s">
        <v>3030</v>
      </c>
      <c r="L809" s="32"/>
      <c r="M809" s="32"/>
      <c r="N809" s="32"/>
      <c r="O809" s="32"/>
      <c r="P809" s="32"/>
      <c r="Q809" s="32"/>
      <c r="R809" s="32"/>
      <c r="S809" s="497">
        <v>94693000</v>
      </c>
      <c r="T809" s="32"/>
      <c r="U809" s="32"/>
      <c r="V809" s="32"/>
      <c r="W809" s="32"/>
      <c r="X809" s="1750">
        <f t="shared" si="26"/>
        <v>94693000</v>
      </c>
      <c r="Y809" s="175">
        <f t="shared" si="25"/>
        <v>0</v>
      </c>
    </row>
    <row r="810" spans="1:25" ht="60" x14ac:dyDescent="0.25">
      <c r="A810" s="1344">
        <v>3</v>
      </c>
      <c r="B810" s="1344">
        <v>2</v>
      </c>
      <c r="C810" s="1346" t="s">
        <v>2704</v>
      </c>
      <c r="D810" s="1344"/>
      <c r="E810" s="1344"/>
      <c r="F810" s="1344"/>
      <c r="G810" s="1344"/>
      <c r="H810" s="1345" t="str">
        <f>'BID III'!B338</f>
        <v>: Pemeliharaan Sarana dan Prasarana kebudayaan/Rumah adat (Candi Banjar Mertasari)</v>
      </c>
      <c r="I810" s="1349">
        <f>I813</f>
        <v>77163000</v>
      </c>
      <c r="J810" s="1345" t="s">
        <v>2620</v>
      </c>
      <c r="K810" s="1796" t="s">
        <v>3030</v>
      </c>
      <c r="L810" s="1344"/>
      <c r="M810" s="1344"/>
      <c r="N810" s="1344"/>
      <c r="O810" s="1344"/>
      <c r="P810" s="1344"/>
      <c r="Q810" s="1344"/>
      <c r="R810" s="1344"/>
      <c r="S810" s="1344"/>
      <c r="T810" s="1344"/>
      <c r="U810" s="1344"/>
      <c r="V810" s="1344"/>
      <c r="W810" s="1344"/>
      <c r="X810" s="1353">
        <f t="shared" si="26"/>
        <v>0</v>
      </c>
      <c r="Y810" s="175">
        <f t="shared" ref="Y810:Y873" si="27">X810-I810</f>
        <v>-77163000</v>
      </c>
    </row>
    <row r="811" spans="1:25" ht="30" x14ac:dyDescent="0.25">
      <c r="A811" s="32"/>
      <c r="B811" s="32"/>
      <c r="C811" s="32"/>
      <c r="D811" s="32">
        <v>5</v>
      </c>
      <c r="E811" s="32">
        <v>2</v>
      </c>
      <c r="F811" s="32"/>
      <c r="G811" s="32"/>
      <c r="H811" s="66" t="str">
        <f>'BID III'!B345</f>
        <v>Belanja Barang Jasa</v>
      </c>
      <c r="I811" s="32"/>
      <c r="J811" s="66"/>
      <c r="K811" s="1797" t="s">
        <v>3030</v>
      </c>
      <c r="L811" s="32"/>
      <c r="M811" s="32"/>
      <c r="N811" s="32"/>
      <c r="O811" s="32"/>
      <c r="P811" s="32"/>
      <c r="Q811" s="32"/>
      <c r="R811" s="32"/>
      <c r="S811" s="32"/>
      <c r="T811" s="32"/>
      <c r="U811" s="32"/>
      <c r="V811" s="32"/>
      <c r="W811" s="32"/>
      <c r="X811" s="1750">
        <f t="shared" si="26"/>
        <v>0</v>
      </c>
      <c r="Y811" s="175">
        <f t="shared" si="27"/>
        <v>0</v>
      </c>
    </row>
    <row r="812" spans="1:25" ht="45" x14ac:dyDescent="0.25">
      <c r="A812" s="32"/>
      <c r="B812" s="32"/>
      <c r="C812" s="32"/>
      <c r="D812" s="32"/>
      <c r="E812" s="32"/>
      <c r="F812" s="32">
        <v>7</v>
      </c>
      <c r="G812" s="1340"/>
      <c r="H812" s="66" t="str">
        <f>'BID III'!B346</f>
        <v>Belanja Barang Jasa Yang Diserahkan Kepada Masyarakat</v>
      </c>
      <c r="I812" s="32"/>
      <c r="J812" s="66"/>
      <c r="K812" s="1797" t="s">
        <v>3030</v>
      </c>
      <c r="L812" s="32"/>
      <c r="M812" s="32"/>
      <c r="N812" s="32"/>
      <c r="O812" s="32"/>
      <c r="P812" s="32"/>
      <c r="Q812" s="32"/>
      <c r="R812" s="32"/>
      <c r="S812" s="32"/>
      <c r="T812" s="32"/>
      <c r="U812" s="32"/>
      <c r="V812" s="32"/>
      <c r="W812" s="32"/>
      <c r="X812" s="1750">
        <f t="shared" si="26"/>
        <v>0</v>
      </c>
      <c r="Y812" s="175">
        <f t="shared" si="27"/>
        <v>0</v>
      </c>
    </row>
    <row r="813" spans="1:25" ht="60" x14ac:dyDescent="0.25">
      <c r="A813" s="32"/>
      <c r="B813" s="32"/>
      <c r="C813" s="32"/>
      <c r="D813" s="32"/>
      <c r="E813" s="32"/>
      <c r="F813" s="32"/>
      <c r="G813" s="1340" t="s">
        <v>2703</v>
      </c>
      <c r="H813" s="66" t="str">
        <f>'BID III'!B347</f>
        <v>Belanja Bantuan Bangunan Yang di serahkan Kepanda Masyarakat</v>
      </c>
      <c r="I813" s="470">
        <f>'BID III'!F368</f>
        <v>77163000</v>
      </c>
      <c r="J813" s="66" t="s">
        <v>2620</v>
      </c>
      <c r="K813" s="1797" t="s">
        <v>3030</v>
      </c>
      <c r="L813" s="32"/>
      <c r="M813" s="32"/>
      <c r="N813" s="32"/>
      <c r="O813" s="32"/>
      <c r="P813" s="32"/>
      <c r="Q813" s="32"/>
      <c r="R813" s="32"/>
      <c r="S813" s="32"/>
      <c r="T813" s="32"/>
      <c r="U813" s="497">
        <v>77163000</v>
      </c>
      <c r="V813" s="32"/>
      <c r="W813" s="32"/>
      <c r="X813" s="1750">
        <f t="shared" si="26"/>
        <v>77163000</v>
      </c>
      <c r="Y813" s="175">
        <f t="shared" si="27"/>
        <v>0</v>
      </c>
    </row>
    <row r="814" spans="1:25" ht="45" x14ac:dyDescent="0.25">
      <c r="A814" s="1344">
        <v>3</v>
      </c>
      <c r="B814" s="1344">
        <v>2</v>
      </c>
      <c r="C814" s="1344">
        <v>90</v>
      </c>
      <c r="D814" s="1344"/>
      <c r="E814" s="1344"/>
      <c r="F814" s="1344"/>
      <c r="G814" s="1344"/>
      <c r="H814" s="1345" t="str">
        <f>'BID III'!B382</f>
        <v xml:space="preserve"> : Pembinaan Adat dan Keagamaan (Piodalan Padmasana)</v>
      </c>
      <c r="I814" s="1347">
        <f>SUM(I815:I818)</f>
        <v>15474698</v>
      </c>
      <c r="J814" s="1345" t="s">
        <v>2621</v>
      </c>
      <c r="K814" s="1347" t="s">
        <v>3031</v>
      </c>
      <c r="L814" s="1344"/>
      <c r="M814" s="1344"/>
      <c r="N814" s="1344"/>
      <c r="O814" s="1344"/>
      <c r="P814" s="1344"/>
      <c r="Q814" s="1344"/>
      <c r="R814" s="1344"/>
      <c r="S814" s="1344"/>
      <c r="T814" s="1344"/>
      <c r="U814" s="1344"/>
      <c r="V814" s="1344"/>
      <c r="W814" s="1344"/>
      <c r="X814" s="1353">
        <f t="shared" si="26"/>
        <v>0</v>
      </c>
      <c r="Y814" s="175">
        <f t="shared" si="27"/>
        <v>-15474698</v>
      </c>
    </row>
    <row r="815" spans="1:25" x14ac:dyDescent="0.25">
      <c r="A815" s="32"/>
      <c r="B815" s="32"/>
      <c r="C815" s="32"/>
      <c r="D815" s="32">
        <v>5</v>
      </c>
      <c r="E815" s="32">
        <v>2</v>
      </c>
      <c r="F815" s="32"/>
      <c r="G815" s="32"/>
      <c r="H815" s="66" t="str">
        <f>'BID III'!B388</f>
        <v xml:space="preserve">Belanja Barang dan Jasa </v>
      </c>
      <c r="I815" s="470"/>
      <c r="J815" s="66"/>
      <c r="K815" s="497" t="s">
        <v>3031</v>
      </c>
      <c r="L815" s="32"/>
      <c r="M815" s="32"/>
      <c r="N815" s="32"/>
      <c r="O815" s="32"/>
      <c r="P815" s="32"/>
      <c r="Q815" s="32"/>
      <c r="R815" s="32"/>
      <c r="S815" s="32"/>
      <c r="T815" s="32"/>
      <c r="U815" s="32"/>
      <c r="V815" s="32"/>
      <c r="W815" s="32"/>
      <c r="X815" s="1750">
        <f t="shared" si="26"/>
        <v>0</v>
      </c>
      <c r="Y815" s="175">
        <f t="shared" si="27"/>
        <v>0</v>
      </c>
    </row>
    <row r="816" spans="1:25" ht="30" x14ac:dyDescent="0.25">
      <c r="A816" s="32"/>
      <c r="B816" s="32"/>
      <c r="C816" s="32"/>
      <c r="D816" s="32"/>
      <c r="E816" s="32"/>
      <c r="F816" s="32">
        <v>1</v>
      </c>
      <c r="G816" s="32"/>
      <c r="H816" s="66" t="str">
        <f>'BID III'!B389</f>
        <v>Belanja Barang Perlengkapan</v>
      </c>
      <c r="I816" s="470"/>
      <c r="J816" s="66"/>
      <c r="K816" s="497" t="s">
        <v>3031</v>
      </c>
      <c r="L816" s="32"/>
      <c r="M816" s="32"/>
      <c r="N816" s="32"/>
      <c r="O816" s="32"/>
      <c r="P816" s="32"/>
      <c r="Q816" s="32"/>
      <c r="R816" s="32"/>
      <c r="S816" s="32"/>
      <c r="T816" s="32"/>
      <c r="U816" s="32"/>
      <c r="V816" s="32"/>
      <c r="W816" s="32"/>
      <c r="X816" s="1750">
        <f t="shared" si="26"/>
        <v>0</v>
      </c>
      <c r="Y816" s="175">
        <f t="shared" si="27"/>
        <v>0</v>
      </c>
    </row>
    <row r="817" spans="1:25" ht="30" x14ac:dyDescent="0.25">
      <c r="A817" s="32"/>
      <c r="B817" s="32"/>
      <c r="C817" s="32"/>
      <c r="D817" s="32"/>
      <c r="E817" s="32"/>
      <c r="F817" s="32"/>
      <c r="G817" s="1340" t="s">
        <v>2705</v>
      </c>
      <c r="H817" s="66" t="str">
        <f>'BID III'!B390</f>
        <v>Belanja Perlengkapan Barang Konsumsi</v>
      </c>
      <c r="I817" s="470">
        <f>SUM('BID III'!F391)</f>
        <v>7500000</v>
      </c>
      <c r="J817" s="66" t="s">
        <v>2621</v>
      </c>
      <c r="K817" s="497" t="s">
        <v>3031</v>
      </c>
      <c r="L817" s="32"/>
      <c r="M817" s="32"/>
      <c r="N817" s="497">
        <v>3750000</v>
      </c>
      <c r="O817" s="32"/>
      <c r="P817" s="32"/>
      <c r="Q817" s="32"/>
      <c r="R817" s="32"/>
      <c r="S817" s="32"/>
      <c r="T817" s="32"/>
      <c r="U817" s="497">
        <v>3750000</v>
      </c>
      <c r="V817" s="32"/>
      <c r="W817" s="32"/>
      <c r="X817" s="1750">
        <f t="shared" si="26"/>
        <v>7500000</v>
      </c>
      <c r="Y817" s="175">
        <f t="shared" si="27"/>
        <v>0</v>
      </c>
    </row>
    <row r="818" spans="1:25" x14ac:dyDescent="0.25">
      <c r="A818" s="32"/>
      <c r="B818" s="32"/>
      <c r="C818" s="32"/>
      <c r="D818" s="32"/>
      <c r="E818" s="32"/>
      <c r="F818" s="32"/>
      <c r="G818" s="32">
        <v>90</v>
      </c>
      <c r="H818" s="32" t="str">
        <f>'BID III'!B392</f>
        <v>Belanja Upakara dan Upacara</v>
      </c>
      <c r="I818" s="470">
        <f>SUM('BID III'!F393:F406)</f>
        <v>7974698</v>
      </c>
      <c r="J818" s="66" t="s">
        <v>2621</v>
      </c>
      <c r="K818" s="497" t="s">
        <v>3031</v>
      </c>
      <c r="L818" s="32"/>
      <c r="M818" s="32"/>
      <c r="N818" s="497">
        <v>3987349</v>
      </c>
      <c r="O818" s="32"/>
      <c r="P818" s="32"/>
      <c r="Q818" s="32"/>
      <c r="R818" s="32"/>
      <c r="S818" s="32"/>
      <c r="T818" s="32"/>
      <c r="U818" s="497">
        <v>3987349</v>
      </c>
      <c r="V818" s="32"/>
      <c r="W818" s="32"/>
      <c r="X818" s="1750">
        <f t="shared" si="26"/>
        <v>7974698</v>
      </c>
      <c r="Y818" s="175">
        <f t="shared" si="27"/>
        <v>0</v>
      </c>
    </row>
    <row r="819" spans="1:25" ht="45" x14ac:dyDescent="0.25">
      <c r="A819" s="1344">
        <v>3</v>
      </c>
      <c r="B819" s="1344">
        <v>2</v>
      </c>
      <c r="C819" s="1344">
        <v>90</v>
      </c>
      <c r="D819" s="1344"/>
      <c r="E819" s="1344"/>
      <c r="F819" s="1344"/>
      <c r="G819" s="1344"/>
      <c r="H819" s="1345" t="str">
        <f>'BID III'!B421</f>
        <v>: Pembinaan Adat dan Keagamaan (Upakara dan Upacara)</v>
      </c>
      <c r="I819" s="1349">
        <f>I823</f>
        <v>8480000</v>
      </c>
      <c r="J819" s="1345" t="s">
        <v>2621</v>
      </c>
      <c r="K819" s="1347" t="s">
        <v>3031</v>
      </c>
      <c r="L819" s="1344"/>
      <c r="M819" s="1344"/>
      <c r="N819" s="1344"/>
      <c r="O819" s="1344"/>
      <c r="P819" s="1344"/>
      <c r="Q819" s="1344"/>
      <c r="R819" s="1344"/>
      <c r="S819" s="1344"/>
      <c r="T819" s="1344"/>
      <c r="U819" s="1344"/>
      <c r="V819" s="1344"/>
      <c r="W819" s="1344"/>
      <c r="X819" s="1353">
        <f t="shared" si="26"/>
        <v>0</v>
      </c>
      <c r="Y819" s="175">
        <f t="shared" si="27"/>
        <v>-8480000</v>
      </c>
    </row>
    <row r="820" spans="1:25" ht="30" x14ac:dyDescent="0.25">
      <c r="A820" s="32"/>
      <c r="B820" s="32"/>
      <c r="C820" s="32"/>
      <c r="D820" s="32"/>
      <c r="E820" s="32"/>
      <c r="F820" s="32"/>
      <c r="G820" s="32"/>
      <c r="H820" s="66" t="str">
        <f>'BID III'!B427</f>
        <v>Hari Raya Suci Keagamaan)</v>
      </c>
      <c r="I820" s="32"/>
      <c r="J820" s="66"/>
      <c r="K820" s="497" t="s">
        <v>3031</v>
      </c>
      <c r="L820" s="32"/>
      <c r="M820" s="32"/>
      <c r="N820" s="32"/>
      <c r="O820" s="32"/>
      <c r="P820" s="32"/>
      <c r="Q820" s="32"/>
      <c r="R820" s="32"/>
      <c r="S820" s="32"/>
      <c r="T820" s="32"/>
      <c r="U820" s="32"/>
      <c r="V820" s="32"/>
      <c r="W820" s="32"/>
      <c r="X820" s="1750">
        <f t="shared" si="26"/>
        <v>0</v>
      </c>
      <c r="Y820" s="175">
        <f t="shared" si="27"/>
        <v>0</v>
      </c>
    </row>
    <row r="821" spans="1:25" x14ac:dyDescent="0.25">
      <c r="A821" s="32"/>
      <c r="B821" s="32"/>
      <c r="C821" s="32"/>
      <c r="D821" s="32">
        <v>5</v>
      </c>
      <c r="E821" s="32">
        <v>2</v>
      </c>
      <c r="F821" s="32"/>
      <c r="G821" s="32"/>
      <c r="H821" s="66" t="str">
        <f>'BID III'!B428</f>
        <v xml:space="preserve">Belanja Barang dan Jasa </v>
      </c>
      <c r="I821" s="32"/>
      <c r="J821" s="66"/>
      <c r="K821" s="497" t="s">
        <v>3031</v>
      </c>
      <c r="L821" s="32"/>
      <c r="M821" s="32"/>
      <c r="N821" s="32"/>
      <c r="O821" s="32"/>
      <c r="P821" s="32"/>
      <c r="Q821" s="32"/>
      <c r="R821" s="32"/>
      <c r="S821" s="32"/>
      <c r="T821" s="32"/>
      <c r="U821" s="32"/>
      <c r="V821" s="32"/>
      <c r="W821" s="32"/>
      <c r="X821" s="1750">
        <f t="shared" si="26"/>
        <v>0</v>
      </c>
      <c r="Y821" s="175">
        <f t="shared" si="27"/>
        <v>0</v>
      </c>
    </row>
    <row r="822" spans="1:25" ht="30" x14ac:dyDescent="0.25">
      <c r="A822" s="32"/>
      <c r="B822" s="32"/>
      <c r="C822" s="32"/>
      <c r="D822" s="32"/>
      <c r="E822" s="32"/>
      <c r="F822" s="32">
        <v>1</v>
      </c>
      <c r="G822" s="32"/>
      <c r="H822" s="66" t="str">
        <f>'BID III'!B429</f>
        <v>Belanja Barang Perlengkapan</v>
      </c>
      <c r="I822" s="32"/>
      <c r="J822" s="66"/>
      <c r="K822" s="497" t="s">
        <v>3031</v>
      </c>
      <c r="L822" s="32"/>
      <c r="M822" s="32"/>
      <c r="N822" s="32"/>
      <c r="O822" s="32"/>
      <c r="P822" s="32"/>
      <c r="Q822" s="32"/>
      <c r="R822" s="32"/>
      <c r="S822" s="32"/>
      <c r="T822" s="32"/>
      <c r="U822" s="32"/>
      <c r="V822" s="32"/>
      <c r="W822" s="32"/>
      <c r="X822" s="1750">
        <f t="shared" si="26"/>
        <v>0</v>
      </c>
      <c r="Y822" s="175">
        <f t="shared" si="27"/>
        <v>0</v>
      </c>
    </row>
    <row r="823" spans="1:25" ht="30" x14ac:dyDescent="0.25">
      <c r="A823" s="32"/>
      <c r="B823" s="32"/>
      <c r="C823" s="32"/>
      <c r="D823" s="32"/>
      <c r="E823" s="32"/>
      <c r="F823" s="32"/>
      <c r="G823" s="32">
        <v>90</v>
      </c>
      <c r="H823" s="66" t="str">
        <f>'BID III'!B430</f>
        <v>Belanja Upakara dan Upacara</v>
      </c>
      <c r="I823" s="174">
        <f>SUM('BID III'!F431:F440)</f>
        <v>8480000</v>
      </c>
      <c r="J823" s="66" t="s">
        <v>2621</v>
      </c>
      <c r="K823" s="497" t="s">
        <v>3031</v>
      </c>
      <c r="L823" s="32"/>
      <c r="M823" s="32"/>
      <c r="N823" s="497">
        <v>2609749</v>
      </c>
      <c r="O823" s="32"/>
      <c r="P823" s="32"/>
      <c r="Q823" s="32"/>
      <c r="R823" s="32"/>
      <c r="S823" s="497">
        <v>4101098</v>
      </c>
      <c r="T823" s="32"/>
      <c r="U823" s="497">
        <v>1769153</v>
      </c>
      <c r="V823" s="32"/>
      <c r="W823" s="32"/>
      <c r="X823" s="1750">
        <f t="shared" si="26"/>
        <v>8480000</v>
      </c>
      <c r="Y823" s="175">
        <f t="shared" si="27"/>
        <v>0</v>
      </c>
    </row>
    <row r="824" spans="1:25" ht="45" x14ac:dyDescent="0.25">
      <c r="A824" s="1344">
        <v>3</v>
      </c>
      <c r="B824" s="1344">
        <v>2</v>
      </c>
      <c r="C824" s="1344">
        <v>90</v>
      </c>
      <c r="D824" s="1344"/>
      <c r="E824" s="1344"/>
      <c r="F824" s="1344"/>
      <c r="G824" s="1344"/>
      <c r="H824" s="1345" t="str">
        <f>'BID III'!B455</f>
        <v>: Pembinaan Adat dan Keagamaan (Tumpek Landep)</v>
      </c>
      <c r="I824" s="1349">
        <f>SUM(I825:I830)</f>
        <v>26400000</v>
      </c>
      <c r="J824" s="1345" t="s">
        <v>2620</v>
      </c>
      <c r="K824" s="1347" t="s">
        <v>3031</v>
      </c>
      <c r="L824" s="1344"/>
      <c r="M824" s="1344"/>
      <c r="N824" s="1344"/>
      <c r="O824" s="1344"/>
      <c r="P824" s="1344"/>
      <c r="Q824" s="1344"/>
      <c r="R824" s="1344"/>
      <c r="S824" s="1344"/>
      <c r="T824" s="1344"/>
      <c r="U824" s="1344"/>
      <c r="V824" s="1344"/>
      <c r="W824" s="1344"/>
      <c r="X824" s="1353">
        <f t="shared" si="26"/>
        <v>0</v>
      </c>
      <c r="Y824" s="175">
        <f t="shared" si="27"/>
        <v>-26400000</v>
      </c>
    </row>
    <row r="825" spans="1:25" x14ac:dyDescent="0.25">
      <c r="A825" s="32"/>
      <c r="B825" s="32"/>
      <c r="C825" s="32"/>
      <c r="D825" s="32">
        <v>5</v>
      </c>
      <c r="E825" s="32">
        <v>2</v>
      </c>
      <c r="F825" s="32"/>
      <c r="G825" s="32"/>
      <c r="H825" s="66" t="str">
        <f>'BID III'!B462</f>
        <v xml:space="preserve">Belanja Barang dan Jasa </v>
      </c>
      <c r="I825" s="174"/>
      <c r="J825" s="66"/>
      <c r="K825" s="497" t="s">
        <v>3031</v>
      </c>
      <c r="L825" s="32"/>
      <c r="M825" s="32"/>
      <c r="N825" s="32"/>
      <c r="O825" s="32"/>
      <c r="P825" s="32"/>
      <c r="Q825" s="32"/>
      <c r="R825" s="32"/>
      <c r="S825" s="32"/>
      <c r="T825" s="32"/>
      <c r="U825" s="32"/>
      <c r="V825" s="32"/>
      <c r="W825" s="32"/>
      <c r="X825" s="1750">
        <f t="shared" si="26"/>
        <v>0</v>
      </c>
      <c r="Y825" s="175">
        <f t="shared" si="27"/>
        <v>0</v>
      </c>
    </row>
    <row r="826" spans="1:25" ht="30" x14ac:dyDescent="0.25">
      <c r="A826" s="32"/>
      <c r="B826" s="32"/>
      <c r="C826" s="32"/>
      <c r="D826" s="32"/>
      <c r="E826" s="32"/>
      <c r="F826" s="32">
        <v>1</v>
      </c>
      <c r="G826" s="32"/>
      <c r="H826" s="66" t="str">
        <f>'BID III'!B463</f>
        <v>Belanja Barang Perlengkapan</v>
      </c>
      <c r="I826" s="174"/>
      <c r="J826" s="66"/>
      <c r="K826" s="497" t="s">
        <v>3031</v>
      </c>
      <c r="L826" s="32"/>
      <c r="M826" s="32"/>
      <c r="N826" s="32"/>
      <c r="O826" s="32"/>
      <c r="P826" s="32"/>
      <c r="Q826" s="32"/>
      <c r="R826" s="32"/>
      <c r="S826" s="32"/>
      <c r="T826" s="32"/>
      <c r="U826" s="32"/>
      <c r="V826" s="32"/>
      <c r="W826" s="32"/>
      <c r="X826" s="1750">
        <f t="shared" si="26"/>
        <v>0</v>
      </c>
      <c r="Y826" s="175">
        <f t="shared" si="27"/>
        <v>0</v>
      </c>
    </row>
    <row r="827" spans="1:25" x14ac:dyDescent="0.25">
      <c r="A827" s="32"/>
      <c r="B827" s="32"/>
      <c r="C827" s="32"/>
      <c r="D827" s="32"/>
      <c r="E827" s="32"/>
      <c r="F827" s="32"/>
      <c r="G827" s="1340" t="s">
        <v>2705</v>
      </c>
      <c r="H827" s="66" t="str">
        <f>'BID III'!B464</f>
        <v>Belanja Barang Konsumsi</v>
      </c>
      <c r="I827" s="174">
        <f>SUM('BID III'!F465)</f>
        <v>15000000</v>
      </c>
      <c r="J827" s="66" t="s">
        <v>2620</v>
      </c>
      <c r="K827" s="497" t="s">
        <v>3031</v>
      </c>
      <c r="L827" s="32"/>
      <c r="M827" s="32"/>
      <c r="N827" s="32"/>
      <c r="O827" s="32"/>
      <c r="P827" s="32"/>
      <c r="Q827" s="32"/>
      <c r="R827" s="497">
        <v>15000000</v>
      </c>
      <c r="S827" s="32"/>
      <c r="T827" s="32"/>
      <c r="U827" s="32"/>
      <c r="V827" s="32"/>
      <c r="W827" s="32"/>
      <c r="X827" s="1750">
        <f t="shared" si="26"/>
        <v>15000000</v>
      </c>
      <c r="Y827" s="175">
        <f t="shared" si="27"/>
        <v>0</v>
      </c>
    </row>
    <row r="828" spans="1:25" ht="30" x14ac:dyDescent="0.25">
      <c r="A828" s="32"/>
      <c r="B828" s="32"/>
      <c r="C828" s="32"/>
      <c r="D828" s="32"/>
      <c r="E828" s="32"/>
      <c r="F828" s="32"/>
      <c r="G828" s="32">
        <v>90</v>
      </c>
      <c r="H828" s="66" t="str">
        <f>'BID III'!B466</f>
        <v>Belanja Upakara dan Upacara</v>
      </c>
      <c r="I828" s="174">
        <f>'BID III'!F467</f>
        <v>10000000</v>
      </c>
      <c r="J828" s="66" t="s">
        <v>2620</v>
      </c>
      <c r="K828" s="497" t="s">
        <v>3031</v>
      </c>
      <c r="L828" s="32"/>
      <c r="M828" s="32"/>
      <c r="N828" s="32"/>
      <c r="O828" s="32"/>
      <c r="P828" s="32"/>
      <c r="Q828" s="32"/>
      <c r="R828" s="497">
        <v>10000000</v>
      </c>
      <c r="S828" s="32"/>
      <c r="T828" s="32"/>
      <c r="U828" s="32"/>
      <c r="V828" s="32"/>
      <c r="W828" s="32"/>
      <c r="X828" s="1750">
        <f t="shared" si="26"/>
        <v>10000000</v>
      </c>
      <c r="Y828" s="175">
        <f t="shared" si="27"/>
        <v>0</v>
      </c>
    </row>
    <row r="829" spans="1:25" x14ac:dyDescent="0.25">
      <c r="A829" s="32"/>
      <c r="B829" s="32"/>
      <c r="C829" s="32"/>
      <c r="D829" s="32">
        <v>5</v>
      </c>
      <c r="E829" s="32">
        <v>2</v>
      </c>
      <c r="F829" s="32">
        <v>4</v>
      </c>
      <c r="G829" s="32"/>
      <c r="H829" s="66" t="str">
        <f>'BID III'!B468</f>
        <v>Belanja Jasa Sewa</v>
      </c>
      <c r="I829" s="174"/>
      <c r="J829" s="66"/>
      <c r="K829" s="497" t="s">
        <v>3031</v>
      </c>
      <c r="L829" s="32"/>
      <c r="M829" s="32"/>
      <c r="N829" s="32"/>
      <c r="O829" s="32"/>
      <c r="P829" s="32"/>
      <c r="Q829" s="32"/>
      <c r="R829" s="497"/>
      <c r="S829" s="32"/>
      <c r="T829" s="32"/>
      <c r="U829" s="32"/>
      <c r="V829" s="32"/>
      <c r="W829" s="32"/>
      <c r="X829" s="1750">
        <f t="shared" si="26"/>
        <v>0</v>
      </c>
      <c r="Y829" s="175">
        <f t="shared" si="27"/>
        <v>0</v>
      </c>
    </row>
    <row r="830" spans="1:25" ht="30" x14ac:dyDescent="0.25">
      <c r="A830" s="32"/>
      <c r="B830" s="32"/>
      <c r="C830" s="32"/>
      <c r="D830" s="32"/>
      <c r="E830" s="32"/>
      <c r="F830" s="32"/>
      <c r="G830" s="1340" t="s">
        <v>2702</v>
      </c>
      <c r="H830" s="66" t="str">
        <f>'BID III'!B469</f>
        <v>Belanja Jasa Sewa Peralatan/Perlengkapan</v>
      </c>
      <c r="I830" s="174">
        <f>SUM('BID III'!F470:F471)</f>
        <v>1400000</v>
      </c>
      <c r="J830" s="66" t="s">
        <v>2620</v>
      </c>
      <c r="K830" s="497" t="s">
        <v>3031</v>
      </c>
      <c r="L830" s="32"/>
      <c r="M830" s="32"/>
      <c r="N830" s="32"/>
      <c r="O830" s="32"/>
      <c r="P830" s="32"/>
      <c r="Q830" s="32"/>
      <c r="R830" s="497">
        <v>1400000</v>
      </c>
      <c r="S830" s="32"/>
      <c r="T830" s="32"/>
      <c r="U830" s="32"/>
      <c r="V830" s="32"/>
      <c r="W830" s="32"/>
      <c r="X830" s="1750">
        <f t="shared" si="26"/>
        <v>1400000</v>
      </c>
      <c r="Y830" s="175">
        <f t="shared" si="27"/>
        <v>0</v>
      </c>
    </row>
    <row r="831" spans="1:25" ht="45" x14ac:dyDescent="0.25">
      <c r="A831" s="1344">
        <v>3</v>
      </c>
      <c r="B831" s="1344">
        <v>2</v>
      </c>
      <c r="C831" s="1344">
        <v>91</v>
      </c>
      <c r="D831" s="1344"/>
      <c r="E831" s="1344"/>
      <c r="F831" s="1344"/>
      <c r="G831" s="1344"/>
      <c r="H831" s="1345" t="str">
        <f>'BID III'!B485</f>
        <v xml:space="preserve"> : Penunjang Oprasional Subak/Subak Abian (BKKProvinsi)</v>
      </c>
      <c r="I831" s="1349">
        <f>I834</f>
        <v>30000000</v>
      </c>
      <c r="J831" s="1345" t="s">
        <v>2717</v>
      </c>
      <c r="K831" s="1347" t="s">
        <v>3031</v>
      </c>
      <c r="L831" s="1344"/>
      <c r="M831" s="1344"/>
      <c r="N831" s="1344"/>
      <c r="O831" s="1344"/>
      <c r="P831" s="1344"/>
      <c r="Q831" s="1344"/>
      <c r="R831" s="1344"/>
      <c r="S831" s="1344"/>
      <c r="T831" s="1344"/>
      <c r="U831" s="1344"/>
      <c r="V831" s="1344"/>
      <c r="W831" s="1344"/>
      <c r="X831" s="1353">
        <f t="shared" si="26"/>
        <v>0</v>
      </c>
      <c r="Y831" s="175">
        <f t="shared" si="27"/>
        <v>-30000000</v>
      </c>
    </row>
    <row r="832" spans="1:25" x14ac:dyDescent="0.25">
      <c r="A832" s="32"/>
      <c r="B832" s="32"/>
      <c r="C832" s="32"/>
      <c r="D832" s="32">
        <v>5</v>
      </c>
      <c r="E832" s="32">
        <v>2</v>
      </c>
      <c r="F832" s="32"/>
      <c r="G832" s="32"/>
      <c r="H832" s="66" t="str">
        <f>'BID III'!B490</f>
        <v>Belanja Barang Jasa</v>
      </c>
      <c r="I832" s="32"/>
      <c r="J832" s="66"/>
      <c r="K832" s="497" t="s">
        <v>3031</v>
      </c>
      <c r="L832" s="32"/>
      <c r="M832" s="32"/>
      <c r="N832" s="32"/>
      <c r="O832" s="32"/>
      <c r="P832" s="32"/>
      <c r="Q832" s="32"/>
      <c r="R832" s="32"/>
      <c r="S832" s="32"/>
      <c r="T832" s="32"/>
      <c r="U832" s="32"/>
      <c r="V832" s="32"/>
      <c r="W832" s="32"/>
      <c r="X832" s="1750">
        <f t="shared" si="26"/>
        <v>0</v>
      </c>
      <c r="Y832" s="175">
        <f t="shared" si="27"/>
        <v>0</v>
      </c>
    </row>
    <row r="833" spans="1:25" ht="45" x14ac:dyDescent="0.25">
      <c r="A833" s="32"/>
      <c r="B833" s="32"/>
      <c r="C833" s="32"/>
      <c r="D833" s="32"/>
      <c r="E833" s="32"/>
      <c r="F833" s="32">
        <v>7</v>
      </c>
      <c r="G833" s="32"/>
      <c r="H833" s="66" t="str">
        <f>'BID III'!B491</f>
        <v>Belanja Barang dan Jasa yang Diserahkan Kepada Masyarakat</v>
      </c>
      <c r="I833" s="32"/>
      <c r="J833" s="66"/>
      <c r="K833" s="497" t="s">
        <v>3031</v>
      </c>
      <c r="L833" s="32"/>
      <c r="M833" s="32"/>
      <c r="N833" s="32"/>
      <c r="O833" s="32"/>
      <c r="P833" s="32"/>
      <c r="Q833" s="32"/>
      <c r="R833" s="32"/>
      <c r="S833" s="32"/>
      <c r="T833" s="32"/>
      <c r="U833" s="32"/>
      <c r="V833" s="32"/>
      <c r="W833" s="32"/>
      <c r="X833" s="1750">
        <f t="shared" si="26"/>
        <v>0</v>
      </c>
      <c r="Y833" s="175">
        <f t="shared" si="27"/>
        <v>0</v>
      </c>
    </row>
    <row r="834" spans="1:25" ht="30" x14ac:dyDescent="0.25">
      <c r="A834" s="32"/>
      <c r="B834" s="32"/>
      <c r="C834" s="32"/>
      <c r="D834" s="32"/>
      <c r="E834" s="32"/>
      <c r="F834" s="32"/>
      <c r="G834" s="1340" t="s">
        <v>2688</v>
      </c>
      <c r="H834" s="66" t="str">
        <f>'BID III'!B492</f>
        <v>Belanaja Barang  Yang Diserahkan</v>
      </c>
      <c r="I834" s="174">
        <f>'BID III'!F493</f>
        <v>30000000</v>
      </c>
      <c r="J834" s="66" t="s">
        <v>2717</v>
      </c>
      <c r="K834" s="497" t="s">
        <v>3031</v>
      </c>
      <c r="L834" s="32"/>
      <c r="M834" s="32"/>
      <c r="N834" s="32"/>
      <c r="O834" s="32"/>
      <c r="P834" s="32"/>
      <c r="Q834" s="32"/>
      <c r="R834" s="32"/>
      <c r="S834" s="497">
        <v>30000000</v>
      </c>
      <c r="T834" s="32"/>
      <c r="U834" s="32"/>
      <c r="V834" s="32"/>
      <c r="W834" s="32"/>
      <c r="X834" s="1750">
        <f t="shared" si="26"/>
        <v>30000000</v>
      </c>
      <c r="Y834" s="175">
        <f t="shared" si="27"/>
        <v>0</v>
      </c>
    </row>
    <row r="835" spans="1:25" ht="30" x14ac:dyDescent="0.25">
      <c r="A835" s="1344">
        <v>3</v>
      </c>
      <c r="B835" s="1344">
        <v>2</v>
      </c>
      <c r="C835" s="1344">
        <v>94</v>
      </c>
      <c r="D835" s="1344"/>
      <c r="E835" s="1344"/>
      <c r="F835" s="1344"/>
      <c r="G835" s="1344"/>
      <c r="H835" s="1345" t="str">
        <f>'BID III'!B508</f>
        <v xml:space="preserve"> : Penunjang Oprasional Desa Pakraman(BKK Kota)</v>
      </c>
      <c r="I835" s="1349">
        <f>I838</f>
        <v>560000000</v>
      </c>
      <c r="J835" s="1345" t="s">
        <v>2159</v>
      </c>
      <c r="K835" s="1347" t="s">
        <v>3031</v>
      </c>
      <c r="L835" s="1344"/>
      <c r="M835" s="1344"/>
      <c r="N835" s="1344"/>
      <c r="O835" s="1344"/>
      <c r="P835" s="1344"/>
      <c r="Q835" s="1344"/>
      <c r="R835" s="1344"/>
      <c r="S835" s="1344"/>
      <c r="T835" s="1344"/>
      <c r="U835" s="1344"/>
      <c r="V835" s="1344"/>
      <c r="W835" s="1344"/>
      <c r="X835" s="1353">
        <f t="shared" si="26"/>
        <v>0</v>
      </c>
      <c r="Y835" s="175">
        <f t="shared" si="27"/>
        <v>-560000000</v>
      </c>
    </row>
    <row r="836" spans="1:25" x14ac:dyDescent="0.25">
      <c r="A836" s="32"/>
      <c r="B836" s="32"/>
      <c r="C836" s="32"/>
      <c r="D836" s="32">
        <v>5</v>
      </c>
      <c r="E836" s="32">
        <v>2</v>
      </c>
      <c r="F836" s="32"/>
      <c r="G836" s="32"/>
      <c r="H836" s="66" t="s">
        <v>323</v>
      </c>
      <c r="I836" s="174"/>
      <c r="J836" s="66"/>
      <c r="K836" s="497" t="s">
        <v>3031</v>
      </c>
      <c r="L836" s="32"/>
      <c r="M836" s="32"/>
      <c r="N836" s="32"/>
      <c r="O836" s="32"/>
      <c r="P836" s="32"/>
      <c r="Q836" s="32"/>
      <c r="R836" s="32"/>
      <c r="S836" s="32"/>
      <c r="T836" s="32"/>
      <c r="U836" s="32"/>
      <c r="V836" s="32"/>
      <c r="W836" s="32"/>
      <c r="X836" s="1750">
        <f t="shared" si="26"/>
        <v>0</v>
      </c>
      <c r="Y836" s="175">
        <f t="shared" si="27"/>
        <v>0</v>
      </c>
    </row>
    <row r="837" spans="1:25" ht="45" x14ac:dyDescent="0.25">
      <c r="A837" s="32"/>
      <c r="B837" s="32"/>
      <c r="C837" s="32"/>
      <c r="D837" s="32"/>
      <c r="E837" s="32"/>
      <c r="F837" s="32">
        <v>7</v>
      </c>
      <c r="G837" s="32"/>
      <c r="H837" s="66" t="str">
        <f>'BID III'!B513</f>
        <v>Belanja Barang dan Jasa yang Diserahkan Kepada Masyarakat</v>
      </c>
      <c r="I837" s="32"/>
      <c r="J837" s="66"/>
      <c r="K837" s="497" t="s">
        <v>3031</v>
      </c>
      <c r="L837" s="32"/>
      <c r="M837" s="32"/>
      <c r="N837" s="32"/>
      <c r="O837" s="32"/>
      <c r="P837" s="32"/>
      <c r="Q837" s="32"/>
      <c r="R837" s="32"/>
      <c r="S837" s="32"/>
      <c r="T837" s="32"/>
      <c r="U837" s="32"/>
      <c r="V837" s="32"/>
      <c r="W837" s="32"/>
      <c r="X837" s="1750">
        <f t="shared" si="26"/>
        <v>0</v>
      </c>
      <c r="Y837" s="175">
        <f t="shared" si="27"/>
        <v>0</v>
      </c>
    </row>
    <row r="838" spans="1:25" ht="30" x14ac:dyDescent="0.25">
      <c r="A838" s="32"/>
      <c r="B838" s="32"/>
      <c r="C838" s="32"/>
      <c r="D838" s="32"/>
      <c r="E838" s="32"/>
      <c r="F838" s="32"/>
      <c r="G838" s="1340" t="s">
        <v>2688</v>
      </c>
      <c r="H838" s="66" t="str">
        <f>'BID III'!B514</f>
        <v>Belanaja Barang  Yang Diserahkan</v>
      </c>
      <c r="I838" s="174">
        <f>'BID III'!F515+'BID III'!F516</f>
        <v>560000000</v>
      </c>
      <c r="J838" s="66" t="s">
        <v>2159</v>
      </c>
      <c r="K838" s="497" t="s">
        <v>3031</v>
      </c>
      <c r="L838" s="32"/>
      <c r="M838" s="32"/>
      <c r="N838" s="497">
        <v>560000000</v>
      </c>
      <c r="O838" s="497"/>
      <c r="P838" s="32"/>
      <c r="Q838" s="32"/>
      <c r="R838" s="32"/>
      <c r="S838" s="32"/>
      <c r="T838" s="32"/>
      <c r="U838" s="32"/>
      <c r="V838" s="32"/>
      <c r="W838" s="32"/>
      <c r="X838" s="1750">
        <f t="shared" si="26"/>
        <v>560000000</v>
      </c>
      <c r="Y838" s="175">
        <f t="shared" si="27"/>
        <v>0</v>
      </c>
    </row>
    <row r="839" spans="1:25" ht="30" x14ac:dyDescent="0.25">
      <c r="A839" s="1344">
        <v>3</v>
      </c>
      <c r="B839" s="1344">
        <v>2</v>
      </c>
      <c r="C839" s="1344">
        <v>95</v>
      </c>
      <c r="D839" s="1344"/>
      <c r="E839" s="1344"/>
      <c r="F839" s="1344"/>
      <c r="G839" s="1344"/>
      <c r="H839" s="1345" t="str">
        <f>'BID III'!B530</f>
        <v>: Kegiatan Bakti Penganyaran</v>
      </c>
      <c r="I839" s="1347">
        <f>SUM(I840:I851)</f>
        <v>171000000</v>
      </c>
      <c r="J839" s="1345" t="s">
        <v>1682</v>
      </c>
      <c r="K839" s="1347" t="s">
        <v>3031</v>
      </c>
      <c r="L839" s="1344"/>
      <c r="M839" s="1344"/>
      <c r="N839" s="1344"/>
      <c r="O839" s="1344"/>
      <c r="P839" s="1344"/>
      <c r="Q839" s="1344"/>
      <c r="R839" s="1344"/>
      <c r="S839" s="1344"/>
      <c r="T839" s="1344"/>
      <c r="U839" s="1344"/>
      <c r="V839" s="1344"/>
      <c r="W839" s="1344"/>
      <c r="X839" s="1353">
        <f t="shared" si="26"/>
        <v>0</v>
      </c>
      <c r="Y839" s="175">
        <f t="shared" si="27"/>
        <v>-171000000</v>
      </c>
    </row>
    <row r="840" spans="1:25" ht="30" x14ac:dyDescent="0.25">
      <c r="A840" s="32"/>
      <c r="B840" s="32"/>
      <c r="C840" s="32"/>
      <c r="D840" s="32"/>
      <c r="E840" s="32"/>
      <c r="F840" s="32"/>
      <c r="G840" s="32"/>
      <c r="H840" s="66" t="str">
        <f>'BID III'!B537</f>
        <v xml:space="preserve">Nganyarin ke Pura Batur lan Besakih </v>
      </c>
      <c r="I840" s="32"/>
      <c r="J840" s="66"/>
      <c r="K840" s="497" t="s">
        <v>3031</v>
      </c>
      <c r="L840" s="32"/>
      <c r="M840" s="32"/>
      <c r="N840" s="32"/>
      <c r="O840" s="32"/>
      <c r="P840" s="32"/>
      <c r="Q840" s="32"/>
      <c r="R840" s="32"/>
      <c r="S840" s="32"/>
      <c r="T840" s="32"/>
      <c r="U840" s="32"/>
      <c r="V840" s="32"/>
      <c r="W840" s="32"/>
      <c r="X840" s="1750">
        <f t="shared" si="26"/>
        <v>0</v>
      </c>
      <c r="Y840" s="175">
        <f t="shared" si="27"/>
        <v>0</v>
      </c>
    </row>
    <row r="841" spans="1:25" x14ac:dyDescent="0.25">
      <c r="A841" s="32"/>
      <c r="B841" s="32"/>
      <c r="C841" s="32"/>
      <c r="D841" s="32">
        <v>5</v>
      </c>
      <c r="E841" s="32">
        <v>2</v>
      </c>
      <c r="F841" s="32"/>
      <c r="G841" s="32"/>
      <c r="H841" s="66" t="str">
        <f>'BID III'!B538</f>
        <v xml:space="preserve">Belanja Barang dan Jasa </v>
      </c>
      <c r="I841" s="32"/>
      <c r="J841" s="66"/>
      <c r="K841" s="497" t="s">
        <v>3031</v>
      </c>
      <c r="L841" s="32"/>
      <c r="M841" s="32"/>
      <c r="N841" s="32"/>
      <c r="O841" s="32"/>
      <c r="P841" s="32"/>
      <c r="Q841" s="32"/>
      <c r="R841" s="32"/>
      <c r="S841" s="32"/>
      <c r="T841" s="32"/>
      <c r="U841" s="32"/>
      <c r="V841" s="32"/>
      <c r="W841" s="32"/>
      <c r="X841" s="1750">
        <f t="shared" si="26"/>
        <v>0</v>
      </c>
      <c r="Y841" s="175">
        <f t="shared" si="27"/>
        <v>0</v>
      </c>
    </row>
    <row r="842" spans="1:25" x14ac:dyDescent="0.25">
      <c r="A842" s="32"/>
      <c r="B842" s="32"/>
      <c r="C842" s="32"/>
      <c r="D842" s="32"/>
      <c r="E842" s="32"/>
      <c r="F842" s="32">
        <v>4</v>
      </c>
      <c r="G842" s="32"/>
      <c r="H842" s="66" t="str">
        <f>'BID III'!B539</f>
        <v xml:space="preserve">Belanja Jasa Sewa </v>
      </c>
      <c r="I842" s="32"/>
      <c r="J842" s="66"/>
      <c r="K842" s="497" t="s">
        <v>3031</v>
      </c>
      <c r="L842" s="32"/>
      <c r="M842" s="32"/>
      <c r="N842" s="32"/>
      <c r="O842" s="32"/>
      <c r="P842" s="32"/>
      <c r="Q842" s="32"/>
      <c r="R842" s="32"/>
      <c r="S842" s="32"/>
      <c r="T842" s="32"/>
      <c r="U842" s="32"/>
      <c r="V842" s="32"/>
      <c r="W842" s="32"/>
      <c r="X842" s="1750">
        <f t="shared" si="26"/>
        <v>0</v>
      </c>
      <c r="Y842" s="175">
        <f t="shared" si="27"/>
        <v>0</v>
      </c>
    </row>
    <row r="843" spans="1:25" ht="30" x14ac:dyDescent="0.25">
      <c r="A843" s="32"/>
      <c r="B843" s="32"/>
      <c r="C843" s="32"/>
      <c r="D843" s="32"/>
      <c r="E843" s="32"/>
      <c r="F843" s="32"/>
      <c r="G843" s="1340" t="s">
        <v>2703</v>
      </c>
      <c r="H843" s="66" t="str">
        <f>'BID III'!B540</f>
        <v>Belanja Jasa Sewa Sarana Mobilitas</v>
      </c>
      <c r="I843" s="470">
        <f>'BID III'!F541</f>
        <v>22500000</v>
      </c>
      <c r="J843" s="66" t="s">
        <v>1682</v>
      </c>
      <c r="K843" s="497" t="s">
        <v>3031</v>
      </c>
      <c r="L843" s="32"/>
      <c r="M843" s="32"/>
      <c r="N843" s="497"/>
      <c r="O843" s="497">
        <v>22500000</v>
      </c>
      <c r="P843" s="32"/>
      <c r="Q843" s="32"/>
      <c r="R843" s="32"/>
      <c r="S843" s="32"/>
      <c r="T843" s="32"/>
      <c r="U843" s="32"/>
      <c r="V843" s="32"/>
      <c r="W843" s="32"/>
      <c r="X843" s="1750">
        <f t="shared" si="26"/>
        <v>22500000</v>
      </c>
      <c r="Y843" s="175">
        <f t="shared" si="27"/>
        <v>0</v>
      </c>
    </row>
    <row r="844" spans="1:25" ht="30" x14ac:dyDescent="0.25">
      <c r="A844" s="32"/>
      <c r="B844" s="32"/>
      <c r="C844" s="32"/>
      <c r="D844" s="32"/>
      <c r="E844" s="32"/>
      <c r="F844" s="32"/>
      <c r="G844" s="32"/>
      <c r="H844" s="66" t="str">
        <f>'BID III'!B542</f>
        <v>Nganyarin ke Pura Mandara Giri Lumajang</v>
      </c>
      <c r="I844" s="32"/>
      <c r="J844" s="66"/>
      <c r="K844" s="497" t="s">
        <v>3031</v>
      </c>
      <c r="L844" s="32"/>
      <c r="M844" s="32"/>
      <c r="N844" s="32"/>
      <c r="O844" s="32"/>
      <c r="P844" s="32"/>
      <c r="Q844" s="32"/>
      <c r="R844" s="32"/>
      <c r="S844" s="32"/>
      <c r="T844" s="32"/>
      <c r="U844" s="32"/>
      <c r="V844" s="32"/>
      <c r="W844" s="32"/>
      <c r="X844" s="1750">
        <f t="shared" si="26"/>
        <v>0</v>
      </c>
      <c r="Y844" s="175">
        <f t="shared" si="27"/>
        <v>0</v>
      </c>
    </row>
    <row r="845" spans="1:25" x14ac:dyDescent="0.25">
      <c r="A845" s="32"/>
      <c r="B845" s="32"/>
      <c r="C845" s="32"/>
      <c r="D845" s="32">
        <v>5</v>
      </c>
      <c r="E845" s="32">
        <v>2</v>
      </c>
      <c r="F845" s="32"/>
      <c r="G845" s="32"/>
      <c r="H845" s="66" t="str">
        <f>'BID III'!B543</f>
        <v xml:space="preserve">Belanja Barang dan Jasa </v>
      </c>
      <c r="I845" s="32"/>
      <c r="J845" s="66"/>
      <c r="K845" s="497" t="s">
        <v>3031</v>
      </c>
      <c r="L845" s="32"/>
      <c r="M845" s="32"/>
      <c r="N845" s="32"/>
      <c r="O845" s="32"/>
      <c r="P845" s="32"/>
      <c r="Q845" s="32"/>
      <c r="R845" s="32"/>
      <c r="S845" s="32"/>
      <c r="T845" s="32"/>
      <c r="U845" s="32"/>
      <c r="V845" s="32"/>
      <c r="W845" s="32"/>
      <c r="X845" s="1750">
        <f t="shared" si="26"/>
        <v>0</v>
      </c>
      <c r="Y845" s="175">
        <f t="shared" si="27"/>
        <v>0</v>
      </c>
    </row>
    <row r="846" spans="1:25" x14ac:dyDescent="0.25">
      <c r="A846" s="32"/>
      <c r="B846" s="32"/>
      <c r="C846" s="32"/>
      <c r="D846" s="32"/>
      <c r="E846" s="32"/>
      <c r="F846" s="32">
        <v>4</v>
      </c>
      <c r="G846" s="32"/>
      <c r="H846" s="66" t="str">
        <f>'BID III'!B544</f>
        <v xml:space="preserve">Belanja Jasa Sewa </v>
      </c>
      <c r="I846" s="32"/>
      <c r="J846" s="66"/>
      <c r="K846" s="497" t="s">
        <v>3031</v>
      </c>
      <c r="L846" s="32"/>
      <c r="M846" s="32"/>
      <c r="N846" s="32"/>
      <c r="O846" s="32"/>
      <c r="P846" s="32"/>
      <c r="Q846" s="32"/>
      <c r="R846" s="32"/>
      <c r="S846" s="32"/>
      <c r="T846" s="32"/>
      <c r="U846" s="32"/>
      <c r="V846" s="32"/>
      <c r="W846" s="32"/>
      <c r="X846" s="1750">
        <f t="shared" si="26"/>
        <v>0</v>
      </c>
      <c r="Y846" s="175">
        <f t="shared" si="27"/>
        <v>0</v>
      </c>
    </row>
    <row r="847" spans="1:25" ht="30" x14ac:dyDescent="0.25">
      <c r="A847" s="32"/>
      <c r="B847" s="32"/>
      <c r="C847" s="32"/>
      <c r="D847" s="32"/>
      <c r="E847" s="32"/>
      <c r="F847" s="32"/>
      <c r="G847" s="1340" t="s">
        <v>2703</v>
      </c>
      <c r="H847" s="66" t="str">
        <f>'BID III'!B545</f>
        <v>Belanja Jasa Sewa Sarana Mobilitas</v>
      </c>
      <c r="I847" s="470">
        <f>'BID III'!F546</f>
        <v>67500000</v>
      </c>
      <c r="J847" s="66" t="s">
        <v>1682</v>
      </c>
      <c r="K847" s="497" t="s">
        <v>3031</v>
      </c>
      <c r="L847" s="32"/>
      <c r="M847" s="32"/>
      <c r="N847" s="32"/>
      <c r="O847" s="32"/>
      <c r="P847" s="32"/>
      <c r="Q847" s="32"/>
      <c r="R847" s="497">
        <v>67500000</v>
      </c>
      <c r="S847" s="32"/>
      <c r="T847" s="32"/>
      <c r="U847" s="32"/>
      <c r="V847" s="32"/>
      <c r="W847" s="32"/>
      <c r="X847" s="1750">
        <f t="shared" si="26"/>
        <v>67500000</v>
      </c>
      <c r="Y847" s="175">
        <f t="shared" si="27"/>
        <v>0</v>
      </c>
    </row>
    <row r="848" spans="1:25" ht="30" x14ac:dyDescent="0.25">
      <c r="A848" s="32"/>
      <c r="B848" s="32"/>
      <c r="C848" s="32"/>
      <c r="D848" s="32">
        <v>5</v>
      </c>
      <c r="E848" s="32">
        <v>2</v>
      </c>
      <c r="F848" s="32"/>
      <c r="G848" s="32"/>
      <c r="H848" s="66" t="str">
        <f>'BID III'!B547</f>
        <v>Nganyarin ke Pura Penataran Agung Rinjani</v>
      </c>
      <c r="I848" s="32"/>
      <c r="J848" s="66"/>
      <c r="K848" s="497" t="s">
        <v>3031</v>
      </c>
      <c r="L848" s="32"/>
      <c r="M848" s="32"/>
      <c r="N848" s="32"/>
      <c r="O848" s="32"/>
      <c r="P848" s="32"/>
      <c r="Q848" s="32"/>
      <c r="R848" s="32"/>
      <c r="S848" s="32"/>
      <c r="T848" s="32"/>
      <c r="U848" s="32"/>
      <c r="V848" s="32"/>
      <c r="W848" s="32"/>
      <c r="X848" s="1750">
        <f t="shared" si="26"/>
        <v>0</v>
      </c>
      <c r="Y848" s="175">
        <f t="shared" si="27"/>
        <v>0</v>
      </c>
    </row>
    <row r="849" spans="1:25" x14ac:dyDescent="0.25">
      <c r="A849" s="32"/>
      <c r="B849" s="32"/>
      <c r="C849" s="32"/>
      <c r="D849" s="32"/>
      <c r="E849" s="32"/>
      <c r="F849" s="32">
        <v>4</v>
      </c>
      <c r="G849" s="32"/>
      <c r="H849" s="32" t="str">
        <f>'BID III'!B548:B548</f>
        <v xml:space="preserve">Belanja Barang dan Jasa </v>
      </c>
      <c r="I849" s="32"/>
      <c r="J849" s="66"/>
      <c r="K849" s="497" t="s">
        <v>3031</v>
      </c>
      <c r="L849" s="32"/>
      <c r="M849" s="32"/>
      <c r="N849" s="32"/>
      <c r="O849" s="32"/>
      <c r="P849" s="32"/>
      <c r="Q849" s="32"/>
      <c r="R849" s="32"/>
      <c r="S849" s="32"/>
      <c r="T849" s="32"/>
      <c r="U849" s="32"/>
      <c r="V849" s="32"/>
      <c r="W849" s="32"/>
      <c r="X849" s="1750">
        <f t="shared" si="26"/>
        <v>0</v>
      </c>
      <c r="Y849" s="175">
        <f t="shared" si="27"/>
        <v>0</v>
      </c>
    </row>
    <row r="850" spans="1:25" x14ac:dyDescent="0.25">
      <c r="A850" s="32"/>
      <c r="B850" s="32"/>
      <c r="C850" s="32"/>
      <c r="D850" s="32"/>
      <c r="E850" s="32"/>
      <c r="F850" s="32"/>
      <c r="G850" s="1340" t="s">
        <v>2703</v>
      </c>
      <c r="H850" s="32" t="str">
        <f>'BID III'!B549:B549</f>
        <v xml:space="preserve">Belanja Jasa Sewa </v>
      </c>
      <c r="I850" s="32"/>
      <c r="J850" s="66"/>
      <c r="K850" s="497" t="s">
        <v>3031</v>
      </c>
      <c r="L850" s="32"/>
      <c r="M850" s="32"/>
      <c r="N850" s="32"/>
      <c r="O850" s="32"/>
      <c r="P850" s="32"/>
      <c r="Q850" s="32"/>
      <c r="R850" s="32"/>
      <c r="S850" s="32"/>
      <c r="T850" s="32"/>
      <c r="U850" s="32"/>
      <c r="V850" s="32"/>
      <c r="W850" s="32"/>
      <c r="X850" s="1750">
        <f t="shared" si="26"/>
        <v>0</v>
      </c>
      <c r="Y850" s="175">
        <f t="shared" si="27"/>
        <v>0</v>
      </c>
    </row>
    <row r="851" spans="1:25" x14ac:dyDescent="0.25">
      <c r="A851" s="32"/>
      <c r="B851" s="32"/>
      <c r="C851" s="32"/>
      <c r="D851" s="32"/>
      <c r="E851" s="32"/>
      <c r="F851" s="32"/>
      <c r="G851" s="32"/>
      <c r="H851" s="32" t="str">
        <f>'BID III'!B550:B550</f>
        <v>Belanja Jasa Sewa Sarana Mobilitas</v>
      </c>
      <c r="I851" s="470">
        <f>'BID III'!F551</f>
        <v>81000000</v>
      </c>
      <c r="J851" s="66" t="s">
        <v>1682</v>
      </c>
      <c r="K851" s="497" t="s">
        <v>3031</v>
      </c>
      <c r="L851" s="32"/>
      <c r="M851" s="32"/>
      <c r="N851" s="32"/>
      <c r="O851" s="32"/>
      <c r="P851" s="32"/>
      <c r="Q851" s="32"/>
      <c r="R851" s="32"/>
      <c r="S851" s="497">
        <v>81000000</v>
      </c>
      <c r="T851" s="32"/>
      <c r="U851" s="32"/>
      <c r="V851" s="32"/>
      <c r="W851" s="32"/>
      <c r="X851" s="1750">
        <f t="shared" si="26"/>
        <v>81000000</v>
      </c>
      <c r="Y851" s="175">
        <f t="shared" si="27"/>
        <v>0</v>
      </c>
    </row>
    <row r="852" spans="1:25" ht="240" x14ac:dyDescent="0.25">
      <c r="A852" s="1344">
        <v>3</v>
      </c>
      <c r="B852" s="1344">
        <v>3</v>
      </c>
      <c r="C852" s="1346" t="s">
        <v>2702</v>
      </c>
      <c r="D852" s="1344"/>
      <c r="E852" s="1344"/>
      <c r="F852" s="1344"/>
      <c r="G852" s="1344"/>
      <c r="H852" s="1345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I852" s="1347">
        <f>SUM(I853:I882)</f>
        <v>50681940</v>
      </c>
      <c r="J852" s="1345" t="s">
        <v>2627</v>
      </c>
      <c r="K852" s="1347" t="s">
        <v>3031</v>
      </c>
      <c r="L852" s="1344"/>
      <c r="M852" s="1344"/>
      <c r="N852" s="1344"/>
      <c r="O852" s="1344"/>
      <c r="P852" s="1344"/>
      <c r="Q852" s="1344"/>
      <c r="R852" s="1344"/>
      <c r="S852" s="1344"/>
      <c r="T852" s="1344"/>
      <c r="U852" s="1344"/>
      <c r="V852" s="1344"/>
      <c r="W852" s="1344"/>
      <c r="X852" s="1353">
        <f t="shared" si="26"/>
        <v>0</v>
      </c>
      <c r="Y852" s="175">
        <f t="shared" si="27"/>
        <v>-50681940</v>
      </c>
    </row>
    <row r="853" spans="1:25" x14ac:dyDescent="0.25">
      <c r="A853" s="32"/>
      <c r="B853" s="32"/>
      <c r="C853" s="32"/>
      <c r="D853" s="32">
        <v>5</v>
      </c>
      <c r="E853" s="32">
        <v>2</v>
      </c>
      <c r="F853" s="32"/>
      <c r="G853" s="32"/>
      <c r="H853" s="66" t="str">
        <f>'BID III'!B639</f>
        <v>Belanja Barang Jasa</v>
      </c>
      <c r="I853" s="32"/>
      <c r="J853" s="66"/>
      <c r="K853" s="497" t="s">
        <v>3031</v>
      </c>
      <c r="L853" s="32"/>
      <c r="M853" s="32"/>
      <c r="N853" s="32"/>
      <c r="O853" s="32"/>
      <c r="P853" s="32"/>
      <c r="Q853" s="32"/>
      <c r="R853" s="32"/>
      <c r="S853" s="32"/>
      <c r="T853" s="32"/>
      <c r="U853" s="32"/>
      <c r="V853" s="32"/>
      <c r="W853" s="32"/>
      <c r="X853" s="1750">
        <f t="shared" si="26"/>
        <v>0</v>
      </c>
      <c r="Y853" s="175">
        <f t="shared" si="27"/>
        <v>0</v>
      </c>
    </row>
    <row r="854" spans="1:25" ht="30" x14ac:dyDescent="0.25">
      <c r="A854" s="32"/>
      <c r="B854" s="32"/>
      <c r="C854" s="32"/>
      <c r="D854" s="32"/>
      <c r="E854" s="32"/>
      <c r="F854" s="32">
        <v>1</v>
      </c>
      <c r="G854" s="32"/>
      <c r="H854" s="66" t="str">
        <f>'BID III'!B640</f>
        <v>Belanja Barang Perlengkapan</v>
      </c>
      <c r="I854" s="32"/>
      <c r="J854" s="66"/>
      <c r="K854" s="497" t="s">
        <v>3031</v>
      </c>
      <c r="L854" s="32"/>
      <c r="M854" s="32"/>
      <c r="N854" s="32"/>
      <c r="O854" s="32"/>
      <c r="P854" s="32"/>
      <c r="Q854" s="32"/>
      <c r="R854" s="32"/>
      <c r="S854" s="32"/>
      <c r="T854" s="32"/>
      <c r="U854" s="32"/>
      <c r="V854" s="32"/>
      <c r="W854" s="32"/>
      <c r="X854" s="1750">
        <f t="shared" si="26"/>
        <v>0</v>
      </c>
      <c r="Y854" s="175">
        <f t="shared" si="27"/>
        <v>0</v>
      </c>
    </row>
    <row r="855" spans="1:25" ht="30" x14ac:dyDescent="0.25">
      <c r="A855" s="32"/>
      <c r="B855" s="32"/>
      <c r="C855" s="32"/>
      <c r="D855" s="32"/>
      <c r="E855" s="32"/>
      <c r="F855" s="32"/>
      <c r="G855" s="1340" t="s">
        <v>2705</v>
      </c>
      <c r="H855" s="66" t="str">
        <f>'BID III'!B641</f>
        <v>Belanja Perlengkapan Barang Konsumsi</v>
      </c>
      <c r="I855" s="470">
        <f>SUM('BID III'!F642:F645)</f>
        <v>4185000</v>
      </c>
      <c r="J855" s="66" t="s">
        <v>2627</v>
      </c>
      <c r="K855" s="497" t="s">
        <v>3031</v>
      </c>
      <c r="L855" s="32"/>
      <c r="M855" s="497">
        <v>4185000</v>
      </c>
      <c r="N855" s="32"/>
      <c r="O855" s="32"/>
      <c r="P855" s="32"/>
      <c r="Q855" s="32"/>
      <c r="R855" s="32"/>
      <c r="S855" s="32"/>
      <c r="T855" s="32"/>
      <c r="U855" s="32"/>
      <c r="V855" s="32"/>
      <c r="W855" s="32"/>
      <c r="X855" s="1750">
        <f t="shared" si="26"/>
        <v>4185000</v>
      </c>
      <c r="Y855" s="175">
        <f t="shared" si="27"/>
        <v>0</v>
      </c>
    </row>
    <row r="856" spans="1:25" ht="30" x14ac:dyDescent="0.25">
      <c r="A856" s="32"/>
      <c r="B856" s="32"/>
      <c r="C856" s="32"/>
      <c r="D856" s="32"/>
      <c r="E856" s="32"/>
      <c r="F856" s="32"/>
      <c r="G856" s="1340" t="s">
        <v>2707</v>
      </c>
      <c r="H856" s="66" t="str">
        <f>'BID III'!B646</f>
        <v>Belanja Bendera/Umbul - umbul/Spanduk</v>
      </c>
      <c r="I856" s="470">
        <f>'BID III'!F647</f>
        <v>270000</v>
      </c>
      <c r="J856" s="66" t="s">
        <v>2627</v>
      </c>
      <c r="K856" s="497" t="s">
        <v>3031</v>
      </c>
      <c r="L856" s="32"/>
      <c r="M856" s="497">
        <v>270000</v>
      </c>
      <c r="N856" s="32"/>
      <c r="O856" s="32"/>
      <c r="P856" s="32"/>
      <c r="Q856" s="32"/>
      <c r="R856" s="32"/>
      <c r="S856" s="32"/>
      <c r="T856" s="32"/>
      <c r="U856" s="32"/>
      <c r="V856" s="32"/>
      <c r="W856" s="32"/>
      <c r="X856" s="1750">
        <f t="shared" si="26"/>
        <v>270000</v>
      </c>
      <c r="Y856" s="175">
        <f t="shared" si="27"/>
        <v>0</v>
      </c>
    </row>
    <row r="857" spans="1:25" ht="30" x14ac:dyDescent="0.25">
      <c r="A857" s="32"/>
      <c r="B857" s="32"/>
      <c r="C857" s="32"/>
      <c r="D857" s="32"/>
      <c r="E857" s="32"/>
      <c r="F857" s="32"/>
      <c r="G857" s="32">
        <v>90</v>
      </c>
      <c r="H857" s="66" t="str">
        <f>'BID III'!B648</f>
        <v>Belanja Upakara, Upacara Dan Aci</v>
      </c>
      <c r="I857" s="470">
        <f>'BID III'!F649+'BID III'!F650+'BID III'!F651+'BID III'!F652</f>
        <v>250000</v>
      </c>
      <c r="J857" s="66" t="s">
        <v>2627</v>
      </c>
      <c r="K857" s="497" t="s">
        <v>3031</v>
      </c>
      <c r="L857" s="32"/>
      <c r="M857" s="497">
        <v>250000</v>
      </c>
      <c r="N857" s="32"/>
      <c r="O857" s="32"/>
      <c r="P857" s="32"/>
      <c r="Q857" s="32"/>
      <c r="R857" s="32"/>
      <c r="S857" s="32"/>
      <c r="T857" s="32"/>
      <c r="U857" s="32"/>
      <c r="V857" s="32"/>
      <c r="W857" s="32"/>
      <c r="X857" s="1750">
        <f t="shared" si="26"/>
        <v>250000</v>
      </c>
      <c r="Y857" s="175">
        <f t="shared" si="27"/>
        <v>0</v>
      </c>
    </row>
    <row r="858" spans="1:25" x14ac:dyDescent="0.25">
      <c r="A858" s="32"/>
      <c r="B858" s="32"/>
      <c r="C858" s="32"/>
      <c r="D858" s="32">
        <v>5</v>
      </c>
      <c r="E858" s="32">
        <v>2</v>
      </c>
      <c r="F858" s="32">
        <v>2</v>
      </c>
      <c r="G858" s="32"/>
      <c r="H858" s="66" t="str">
        <f>'BID III'!B653</f>
        <v>Belanja Jasa Honorarium</v>
      </c>
      <c r="I858" s="470"/>
      <c r="J858" s="66"/>
      <c r="K858" s="497" t="s">
        <v>3031</v>
      </c>
      <c r="L858" s="32"/>
      <c r="M858" s="497"/>
      <c r="N858" s="32"/>
      <c r="O858" s="32"/>
      <c r="P858" s="32"/>
      <c r="Q858" s="32"/>
      <c r="R858" s="32"/>
      <c r="S858" s="32"/>
      <c r="T858" s="32"/>
      <c r="U858" s="32"/>
      <c r="V858" s="32"/>
      <c r="W858" s="32"/>
      <c r="X858" s="1750">
        <f t="shared" si="26"/>
        <v>0</v>
      </c>
      <c r="Y858" s="175">
        <f t="shared" si="27"/>
        <v>0</v>
      </c>
    </row>
    <row r="859" spans="1:25" ht="60" x14ac:dyDescent="0.25">
      <c r="A859" s="32"/>
      <c r="B859" s="32"/>
      <c r="C859" s="32"/>
      <c r="D859" s="32"/>
      <c r="E859" s="32"/>
      <c r="F859" s="32"/>
      <c r="G859" s="1340" t="s">
        <v>2704</v>
      </c>
      <c r="H859" s="66" t="str">
        <f>'BID III'!B654</f>
        <v>Belanja Jasa Honorarium Ahli Profesi/Konsultan/Narasumber</v>
      </c>
      <c r="I859" s="470">
        <f>SUM('BID III'!F655:F656)</f>
        <v>5100000</v>
      </c>
      <c r="J859" s="66" t="s">
        <v>2627</v>
      </c>
      <c r="K859" s="497" t="s">
        <v>3031</v>
      </c>
      <c r="L859" s="32"/>
      <c r="M859" s="497">
        <v>5100000</v>
      </c>
      <c r="N859" s="32"/>
      <c r="O859" s="32"/>
      <c r="P859" s="32"/>
      <c r="Q859" s="32"/>
      <c r="R859" s="32"/>
      <c r="S859" s="32"/>
      <c r="T859" s="32"/>
      <c r="U859" s="32"/>
      <c r="V859" s="32"/>
      <c r="W859" s="32"/>
      <c r="X859" s="1750">
        <f t="shared" si="26"/>
        <v>5100000</v>
      </c>
      <c r="Y859" s="175">
        <f t="shared" si="27"/>
        <v>0</v>
      </c>
    </row>
    <row r="860" spans="1:25" ht="45" x14ac:dyDescent="0.25">
      <c r="A860" s="32"/>
      <c r="B860" s="32"/>
      <c r="C860" s="32"/>
      <c r="D860" s="32">
        <v>5</v>
      </c>
      <c r="E860" s="32">
        <v>2</v>
      </c>
      <c r="F860" s="32">
        <v>7</v>
      </c>
      <c r="G860" s="32"/>
      <c r="H860" s="66" t="str">
        <f>'BID III'!B657</f>
        <v>Belanja Barang dan Jasa yang Diserahkan Kepada Masyarakat</v>
      </c>
      <c r="I860" s="470"/>
      <c r="J860" s="66"/>
      <c r="K860" s="497" t="s">
        <v>3031</v>
      </c>
      <c r="L860" s="32"/>
      <c r="M860" s="497"/>
      <c r="N860" s="32"/>
      <c r="O860" s="32"/>
      <c r="P860" s="32"/>
      <c r="Q860" s="32"/>
      <c r="R860" s="32"/>
      <c r="S860" s="32"/>
      <c r="T860" s="32"/>
      <c r="U860" s="32"/>
      <c r="V860" s="32"/>
      <c r="W860" s="32"/>
      <c r="X860" s="1750">
        <f t="shared" si="26"/>
        <v>0</v>
      </c>
      <c r="Y860" s="175">
        <f t="shared" si="27"/>
        <v>0</v>
      </c>
    </row>
    <row r="861" spans="1:25" ht="30" x14ac:dyDescent="0.25">
      <c r="A861" s="32"/>
      <c r="B861" s="32"/>
      <c r="C861" s="32"/>
      <c r="D861" s="32"/>
      <c r="E861" s="32"/>
      <c r="F861" s="32"/>
      <c r="G861" s="32">
        <v>90</v>
      </c>
      <c r="H861" s="66" t="str">
        <f>'BID III'!B658</f>
        <v>Belanja Jasa Atlit dan Seniman Berprestasi</v>
      </c>
      <c r="I861" s="470">
        <f>SUM('BID III'!F659:F668)</f>
        <v>14112000</v>
      </c>
      <c r="J861" s="66" t="s">
        <v>2627</v>
      </c>
      <c r="K861" s="497" t="s">
        <v>3031</v>
      </c>
      <c r="L861" s="32"/>
      <c r="M861" s="497">
        <v>14112000</v>
      </c>
      <c r="N861" s="32"/>
      <c r="O861" s="32"/>
      <c r="P861" s="32"/>
      <c r="Q861" s="32"/>
      <c r="R861" s="32"/>
      <c r="S861" s="32"/>
      <c r="T861" s="32"/>
      <c r="U861" s="32"/>
      <c r="V861" s="32"/>
      <c r="W861" s="32"/>
      <c r="X861" s="1750">
        <f t="shared" si="26"/>
        <v>14112000</v>
      </c>
      <c r="Y861" s="175">
        <f t="shared" si="27"/>
        <v>0</v>
      </c>
    </row>
    <row r="862" spans="1:25" x14ac:dyDescent="0.25">
      <c r="A862" s="32"/>
      <c r="B862" s="32"/>
      <c r="C862" s="32"/>
      <c r="D862" s="32">
        <v>5</v>
      </c>
      <c r="E862" s="32">
        <v>2</v>
      </c>
      <c r="F862" s="32">
        <v>4</v>
      </c>
      <c r="G862" s="32"/>
      <c r="H862" s="66" t="str">
        <f>'BID III'!B669</f>
        <v>Belanja Jasa Sewa</v>
      </c>
      <c r="I862" s="470"/>
      <c r="J862" s="66"/>
      <c r="K862" s="497" t="s">
        <v>3031</v>
      </c>
      <c r="L862" s="32"/>
      <c r="M862" s="497"/>
      <c r="N862" s="32"/>
      <c r="O862" s="32"/>
      <c r="P862" s="32"/>
      <c r="Q862" s="32"/>
      <c r="R862" s="32"/>
      <c r="S862" s="32"/>
      <c r="T862" s="32"/>
      <c r="U862" s="32"/>
      <c r="V862" s="32"/>
      <c r="W862" s="32"/>
      <c r="X862" s="1750">
        <f t="shared" si="26"/>
        <v>0</v>
      </c>
      <c r="Y862" s="175">
        <f t="shared" si="27"/>
        <v>0</v>
      </c>
    </row>
    <row r="863" spans="1:25" ht="30" x14ac:dyDescent="0.25">
      <c r="A863" s="32"/>
      <c r="B863" s="32"/>
      <c r="C863" s="32"/>
      <c r="D863" s="32"/>
      <c r="E863" s="32"/>
      <c r="F863" s="32"/>
      <c r="G863" s="1340" t="s">
        <v>2688</v>
      </c>
      <c r="H863" s="66" t="str">
        <f>'BID III'!B670</f>
        <v>Belanja Jasa Sewa Peralatan perlengkapan</v>
      </c>
      <c r="I863" s="470">
        <f>SUM('BID III'!F671)</f>
        <v>1000000</v>
      </c>
      <c r="J863" s="66" t="s">
        <v>2627</v>
      </c>
      <c r="K863" s="497" t="s">
        <v>3031</v>
      </c>
      <c r="L863" s="32"/>
      <c r="M863" s="497">
        <v>1000000</v>
      </c>
      <c r="N863" s="32"/>
      <c r="O863" s="32"/>
      <c r="P863" s="32"/>
      <c r="Q863" s="32"/>
      <c r="R863" s="32"/>
      <c r="S863" s="32"/>
      <c r="T863" s="32"/>
      <c r="U863" s="32"/>
      <c r="V863" s="32"/>
      <c r="W863" s="32"/>
      <c r="X863" s="1750">
        <f t="shared" si="26"/>
        <v>1000000</v>
      </c>
      <c r="Y863" s="175">
        <f t="shared" si="27"/>
        <v>0</v>
      </c>
    </row>
    <row r="864" spans="1:25" ht="150" x14ac:dyDescent="0.25">
      <c r="A864" s="32"/>
      <c r="B864" s="32"/>
      <c r="C864" s="32"/>
      <c r="D864" s="32"/>
      <c r="E864" s="32"/>
      <c r="F864" s="32"/>
      <c r="G864" s="32"/>
      <c r="H864" s="66" t="str">
        <f>'BID III'!B672</f>
        <v>Pengiriman Peserta Lomba Lagu Wajib dan Lagu Perjuangan Tingkat SD dan SMP, Lomba Menggambar Tokoh Bung Karno dan Lomba Lari Karung Sekaa Teruna Dalan Rangka Bulan Bung Karno ) Ke Camat Denpasar Timur</v>
      </c>
      <c r="I864" s="470"/>
      <c r="J864" s="66"/>
      <c r="K864" s="497" t="s">
        <v>3031</v>
      </c>
      <c r="L864" s="32"/>
      <c r="M864" s="497"/>
      <c r="N864" s="32"/>
      <c r="O864" s="32"/>
      <c r="P864" s="32"/>
      <c r="Q864" s="32"/>
      <c r="R864" s="32"/>
      <c r="S864" s="32"/>
      <c r="T864" s="32"/>
      <c r="U864" s="32"/>
      <c r="V864" s="32"/>
      <c r="W864" s="32"/>
      <c r="X864" s="1750">
        <f t="shared" ref="X864:X927" si="28">SUM(L864:W864)</f>
        <v>0</v>
      </c>
      <c r="Y864" s="175">
        <f t="shared" si="27"/>
        <v>0</v>
      </c>
    </row>
    <row r="865" spans="1:25" x14ac:dyDescent="0.25">
      <c r="A865" s="32"/>
      <c r="B865" s="32"/>
      <c r="C865" s="32"/>
      <c r="D865" s="32">
        <v>2</v>
      </c>
      <c r="E865" s="32">
        <v>5</v>
      </c>
      <c r="F865" s="32"/>
      <c r="G865" s="32"/>
      <c r="H865" s="66" t="str">
        <f>'BID III'!B673</f>
        <v>Belanja Barang Jasa</v>
      </c>
      <c r="I865" s="470"/>
      <c r="J865" s="66"/>
      <c r="K865" s="497" t="s">
        <v>3031</v>
      </c>
      <c r="L865" s="32"/>
      <c r="M865" s="497"/>
      <c r="N865" s="32"/>
      <c r="O865" s="32"/>
      <c r="P865" s="32"/>
      <c r="Q865" s="32"/>
      <c r="R865" s="32"/>
      <c r="S865" s="32"/>
      <c r="T865" s="32"/>
      <c r="U865" s="32"/>
      <c r="V865" s="32"/>
      <c r="W865" s="32"/>
      <c r="X865" s="1750">
        <f t="shared" si="28"/>
        <v>0</v>
      </c>
      <c r="Y865" s="175">
        <f t="shared" si="27"/>
        <v>0</v>
      </c>
    </row>
    <row r="866" spans="1:25" ht="30" x14ac:dyDescent="0.25">
      <c r="A866" s="32"/>
      <c r="B866" s="32"/>
      <c r="C866" s="32"/>
      <c r="D866" s="32"/>
      <c r="E866" s="32"/>
      <c r="F866" s="32">
        <v>1</v>
      </c>
      <c r="G866" s="32"/>
      <c r="H866" s="66" t="str">
        <f>'BID III'!B674</f>
        <v>Belanja Barang Perlengkapan</v>
      </c>
      <c r="I866" s="470"/>
      <c r="J866" s="66"/>
      <c r="K866" s="497" t="s">
        <v>3031</v>
      </c>
      <c r="L866" s="32"/>
      <c r="M866" s="497"/>
      <c r="N866" s="32"/>
      <c r="O866" s="32"/>
      <c r="P866" s="32"/>
      <c r="Q866" s="32"/>
      <c r="R866" s="32"/>
      <c r="S866" s="32"/>
      <c r="T866" s="32"/>
      <c r="U866" s="32"/>
      <c r="V866" s="32"/>
      <c r="W866" s="32"/>
      <c r="X866" s="1750">
        <f t="shared" si="28"/>
        <v>0</v>
      </c>
      <c r="Y866" s="175">
        <f t="shared" si="27"/>
        <v>0</v>
      </c>
    </row>
    <row r="867" spans="1:25" ht="45" x14ac:dyDescent="0.25">
      <c r="A867" s="32"/>
      <c r="B867" s="32"/>
      <c r="C867" s="32"/>
      <c r="D867" s="32"/>
      <c r="E867" s="32"/>
      <c r="F867" s="32"/>
      <c r="G867" s="1340" t="s">
        <v>2705</v>
      </c>
      <c r="H867" s="66" t="str">
        <f>'BID III'!B675</f>
        <v>Belanja Barang Perlengkapan Barang Konsumsi</v>
      </c>
      <c r="I867" s="470">
        <f>SUM('BID III'!F676:F677)</f>
        <v>525000</v>
      </c>
      <c r="J867" s="66" t="s">
        <v>2627</v>
      </c>
      <c r="K867" s="497" t="s">
        <v>3031</v>
      </c>
      <c r="L867" s="32"/>
      <c r="M867" s="497">
        <v>525000</v>
      </c>
      <c r="N867" s="32"/>
      <c r="O867" s="32"/>
      <c r="P867" s="32"/>
      <c r="Q867" s="32"/>
      <c r="R867" s="32"/>
      <c r="S867" s="32"/>
      <c r="T867" s="32"/>
      <c r="U867" s="32"/>
      <c r="V867" s="32"/>
      <c r="W867" s="32"/>
      <c r="X867" s="1750">
        <f t="shared" si="28"/>
        <v>525000</v>
      </c>
      <c r="Y867" s="175">
        <f t="shared" si="27"/>
        <v>0</v>
      </c>
    </row>
    <row r="868" spans="1:25" ht="30" x14ac:dyDescent="0.25">
      <c r="A868" s="32"/>
      <c r="B868" s="32"/>
      <c r="C868" s="32"/>
      <c r="D868" s="32"/>
      <c r="E868" s="32"/>
      <c r="F868" s="32"/>
      <c r="G868" s="1340" t="s">
        <v>2708</v>
      </c>
      <c r="H868" s="66" t="str">
        <f>'BID III'!B678</f>
        <v>Belanja Bahan Material</v>
      </c>
      <c r="I868" s="470">
        <f>SUM('BID III'!F679:F688)</f>
        <v>3339940</v>
      </c>
      <c r="J868" s="66" t="s">
        <v>2627</v>
      </c>
      <c r="K868" s="497" t="s">
        <v>3031</v>
      </c>
      <c r="L868" s="32"/>
      <c r="M868" s="497">
        <v>3339940</v>
      </c>
      <c r="N868" s="32"/>
      <c r="O868" s="32"/>
      <c r="P868" s="32"/>
      <c r="Q868" s="32"/>
      <c r="R868" s="32"/>
      <c r="S868" s="32"/>
      <c r="T868" s="32"/>
      <c r="U868" s="32"/>
      <c r="V868" s="32"/>
      <c r="W868" s="32"/>
      <c r="X868" s="1750">
        <f t="shared" si="28"/>
        <v>3339940</v>
      </c>
      <c r="Y868" s="175">
        <f t="shared" si="27"/>
        <v>0</v>
      </c>
    </row>
    <row r="869" spans="1:25" x14ac:dyDescent="0.25">
      <c r="A869" s="32"/>
      <c r="B869" s="32"/>
      <c r="C869" s="32"/>
      <c r="D869" s="32">
        <v>5</v>
      </c>
      <c r="E869" s="32">
        <v>2</v>
      </c>
      <c r="F869" s="32">
        <v>2</v>
      </c>
      <c r="G869" s="32"/>
      <c r="H869" s="66" t="str">
        <f>'BID III'!B689</f>
        <v>Belanja Honorarium</v>
      </c>
      <c r="I869" s="470"/>
      <c r="J869" s="66"/>
      <c r="K869" s="497" t="s">
        <v>3031</v>
      </c>
      <c r="L869" s="32"/>
      <c r="M869" s="497"/>
      <c r="N869" s="32"/>
      <c r="O869" s="32"/>
      <c r="P869" s="32"/>
      <c r="Q869" s="32"/>
      <c r="R869" s="32"/>
      <c r="S869" s="32"/>
      <c r="T869" s="32"/>
      <c r="U869" s="32"/>
      <c r="V869" s="32"/>
      <c r="W869" s="32"/>
      <c r="X869" s="1750">
        <f t="shared" si="28"/>
        <v>0</v>
      </c>
      <c r="Y869" s="175">
        <f t="shared" si="27"/>
        <v>0</v>
      </c>
    </row>
    <row r="870" spans="1:25" ht="30" x14ac:dyDescent="0.25">
      <c r="A870" s="32"/>
      <c r="B870" s="32"/>
      <c r="C870" s="32"/>
      <c r="D870" s="32"/>
      <c r="E870" s="32"/>
      <c r="F870" s="32"/>
      <c r="G870" s="1340" t="s">
        <v>2704</v>
      </c>
      <c r="H870" s="66" t="str">
        <f>'BID III'!B690</f>
        <v>Belanja Honorarium Pelatih</v>
      </c>
      <c r="I870" s="470">
        <f>'BID III'!F691</f>
        <v>300000</v>
      </c>
      <c r="J870" s="66" t="s">
        <v>2627</v>
      </c>
      <c r="K870" s="497" t="s">
        <v>3031</v>
      </c>
      <c r="L870" s="32"/>
      <c r="M870" s="497">
        <v>300000</v>
      </c>
      <c r="N870" s="32"/>
      <c r="O870" s="32"/>
      <c r="P870" s="32"/>
      <c r="Q870" s="32"/>
      <c r="R870" s="32"/>
      <c r="S870" s="32"/>
      <c r="T870" s="32"/>
      <c r="U870" s="32"/>
      <c r="V870" s="32"/>
      <c r="W870" s="32"/>
      <c r="X870" s="1750">
        <f t="shared" si="28"/>
        <v>300000</v>
      </c>
      <c r="Y870" s="175">
        <f t="shared" si="27"/>
        <v>0</v>
      </c>
    </row>
    <row r="871" spans="1:25" ht="45" x14ac:dyDescent="0.25">
      <c r="A871" s="32"/>
      <c r="B871" s="32"/>
      <c r="C871" s="32"/>
      <c r="D871" s="32"/>
      <c r="E871" s="32"/>
      <c r="F871" s="32"/>
      <c r="G871" s="1340" t="s">
        <v>2706</v>
      </c>
      <c r="H871" s="66" t="str">
        <f>'BID III'!B692</f>
        <v>Belanja Jasa Honor Tim yang Melaksanakan Kegiatan</v>
      </c>
      <c r="I871" s="470">
        <f>SUM('BID III'!F693:F694)</f>
        <v>700000</v>
      </c>
      <c r="J871" s="66" t="s">
        <v>2627</v>
      </c>
      <c r="K871" s="497" t="s">
        <v>3031</v>
      </c>
      <c r="L871" s="32"/>
      <c r="M871" s="497">
        <v>700000</v>
      </c>
      <c r="N871" s="32"/>
      <c r="O871" s="32"/>
      <c r="P871" s="32"/>
      <c r="Q871" s="32"/>
      <c r="R871" s="32"/>
      <c r="S871" s="32"/>
      <c r="T871" s="32"/>
      <c r="U871" s="32"/>
      <c r="V871" s="32"/>
      <c r="W871" s="32"/>
      <c r="X871" s="1750">
        <f t="shared" si="28"/>
        <v>700000</v>
      </c>
      <c r="Y871" s="175">
        <f t="shared" si="27"/>
        <v>0</v>
      </c>
    </row>
    <row r="872" spans="1:25" ht="45" x14ac:dyDescent="0.25">
      <c r="A872" s="32"/>
      <c r="B872" s="32"/>
      <c r="C872" s="32"/>
      <c r="D872" s="32">
        <v>5</v>
      </c>
      <c r="E872" s="32">
        <v>2</v>
      </c>
      <c r="F872" s="32">
        <v>7</v>
      </c>
      <c r="G872" s="32"/>
      <c r="H872" s="66" t="str">
        <f>'BID III'!B695</f>
        <v>Belanja Barang dan Jasa yang Diserahkan Kepada Masyarakat</v>
      </c>
      <c r="I872" s="470"/>
      <c r="J872" s="66"/>
      <c r="K872" s="497" t="s">
        <v>3031</v>
      </c>
      <c r="L872" s="32"/>
      <c r="M872" s="497"/>
      <c r="N872" s="32"/>
      <c r="O872" s="32"/>
      <c r="P872" s="32"/>
      <c r="Q872" s="32"/>
      <c r="R872" s="32"/>
      <c r="S872" s="32"/>
      <c r="T872" s="32"/>
      <c r="U872" s="32"/>
      <c r="V872" s="32"/>
      <c r="W872" s="32"/>
      <c r="X872" s="1750">
        <f t="shared" si="28"/>
        <v>0</v>
      </c>
      <c r="Y872" s="175">
        <f t="shared" si="27"/>
        <v>0</v>
      </c>
    </row>
    <row r="873" spans="1:25" ht="30" x14ac:dyDescent="0.25">
      <c r="A873" s="32"/>
      <c r="B873" s="32"/>
      <c r="C873" s="32"/>
      <c r="D873" s="32"/>
      <c r="E873" s="32"/>
      <c r="F873" s="32"/>
      <c r="G873" s="32">
        <v>90</v>
      </c>
      <c r="H873" s="66" t="str">
        <f>'BID III'!B696</f>
        <v>Belanja Uang Saku ( 4 or x 1 Kl )</v>
      </c>
      <c r="I873" s="470">
        <f>'BID III'!F696</f>
        <v>200000</v>
      </c>
      <c r="J873" s="66" t="s">
        <v>2627</v>
      </c>
      <c r="K873" s="497" t="s">
        <v>3031</v>
      </c>
      <c r="L873" s="32"/>
      <c r="M873" s="497">
        <v>200000</v>
      </c>
      <c r="N873" s="32"/>
      <c r="O873" s="32"/>
      <c r="P873" s="32"/>
      <c r="Q873" s="32"/>
      <c r="R873" s="32"/>
      <c r="S873" s="32"/>
      <c r="T873" s="32"/>
      <c r="U873" s="32"/>
      <c r="V873" s="32"/>
      <c r="W873" s="32"/>
      <c r="X873" s="1750">
        <f t="shared" si="28"/>
        <v>200000</v>
      </c>
      <c r="Y873" s="175">
        <f t="shared" si="27"/>
        <v>0</v>
      </c>
    </row>
    <row r="874" spans="1:25" ht="150" x14ac:dyDescent="0.25">
      <c r="A874" s="32"/>
      <c r="B874" s="32"/>
      <c r="C874" s="32"/>
      <c r="D874" s="32"/>
      <c r="E874" s="32"/>
      <c r="F874" s="32"/>
      <c r="G874" s="32"/>
      <c r="H874" s="66" t="str">
        <f>'BID III'!B697</f>
        <v>Pengiriman Peserta Lomba Simulasi PKK ( 25 Orang), Lomba Menyanyikan Lagu Tembang Kenangan dan Kebangsaan Lansia  ( 1 Orang ), Lomba Pidato STT ( 1 Orang ) Ke Kota Denpasar Dalam Rangka Bulan Bung Karno</v>
      </c>
      <c r="I874" s="470"/>
      <c r="J874" s="66"/>
      <c r="K874" s="497" t="s">
        <v>3031</v>
      </c>
      <c r="L874" s="32"/>
      <c r="M874" s="497"/>
      <c r="N874" s="32"/>
      <c r="O874" s="32"/>
      <c r="P874" s="32"/>
      <c r="Q874" s="32"/>
      <c r="R874" s="32"/>
      <c r="S874" s="32"/>
      <c r="T874" s="32"/>
      <c r="U874" s="32"/>
      <c r="V874" s="32"/>
      <c r="W874" s="32"/>
      <c r="X874" s="1750">
        <f t="shared" si="28"/>
        <v>0</v>
      </c>
      <c r="Y874" s="175">
        <f t="shared" ref="Y874:Y937" si="29">X874-I874</f>
        <v>0</v>
      </c>
    </row>
    <row r="875" spans="1:25" x14ac:dyDescent="0.25">
      <c r="A875" s="32"/>
      <c r="B875" s="32"/>
      <c r="C875" s="32"/>
      <c r="D875" s="32">
        <v>5</v>
      </c>
      <c r="E875" s="32">
        <v>2</v>
      </c>
      <c r="F875" s="32"/>
      <c r="G875" s="32"/>
      <c r="H875" s="66" t="str">
        <f>'BID III'!B698</f>
        <v>Belanja Barang Jasa</v>
      </c>
      <c r="I875" s="470"/>
      <c r="J875" s="66"/>
      <c r="K875" s="497" t="s">
        <v>3031</v>
      </c>
      <c r="L875" s="32"/>
      <c r="M875" s="497"/>
      <c r="N875" s="32"/>
      <c r="O875" s="32"/>
      <c r="P875" s="32"/>
      <c r="Q875" s="32"/>
      <c r="R875" s="32"/>
      <c r="S875" s="32"/>
      <c r="T875" s="32"/>
      <c r="U875" s="32"/>
      <c r="V875" s="32"/>
      <c r="W875" s="32"/>
      <c r="X875" s="1750">
        <f t="shared" si="28"/>
        <v>0</v>
      </c>
      <c r="Y875" s="175">
        <f t="shared" si="29"/>
        <v>0</v>
      </c>
    </row>
    <row r="876" spans="1:25" ht="30" x14ac:dyDescent="0.25">
      <c r="A876" s="32"/>
      <c r="B876" s="32"/>
      <c r="C876" s="32"/>
      <c r="D876" s="32"/>
      <c r="E876" s="32"/>
      <c r="F876" s="32">
        <v>1</v>
      </c>
      <c r="G876" s="32"/>
      <c r="H876" s="66" t="str">
        <f>'BID III'!B699</f>
        <v>Belanja Barang Perlengkapan</v>
      </c>
      <c r="I876" s="470"/>
      <c r="J876" s="66"/>
      <c r="K876" s="497" t="s">
        <v>3031</v>
      </c>
      <c r="L876" s="32"/>
      <c r="M876" s="497"/>
      <c r="N876" s="32"/>
      <c r="O876" s="32"/>
      <c r="P876" s="32"/>
      <c r="Q876" s="32"/>
      <c r="R876" s="32"/>
      <c r="S876" s="32"/>
      <c r="T876" s="32"/>
      <c r="U876" s="32"/>
      <c r="V876" s="32"/>
      <c r="W876" s="32"/>
      <c r="X876" s="1750">
        <f t="shared" si="28"/>
        <v>0</v>
      </c>
      <c r="Y876" s="175">
        <f t="shared" si="29"/>
        <v>0</v>
      </c>
    </row>
    <row r="877" spans="1:25" ht="45" x14ac:dyDescent="0.25">
      <c r="A877" s="32"/>
      <c r="B877" s="32"/>
      <c r="C877" s="32"/>
      <c r="D877" s="32"/>
      <c r="E877" s="32"/>
      <c r="F877" s="32"/>
      <c r="G877" s="1340" t="s">
        <v>2705</v>
      </c>
      <c r="H877" s="66" t="str">
        <f>'BID III'!B700</f>
        <v>Belanja Barang Perlengkapan Barang Konsumsi</v>
      </c>
      <c r="I877" s="470">
        <f>SUM('BID III'!F701:F702)</f>
        <v>2250000</v>
      </c>
      <c r="J877" s="66" t="s">
        <v>2627</v>
      </c>
      <c r="K877" s="497" t="s">
        <v>3031</v>
      </c>
      <c r="L877" s="32"/>
      <c r="M877" s="497">
        <v>2250000</v>
      </c>
      <c r="N877" s="32"/>
      <c r="O877" s="32"/>
      <c r="P877" s="32"/>
      <c r="Q877" s="32"/>
      <c r="R877" s="32"/>
      <c r="S877" s="32"/>
      <c r="T877" s="32"/>
      <c r="U877" s="32"/>
      <c r="V877" s="32"/>
      <c r="W877" s="32"/>
      <c r="X877" s="1750">
        <f t="shared" si="28"/>
        <v>2250000</v>
      </c>
      <c r="Y877" s="175">
        <f t="shared" si="29"/>
        <v>0</v>
      </c>
    </row>
    <row r="878" spans="1:25" ht="30" x14ac:dyDescent="0.25">
      <c r="A878" s="32"/>
      <c r="B878" s="32"/>
      <c r="C878" s="32"/>
      <c r="D878" s="32"/>
      <c r="E878" s="32"/>
      <c r="F878" s="32"/>
      <c r="G878" s="1340" t="s">
        <v>2708</v>
      </c>
      <c r="H878" s="66" t="str">
        <f>'BID III'!B703</f>
        <v>Belanja Bahan Material</v>
      </c>
      <c r="I878" s="470">
        <f>SUM('BID III'!F704:F705)</f>
        <v>12150000</v>
      </c>
      <c r="J878" s="66" t="s">
        <v>2627</v>
      </c>
      <c r="K878" s="497" t="s">
        <v>3031</v>
      </c>
      <c r="L878" s="32"/>
      <c r="M878" s="497">
        <v>12150000</v>
      </c>
      <c r="N878" s="32"/>
      <c r="O878" s="32"/>
      <c r="P878" s="32"/>
      <c r="Q878" s="32"/>
      <c r="R878" s="32"/>
      <c r="S878" s="32"/>
      <c r="T878" s="32"/>
      <c r="U878" s="32"/>
      <c r="V878" s="32"/>
      <c r="W878" s="32"/>
      <c r="X878" s="1750">
        <f t="shared" si="28"/>
        <v>12150000</v>
      </c>
      <c r="Y878" s="175">
        <f t="shared" si="29"/>
        <v>0</v>
      </c>
    </row>
    <row r="879" spans="1:25" x14ac:dyDescent="0.25">
      <c r="A879" s="32"/>
      <c r="B879" s="32"/>
      <c r="C879" s="32"/>
      <c r="D879" s="32">
        <v>5</v>
      </c>
      <c r="E879" s="32">
        <v>2</v>
      </c>
      <c r="F879" s="32">
        <v>2</v>
      </c>
      <c r="G879" s="32"/>
      <c r="H879" s="66" t="str">
        <f>'BID III'!B706</f>
        <v>Belanja Honorarium</v>
      </c>
      <c r="I879" s="470"/>
      <c r="J879" s="66"/>
      <c r="K879" s="497" t="s">
        <v>3031</v>
      </c>
      <c r="L879" s="32"/>
      <c r="M879" s="497"/>
      <c r="N879" s="32"/>
      <c r="O879" s="32"/>
      <c r="P879" s="32"/>
      <c r="Q879" s="32"/>
      <c r="R879" s="32"/>
      <c r="S879" s="32"/>
      <c r="T879" s="32"/>
      <c r="U879" s="32"/>
      <c r="V879" s="32"/>
      <c r="W879" s="32"/>
      <c r="X879" s="1750">
        <f t="shared" si="28"/>
        <v>0</v>
      </c>
      <c r="Y879" s="175">
        <f t="shared" si="29"/>
        <v>0</v>
      </c>
    </row>
    <row r="880" spans="1:25" ht="60" x14ac:dyDescent="0.25">
      <c r="A880" s="32"/>
      <c r="B880" s="32"/>
      <c r="C880" s="32"/>
      <c r="D880" s="32"/>
      <c r="E880" s="32"/>
      <c r="F880" s="32"/>
      <c r="G880" s="1340" t="s">
        <v>2704</v>
      </c>
      <c r="H880" s="66" t="str">
        <f>'BID III'!B707</f>
        <v>Belanja Jasa Honorarium Ahli Profesi/Konsultan/Narasumber</v>
      </c>
      <c r="I880" s="470">
        <f>SUM('BID III'!F708:F709)</f>
        <v>4950000</v>
      </c>
      <c r="J880" s="66" t="s">
        <v>2627</v>
      </c>
      <c r="K880" s="497" t="s">
        <v>3031</v>
      </c>
      <c r="L880" s="32"/>
      <c r="M880" s="497">
        <v>4950000</v>
      </c>
      <c r="N880" s="32"/>
      <c r="O880" s="32"/>
      <c r="P880" s="32"/>
      <c r="Q880" s="32"/>
      <c r="R880" s="32"/>
      <c r="S880" s="32"/>
      <c r="T880" s="32"/>
      <c r="U880" s="32"/>
      <c r="V880" s="32"/>
      <c r="W880" s="32"/>
      <c r="X880" s="1750">
        <f t="shared" si="28"/>
        <v>4950000</v>
      </c>
      <c r="Y880" s="175">
        <f t="shared" si="29"/>
        <v>0</v>
      </c>
    </row>
    <row r="881" spans="1:25" ht="45" x14ac:dyDescent="0.25">
      <c r="A881" s="32"/>
      <c r="B881" s="32"/>
      <c r="C881" s="32"/>
      <c r="D881" s="32">
        <v>5</v>
      </c>
      <c r="E881" s="32">
        <v>2</v>
      </c>
      <c r="F881" s="32">
        <v>7</v>
      </c>
      <c r="G881" s="32"/>
      <c r="H881" s="66" t="str">
        <f>'BID III'!B710</f>
        <v>Belanja Barang dan Jasa yang Diserahkan Kepada Masyarakat</v>
      </c>
      <c r="I881" s="470"/>
      <c r="J881" s="66"/>
      <c r="K881" s="497" t="s">
        <v>3031</v>
      </c>
      <c r="L881" s="32"/>
      <c r="M881" s="497"/>
      <c r="N881" s="32"/>
      <c r="O881" s="32"/>
      <c r="P881" s="32"/>
      <c r="Q881" s="32"/>
      <c r="R881" s="32"/>
      <c r="S881" s="32"/>
      <c r="T881" s="32"/>
      <c r="U881" s="32"/>
      <c r="V881" s="32"/>
      <c r="W881" s="32"/>
      <c r="X881" s="1750">
        <f t="shared" si="28"/>
        <v>0</v>
      </c>
      <c r="Y881" s="175">
        <f t="shared" si="29"/>
        <v>0</v>
      </c>
    </row>
    <row r="882" spans="1:25" ht="30" x14ac:dyDescent="0.25">
      <c r="A882" s="32"/>
      <c r="B882" s="32"/>
      <c r="C882" s="32"/>
      <c r="D882" s="32"/>
      <c r="E882" s="32"/>
      <c r="F882" s="32"/>
      <c r="G882" s="32">
        <v>90</v>
      </c>
      <c r="H882" s="66" t="str">
        <f>'BID III'!B711</f>
        <v>Belanja Uang Saku Peserta ( 27 or x 1 Kl )</v>
      </c>
      <c r="I882" s="470">
        <f>'BID III'!F711</f>
        <v>1350000</v>
      </c>
      <c r="J882" s="66" t="s">
        <v>2627</v>
      </c>
      <c r="K882" s="497" t="s">
        <v>3031</v>
      </c>
      <c r="L882" s="32"/>
      <c r="M882" s="497">
        <v>1350000</v>
      </c>
      <c r="N882" s="32"/>
      <c r="O882" s="32"/>
      <c r="P882" s="32"/>
      <c r="Q882" s="32"/>
      <c r="R882" s="32"/>
      <c r="S882" s="32"/>
      <c r="T882" s="32"/>
      <c r="U882" s="32"/>
      <c r="V882" s="32"/>
      <c r="W882" s="32"/>
      <c r="X882" s="1750">
        <f t="shared" si="28"/>
        <v>1350000</v>
      </c>
      <c r="Y882" s="175">
        <f t="shared" si="29"/>
        <v>0</v>
      </c>
    </row>
    <row r="883" spans="1:25" ht="30" x14ac:dyDescent="0.25">
      <c r="A883" s="1344">
        <v>3</v>
      </c>
      <c r="B883" s="1344">
        <v>3</v>
      </c>
      <c r="C883" s="1346" t="s">
        <v>2705</v>
      </c>
      <c r="D883" s="1344"/>
      <c r="E883" s="1344"/>
      <c r="F883" s="1344"/>
      <c r="G883" s="1344"/>
      <c r="H883" s="1345" t="str">
        <f>'BID III'!B827</f>
        <v>: Pembinaan Karang Taruna</v>
      </c>
      <c r="I883" s="1347">
        <f>SUM(I884:I893)</f>
        <v>29662000</v>
      </c>
      <c r="J883" s="1345" t="s">
        <v>1682</v>
      </c>
      <c r="K883" s="1347" t="s">
        <v>3031</v>
      </c>
      <c r="L883" s="1344"/>
      <c r="M883" s="1344"/>
      <c r="N883" s="1344"/>
      <c r="O883" s="1344"/>
      <c r="P883" s="1344"/>
      <c r="Q883" s="1344"/>
      <c r="R883" s="1344"/>
      <c r="S883" s="1344"/>
      <c r="T883" s="1344"/>
      <c r="U883" s="1344"/>
      <c r="V883" s="1344"/>
      <c r="W883" s="1344"/>
      <c r="X883" s="1353">
        <f t="shared" si="28"/>
        <v>0</v>
      </c>
      <c r="Y883" s="175">
        <f t="shared" si="29"/>
        <v>-29662000</v>
      </c>
    </row>
    <row r="884" spans="1:25" x14ac:dyDescent="0.25">
      <c r="A884" s="32"/>
      <c r="B884" s="32"/>
      <c r="C884" s="32"/>
      <c r="D884" s="32">
        <v>5</v>
      </c>
      <c r="E884" s="32">
        <v>2</v>
      </c>
      <c r="F884" s="32"/>
      <c r="G884" s="32"/>
      <c r="H884" s="66" t="str">
        <f>'BID III'!B833</f>
        <v>Belanja Barang Jasa</v>
      </c>
      <c r="I884" s="470"/>
      <c r="J884" s="66"/>
      <c r="K884" s="497" t="s">
        <v>3031</v>
      </c>
      <c r="L884" s="32"/>
      <c r="M884" s="32"/>
      <c r="N884" s="32"/>
      <c r="O884" s="32"/>
      <c r="P884" s="32"/>
      <c r="Q884" s="32"/>
      <c r="R884" s="32"/>
      <c r="S884" s="32"/>
      <c r="T884" s="32"/>
      <c r="U884" s="32"/>
      <c r="V884" s="32"/>
      <c r="W884" s="32"/>
      <c r="X884" s="1750">
        <f t="shared" si="28"/>
        <v>0</v>
      </c>
      <c r="Y884" s="175">
        <f t="shared" si="29"/>
        <v>0</v>
      </c>
    </row>
    <row r="885" spans="1:25" ht="30" x14ac:dyDescent="0.25">
      <c r="A885" s="32"/>
      <c r="B885" s="32"/>
      <c r="C885" s="32"/>
      <c r="D885" s="32"/>
      <c r="E885" s="32"/>
      <c r="F885" s="32">
        <v>1</v>
      </c>
      <c r="G885" s="32"/>
      <c r="H885" s="66" t="str">
        <f>'BID III'!B834</f>
        <v>Belanja Barang Perlengkapan</v>
      </c>
      <c r="I885" s="470"/>
      <c r="J885" s="66"/>
      <c r="K885" s="497" t="s">
        <v>3031</v>
      </c>
      <c r="L885" s="32"/>
      <c r="M885" s="32"/>
      <c r="N885" s="32"/>
      <c r="O885" s="32"/>
      <c r="P885" s="32"/>
      <c r="Q885" s="32"/>
      <c r="R885" s="32"/>
      <c r="S885" s="32"/>
      <c r="T885" s="32"/>
      <c r="U885" s="32"/>
      <c r="V885" s="32"/>
      <c r="W885" s="32"/>
      <c r="X885" s="1750">
        <f t="shared" si="28"/>
        <v>0</v>
      </c>
      <c r="Y885" s="175">
        <f t="shared" si="29"/>
        <v>0</v>
      </c>
    </row>
    <row r="886" spans="1:25" ht="30" x14ac:dyDescent="0.25">
      <c r="A886" s="32"/>
      <c r="B886" s="32"/>
      <c r="C886" s="32"/>
      <c r="D886" s="32"/>
      <c r="E886" s="32"/>
      <c r="F886" s="32"/>
      <c r="G886" s="1340" t="s">
        <v>2688</v>
      </c>
      <c r="H886" s="66" t="str">
        <f>'BID III'!B835</f>
        <v>Belanja Alat Tulis Kantor dan Benda Pos</v>
      </c>
      <c r="I886" s="470">
        <f>SUM('BID III'!F836:F839)</f>
        <v>87000</v>
      </c>
      <c r="J886" s="66" t="s">
        <v>1682</v>
      </c>
      <c r="K886" s="497" t="s">
        <v>3031</v>
      </c>
      <c r="L886" s="32"/>
      <c r="M886" s="32"/>
      <c r="N886" s="32"/>
      <c r="O886" s="32"/>
      <c r="P886" s="32"/>
      <c r="Q886" s="32"/>
      <c r="R886" s="497">
        <v>87000</v>
      </c>
      <c r="S886" s="32"/>
      <c r="T886" s="32"/>
      <c r="U886" s="32"/>
      <c r="V886" s="32"/>
      <c r="W886" s="32"/>
      <c r="X886" s="1750">
        <f t="shared" si="28"/>
        <v>87000</v>
      </c>
      <c r="Y886" s="175">
        <f t="shared" si="29"/>
        <v>0</v>
      </c>
    </row>
    <row r="887" spans="1:25" ht="30" x14ac:dyDescent="0.25">
      <c r="A887" s="32"/>
      <c r="B887" s="32"/>
      <c r="C887" s="32"/>
      <c r="D887" s="32"/>
      <c r="E887" s="32"/>
      <c r="F887" s="32"/>
      <c r="G887" s="1340" t="s">
        <v>2705</v>
      </c>
      <c r="H887" s="66" t="str">
        <f>'BID III'!B840</f>
        <v>Belanja Perlengkapan Barang Konsumsi</v>
      </c>
      <c r="I887" s="470">
        <f>'BID III'!F841</f>
        <v>675000</v>
      </c>
      <c r="J887" s="66" t="s">
        <v>1682</v>
      </c>
      <c r="K887" s="497" t="s">
        <v>3031</v>
      </c>
      <c r="L887" s="32"/>
      <c r="M887" s="32"/>
      <c r="N887" s="32"/>
      <c r="O887" s="32"/>
      <c r="P887" s="32"/>
      <c r="Q887" s="32"/>
      <c r="R887" s="497">
        <v>675000</v>
      </c>
      <c r="S887" s="32"/>
      <c r="T887" s="32"/>
      <c r="U887" s="32"/>
      <c r="V887" s="32"/>
      <c r="W887" s="32"/>
      <c r="X887" s="1750">
        <f t="shared" si="28"/>
        <v>675000</v>
      </c>
      <c r="Y887" s="175">
        <f t="shared" si="29"/>
        <v>0</v>
      </c>
    </row>
    <row r="888" spans="1:25" ht="30" x14ac:dyDescent="0.25">
      <c r="A888" s="32"/>
      <c r="B888" s="32"/>
      <c r="C888" s="32"/>
      <c r="D888" s="32"/>
      <c r="E888" s="32"/>
      <c r="F888" s="32"/>
      <c r="G888" s="1340" t="s">
        <v>2707</v>
      </c>
      <c r="H888" s="66" t="str">
        <f>'BID III'!B842</f>
        <v>Belanja Bendera/ Umbul-umbul/ Spanduk</v>
      </c>
      <c r="I888" s="470">
        <f>'BID III'!F843</f>
        <v>200000</v>
      </c>
      <c r="J888" s="66" t="s">
        <v>1682</v>
      </c>
      <c r="K888" s="497" t="s">
        <v>3031</v>
      </c>
      <c r="L888" s="32"/>
      <c r="M888" s="32"/>
      <c r="N888" s="32"/>
      <c r="O888" s="32"/>
      <c r="P888" s="32"/>
      <c r="Q888" s="32"/>
      <c r="R888" s="497">
        <v>200000</v>
      </c>
      <c r="S888" s="32"/>
      <c r="T888" s="32"/>
      <c r="U888" s="32"/>
      <c r="V888" s="32"/>
      <c r="W888" s="32"/>
      <c r="X888" s="1750">
        <f t="shared" si="28"/>
        <v>200000</v>
      </c>
      <c r="Y888" s="175">
        <f t="shared" si="29"/>
        <v>0</v>
      </c>
    </row>
    <row r="889" spans="1:25" x14ac:dyDescent="0.25">
      <c r="A889" s="32"/>
      <c r="B889" s="32"/>
      <c r="C889" s="32"/>
      <c r="D889" s="32"/>
      <c r="E889" s="32"/>
      <c r="F889" s="32"/>
      <c r="G889" s="32">
        <v>90</v>
      </c>
      <c r="H889" s="66" t="str">
        <f>'BID III'!B844</f>
        <v>Belanja Seragam</v>
      </c>
      <c r="I889" s="470">
        <f>'BID III'!F845</f>
        <v>8400000</v>
      </c>
      <c r="J889" s="66" t="s">
        <v>1682</v>
      </c>
      <c r="K889" s="497" t="s">
        <v>3031</v>
      </c>
      <c r="L889" s="32"/>
      <c r="M889" s="32"/>
      <c r="N889" s="32"/>
      <c r="O889" s="32"/>
      <c r="P889" s="32"/>
      <c r="Q889" s="32"/>
      <c r="R889" s="497">
        <v>8400000</v>
      </c>
      <c r="S889" s="32"/>
      <c r="T889" s="32"/>
      <c r="U889" s="32"/>
      <c r="V889" s="32"/>
      <c r="W889" s="32"/>
      <c r="X889" s="1750">
        <f t="shared" si="28"/>
        <v>8400000</v>
      </c>
      <c r="Y889" s="175">
        <f t="shared" si="29"/>
        <v>0</v>
      </c>
    </row>
    <row r="890" spans="1:25" x14ac:dyDescent="0.25">
      <c r="A890" s="32"/>
      <c r="B890" s="32"/>
      <c r="C890" s="32"/>
      <c r="D890" s="32">
        <v>5</v>
      </c>
      <c r="E890" s="32">
        <v>2</v>
      </c>
      <c r="F890" s="32">
        <v>2</v>
      </c>
      <c r="G890" s="32"/>
      <c r="H890" s="66" t="str">
        <f>'BID III'!B846</f>
        <v>Belanja  Jasa Honorarium</v>
      </c>
      <c r="I890" s="470"/>
      <c r="J890" s="66"/>
      <c r="K890" s="497" t="s">
        <v>3031</v>
      </c>
      <c r="L890" s="32"/>
      <c r="M890" s="32"/>
      <c r="N890" s="32"/>
      <c r="O890" s="32"/>
      <c r="P890" s="32"/>
      <c r="Q890" s="32"/>
      <c r="R890" s="497"/>
      <c r="S890" s="32"/>
      <c r="T890" s="32"/>
      <c r="U890" s="32"/>
      <c r="V890" s="32"/>
      <c r="W890" s="32"/>
      <c r="X890" s="1750">
        <f t="shared" si="28"/>
        <v>0</v>
      </c>
      <c r="Y890" s="175">
        <f t="shared" si="29"/>
        <v>0</v>
      </c>
    </row>
    <row r="891" spans="1:25" ht="30" x14ac:dyDescent="0.25">
      <c r="A891" s="32"/>
      <c r="B891" s="32"/>
      <c r="C891" s="32"/>
      <c r="D891" s="32"/>
      <c r="E891" s="32"/>
      <c r="F891" s="32"/>
      <c r="G891" s="1340" t="s">
        <v>2702</v>
      </c>
      <c r="H891" s="66" t="str">
        <f>'BID III'!B847</f>
        <v>Belanja Jasa Honorarium Ahli/Profesi/Narasumber</v>
      </c>
      <c r="I891" s="470">
        <f>'BID III'!F848</f>
        <v>300000</v>
      </c>
      <c r="J891" s="66" t="s">
        <v>1682</v>
      </c>
      <c r="K891" s="497" t="s">
        <v>3031</v>
      </c>
      <c r="L891" s="32"/>
      <c r="M891" s="32"/>
      <c r="N891" s="32"/>
      <c r="O891" s="32"/>
      <c r="P891" s="32"/>
      <c r="Q891" s="32"/>
      <c r="R891" s="497">
        <v>300000</v>
      </c>
      <c r="S891" s="32"/>
      <c r="T891" s="32"/>
      <c r="U891" s="32"/>
      <c r="V891" s="32"/>
      <c r="W891" s="32"/>
      <c r="X891" s="1750">
        <f t="shared" si="28"/>
        <v>300000</v>
      </c>
      <c r="Y891" s="175">
        <f t="shared" si="29"/>
        <v>0</v>
      </c>
    </row>
    <row r="892" spans="1:25" x14ac:dyDescent="0.25">
      <c r="A892" s="32"/>
      <c r="B892" s="32"/>
      <c r="C892" s="32"/>
      <c r="D892" s="32">
        <v>5</v>
      </c>
      <c r="E892" s="32">
        <v>2</v>
      </c>
      <c r="F892" s="32">
        <v>4</v>
      </c>
      <c r="G892" s="32"/>
      <c r="H892" s="66" t="str">
        <f>'BID III'!B849</f>
        <v>Belanja Jasa Sewa</v>
      </c>
      <c r="I892" s="470"/>
      <c r="J892" s="66"/>
      <c r="K892" s="497" t="s">
        <v>3031</v>
      </c>
      <c r="L892" s="32"/>
      <c r="M892" s="32"/>
      <c r="N892" s="32"/>
      <c r="O892" s="32"/>
      <c r="P892" s="32"/>
      <c r="Q892" s="32"/>
      <c r="R892" s="497"/>
      <c r="S892" s="32"/>
      <c r="T892" s="32"/>
      <c r="U892" s="32"/>
      <c r="V892" s="32"/>
      <c r="W892" s="32"/>
      <c r="X892" s="1750">
        <f t="shared" si="28"/>
        <v>0</v>
      </c>
      <c r="Y892" s="175">
        <f t="shared" si="29"/>
        <v>0</v>
      </c>
    </row>
    <row r="893" spans="1:25" ht="30" x14ac:dyDescent="0.25">
      <c r="A893" s="32"/>
      <c r="B893" s="32"/>
      <c r="C893" s="32"/>
      <c r="D893" s="32"/>
      <c r="E893" s="32"/>
      <c r="F893" s="32"/>
      <c r="G893" s="1340" t="s">
        <v>2703</v>
      </c>
      <c r="H893" s="66" t="str">
        <f>'BID III'!B850</f>
        <v>Sewa Tranportasi/Outbone</v>
      </c>
      <c r="I893" s="470">
        <f>'BID III'!F850</f>
        <v>20000000</v>
      </c>
      <c r="J893" s="66" t="s">
        <v>1682</v>
      </c>
      <c r="K893" s="497" t="s">
        <v>3031</v>
      </c>
      <c r="L893" s="32"/>
      <c r="M893" s="32"/>
      <c r="N893" s="32"/>
      <c r="O893" s="32"/>
      <c r="P893" s="32"/>
      <c r="Q893" s="32"/>
      <c r="R893" s="497">
        <v>20000000</v>
      </c>
      <c r="S893" s="32"/>
      <c r="T893" s="32"/>
      <c r="U893" s="32"/>
      <c r="V893" s="32"/>
      <c r="W893" s="32"/>
      <c r="X893" s="1750">
        <f t="shared" si="28"/>
        <v>20000000</v>
      </c>
      <c r="Y893" s="175">
        <f t="shared" si="29"/>
        <v>0</v>
      </c>
    </row>
    <row r="894" spans="1:25" ht="45" x14ac:dyDescent="0.25">
      <c r="A894" s="1344">
        <v>3</v>
      </c>
      <c r="B894" s="1344">
        <v>3</v>
      </c>
      <c r="C894" s="1344">
        <v>90</v>
      </c>
      <c r="D894" s="1344"/>
      <c r="E894" s="1344"/>
      <c r="F894" s="1344"/>
      <c r="G894" s="1344"/>
      <c r="H894" s="1345" t="str">
        <f>'BID III'!B864</f>
        <v>: Penunjang Kegiatan Ekonomi Produktif untuk Sekeha Teruna (BKK Kota)</v>
      </c>
      <c r="I894" s="1347">
        <f>I897</f>
        <v>210000000</v>
      </c>
      <c r="J894" s="1345" t="s">
        <v>2159</v>
      </c>
      <c r="K894" s="1347" t="s">
        <v>3031</v>
      </c>
      <c r="L894" s="1344"/>
      <c r="M894" s="1344"/>
      <c r="N894" s="1344"/>
      <c r="O894" s="1344"/>
      <c r="P894" s="1344"/>
      <c r="Q894" s="1344"/>
      <c r="R894" s="1344"/>
      <c r="S894" s="1344"/>
      <c r="T894" s="1344"/>
      <c r="U894" s="1344"/>
      <c r="V894" s="1344"/>
      <c r="W894" s="1344"/>
      <c r="X894" s="1353">
        <f t="shared" si="28"/>
        <v>0</v>
      </c>
      <c r="Y894" s="175">
        <f t="shared" si="29"/>
        <v>-210000000</v>
      </c>
    </row>
    <row r="895" spans="1:25" x14ac:dyDescent="0.25">
      <c r="A895" s="32"/>
      <c r="B895" s="32"/>
      <c r="C895" s="32"/>
      <c r="D895" s="32">
        <v>5</v>
      </c>
      <c r="E895" s="32">
        <v>2</v>
      </c>
      <c r="F895" s="32"/>
      <c r="G895" s="32"/>
      <c r="H895" s="66" t="str">
        <f>'BID III'!B869</f>
        <v>Belanja Barang Jasa</v>
      </c>
      <c r="I895" s="32"/>
      <c r="J895" s="66"/>
      <c r="K895" s="497" t="s">
        <v>3031</v>
      </c>
      <c r="L895" s="32"/>
      <c r="M895" s="32"/>
      <c r="N895" s="32"/>
      <c r="O895" s="32"/>
      <c r="P895" s="32"/>
      <c r="Q895" s="32"/>
      <c r="R895" s="32"/>
      <c r="S895" s="32"/>
      <c r="T895" s="32"/>
      <c r="U895" s="32"/>
      <c r="V895" s="32"/>
      <c r="W895" s="32"/>
      <c r="X895" s="1750">
        <f t="shared" si="28"/>
        <v>0</v>
      </c>
      <c r="Y895" s="175">
        <f t="shared" si="29"/>
        <v>0</v>
      </c>
    </row>
    <row r="896" spans="1:25" ht="45" x14ac:dyDescent="0.25">
      <c r="A896" s="32"/>
      <c r="B896" s="32"/>
      <c r="C896" s="32"/>
      <c r="D896" s="32"/>
      <c r="E896" s="32"/>
      <c r="F896" s="32">
        <v>7</v>
      </c>
      <c r="G896" s="32"/>
      <c r="H896" s="66" t="str">
        <f>'BID III'!B870</f>
        <v>Belanja Barang dan Jasa yang Diserahkan Kepada Masyarakat</v>
      </c>
      <c r="I896" s="32"/>
      <c r="J896" s="66"/>
      <c r="K896" s="497" t="s">
        <v>3031</v>
      </c>
      <c r="L896" s="32"/>
      <c r="M896" s="32"/>
      <c r="N896" s="32"/>
      <c r="O896" s="32"/>
      <c r="P896" s="32"/>
      <c r="Q896" s="32"/>
      <c r="R896" s="32"/>
      <c r="S896" s="32"/>
      <c r="T896" s="32"/>
      <c r="U896" s="32"/>
      <c r="V896" s="32"/>
      <c r="W896" s="32"/>
      <c r="X896" s="1750">
        <f t="shared" si="28"/>
        <v>0</v>
      </c>
      <c r="Y896" s="175">
        <f t="shared" si="29"/>
        <v>0</v>
      </c>
    </row>
    <row r="897" spans="1:25" ht="30" x14ac:dyDescent="0.25">
      <c r="A897" s="32"/>
      <c r="B897" s="32"/>
      <c r="C897" s="32"/>
      <c r="D897" s="32"/>
      <c r="E897" s="32"/>
      <c r="F897" s="32"/>
      <c r="G897" s="1340" t="s">
        <v>2688</v>
      </c>
      <c r="H897" s="66" t="str">
        <f>'BID III'!B871</f>
        <v>Belanaja Barang  Yang Diserahkan</v>
      </c>
      <c r="I897" s="470">
        <f>'BID III'!F872</f>
        <v>210000000</v>
      </c>
      <c r="J897" s="66" t="s">
        <v>2159</v>
      </c>
      <c r="K897" s="497" t="s">
        <v>3031</v>
      </c>
      <c r="L897" s="32"/>
      <c r="M897" s="32"/>
      <c r="N897" s="497">
        <v>210000000</v>
      </c>
      <c r="O897" s="32"/>
      <c r="P897" s="32"/>
      <c r="Q897" s="32"/>
      <c r="R897" s="32"/>
      <c r="S897" s="32"/>
      <c r="T897" s="32"/>
      <c r="U897" s="32"/>
      <c r="V897" s="32"/>
      <c r="W897" s="32"/>
      <c r="X897" s="1750">
        <f t="shared" si="28"/>
        <v>210000000</v>
      </c>
      <c r="Y897" s="175">
        <f t="shared" si="29"/>
        <v>0</v>
      </c>
    </row>
    <row r="898" spans="1:25" ht="60" x14ac:dyDescent="0.25">
      <c r="A898" s="1344">
        <v>3</v>
      </c>
      <c r="B898" s="1344">
        <v>4</v>
      </c>
      <c r="C898" s="1346" t="s">
        <v>2702</v>
      </c>
      <c r="D898" s="1344"/>
      <c r="E898" s="1344"/>
      <c r="F898" s="1344"/>
      <c r="G898" s="1344"/>
      <c r="H898" s="1345" t="str">
        <f>'BID III'!B887</f>
        <v>: Pelatihan Pembinaan Lembaga Kemasyarakatan (Bulan bakti Gotong royong LPM)</v>
      </c>
      <c r="I898" s="1347">
        <f>SUM(I899:I923)</f>
        <v>49987120</v>
      </c>
      <c r="J898" s="1345"/>
      <c r="K898" s="1347" t="s">
        <v>3031</v>
      </c>
      <c r="L898" s="1344"/>
      <c r="M898" s="1344"/>
      <c r="N898" s="1344"/>
      <c r="O898" s="1344"/>
      <c r="P898" s="1344"/>
      <c r="Q898" s="1344"/>
      <c r="R898" s="1344"/>
      <c r="S898" s="1344"/>
      <c r="T898" s="1344"/>
      <c r="U898" s="1344"/>
      <c r="V898" s="1344"/>
      <c r="W898" s="1344"/>
      <c r="X898" s="1353">
        <f t="shared" si="28"/>
        <v>0</v>
      </c>
      <c r="Y898" s="175">
        <f t="shared" si="29"/>
        <v>-49987120</v>
      </c>
    </row>
    <row r="899" spans="1:25" x14ac:dyDescent="0.25">
      <c r="A899" s="32"/>
      <c r="B899" s="32"/>
      <c r="C899" s="32"/>
      <c r="D899" s="32">
        <v>5</v>
      </c>
      <c r="E899" s="32">
        <v>2</v>
      </c>
      <c r="F899" s="32"/>
      <c r="G899" s="32"/>
      <c r="H899" s="66" t="str">
        <f>'BID III'!B893</f>
        <v>Belanja Barang  Dan Jasa</v>
      </c>
      <c r="I899" s="32"/>
      <c r="J899" s="66"/>
      <c r="K899" s="497" t="s">
        <v>3031</v>
      </c>
      <c r="L899" s="32"/>
      <c r="M899" s="32"/>
      <c r="N899" s="32"/>
      <c r="O899" s="32"/>
      <c r="P899" s="32"/>
      <c r="Q899" s="32"/>
      <c r="R899" s="32"/>
      <c r="S899" s="32"/>
      <c r="T899" s="32"/>
      <c r="U899" s="32"/>
      <c r="V899" s="32"/>
      <c r="W899" s="32"/>
      <c r="X899" s="1750">
        <f t="shared" si="28"/>
        <v>0</v>
      </c>
      <c r="Y899" s="175">
        <f t="shared" si="29"/>
        <v>0</v>
      </c>
    </row>
    <row r="900" spans="1:25" ht="30" x14ac:dyDescent="0.25">
      <c r="A900" s="32"/>
      <c r="B900" s="32"/>
      <c r="C900" s="32"/>
      <c r="D900" s="32"/>
      <c r="E900" s="32"/>
      <c r="F900" s="32">
        <v>1</v>
      </c>
      <c r="G900" s="32"/>
      <c r="H900" s="66" t="str">
        <f>'BID III'!B894</f>
        <v>Belanja Barang Perlengkapan</v>
      </c>
      <c r="I900" s="32"/>
      <c r="J900" s="66"/>
      <c r="K900" s="497" t="s">
        <v>3031</v>
      </c>
      <c r="L900" s="32"/>
      <c r="M900" s="32"/>
      <c r="N900" s="32"/>
      <c r="O900" s="32"/>
      <c r="P900" s="32"/>
      <c r="Q900" s="32"/>
      <c r="R900" s="32"/>
      <c r="S900" s="32"/>
      <c r="T900" s="32"/>
      <c r="U900" s="32"/>
      <c r="V900" s="32"/>
      <c r="W900" s="32"/>
      <c r="X900" s="1750">
        <f t="shared" si="28"/>
        <v>0</v>
      </c>
      <c r="Y900" s="175">
        <f t="shared" si="29"/>
        <v>0</v>
      </c>
    </row>
    <row r="901" spans="1:25" ht="30" x14ac:dyDescent="0.25">
      <c r="A901" s="32"/>
      <c r="B901" s="32"/>
      <c r="C901" s="32"/>
      <c r="D901" s="32"/>
      <c r="E901" s="32"/>
      <c r="F901" s="32"/>
      <c r="G901" s="1340" t="s">
        <v>2705</v>
      </c>
      <c r="H901" s="66" t="str">
        <f>'BID III'!B895</f>
        <v>Belanja Perlengkapan Barang Konsumsi</v>
      </c>
      <c r="I901" s="174">
        <f>SUM('BID III'!F896:F897)</f>
        <v>2250000</v>
      </c>
      <c r="J901" s="66" t="s">
        <v>2620</v>
      </c>
      <c r="K901" s="497" t="s">
        <v>3031</v>
      </c>
      <c r="L901" s="32"/>
      <c r="M901" s="32"/>
      <c r="N901" s="32"/>
      <c r="O901" s="32"/>
      <c r="P901" s="32"/>
      <c r="Q901" s="497">
        <v>2250000</v>
      </c>
      <c r="R901" s="32"/>
      <c r="S901" s="32"/>
      <c r="T901" s="32"/>
      <c r="U901" s="32"/>
      <c r="V901" s="32"/>
      <c r="W901" s="32"/>
      <c r="X901" s="1750">
        <f t="shared" si="28"/>
        <v>2250000</v>
      </c>
      <c r="Y901" s="175">
        <f t="shared" si="29"/>
        <v>0</v>
      </c>
    </row>
    <row r="902" spans="1:25" ht="30" x14ac:dyDescent="0.25">
      <c r="A902" s="32"/>
      <c r="B902" s="32"/>
      <c r="C902" s="32"/>
      <c r="D902" s="32"/>
      <c r="E902" s="32"/>
      <c r="F902" s="32"/>
      <c r="G902" s="1340" t="s">
        <v>2707</v>
      </c>
      <c r="H902" s="66" t="str">
        <f>'BID III'!B898</f>
        <v>Belanja Bendera/ Umbul-umbul/ Spanduk</v>
      </c>
      <c r="I902" s="174">
        <f>SUM('BID III'!F899)</f>
        <v>90000</v>
      </c>
      <c r="J902" s="66" t="s">
        <v>2620</v>
      </c>
      <c r="K902" s="497" t="s">
        <v>3031</v>
      </c>
      <c r="L902" s="32"/>
      <c r="M902" s="32"/>
      <c r="N902" s="32"/>
      <c r="O902" s="32"/>
      <c r="P902" s="32"/>
      <c r="Q902" s="497">
        <v>90000</v>
      </c>
      <c r="R902" s="32"/>
      <c r="S902" s="32"/>
      <c r="T902" s="32"/>
      <c r="U902" s="32"/>
      <c r="V902" s="32"/>
      <c r="W902" s="32"/>
      <c r="X902" s="1750">
        <f t="shared" si="28"/>
        <v>90000</v>
      </c>
      <c r="Y902" s="175">
        <f t="shared" si="29"/>
        <v>0</v>
      </c>
    </row>
    <row r="903" spans="1:25" ht="30" x14ac:dyDescent="0.25">
      <c r="A903" s="32"/>
      <c r="B903" s="32"/>
      <c r="C903" s="32"/>
      <c r="D903" s="32"/>
      <c r="E903" s="32"/>
      <c r="F903" s="32"/>
      <c r="G903" s="1340" t="s">
        <v>2709</v>
      </c>
      <c r="H903" s="66" t="str">
        <f>'BID III'!B900</f>
        <v>Belanja Pakaian Dinas Seragam Dan Atribut</v>
      </c>
      <c r="I903" s="174">
        <f>SUM('BID III'!F901)</f>
        <v>11900000</v>
      </c>
      <c r="J903" s="66" t="s">
        <v>2620</v>
      </c>
      <c r="K903" s="497" t="s">
        <v>3031</v>
      </c>
      <c r="L903" s="32"/>
      <c r="M903" s="32"/>
      <c r="N903" s="32"/>
      <c r="O903" s="32"/>
      <c r="P903" s="32"/>
      <c r="Q903" s="497">
        <v>11900000</v>
      </c>
      <c r="R903" s="32"/>
      <c r="S903" s="32"/>
      <c r="T903" s="32"/>
      <c r="U903" s="32"/>
      <c r="V903" s="32"/>
      <c r="W903" s="32"/>
      <c r="X903" s="1750">
        <f t="shared" si="28"/>
        <v>11900000</v>
      </c>
      <c r="Y903" s="175">
        <f t="shared" si="29"/>
        <v>0</v>
      </c>
    </row>
    <row r="904" spans="1:25" ht="30" x14ac:dyDescent="0.25">
      <c r="A904" s="32"/>
      <c r="B904" s="32"/>
      <c r="C904" s="32"/>
      <c r="D904" s="32"/>
      <c r="E904" s="32"/>
      <c r="F904" s="32"/>
      <c r="G904" s="32">
        <v>90</v>
      </c>
      <c r="H904" s="66" t="str">
        <f>'BID III'!B902</f>
        <v>Belanja Upakara, Upacara Dan Aci</v>
      </c>
      <c r="I904" s="174">
        <f>SUM('BID III'!F903:F905)</f>
        <v>325000</v>
      </c>
      <c r="J904" s="66" t="s">
        <v>2620</v>
      </c>
      <c r="K904" s="497" t="s">
        <v>3031</v>
      </c>
      <c r="L904" s="32"/>
      <c r="M904" s="32"/>
      <c r="N904" s="32"/>
      <c r="O904" s="32"/>
      <c r="P904" s="32"/>
      <c r="Q904" s="497">
        <v>325000</v>
      </c>
      <c r="R904" s="32"/>
      <c r="S904" s="32"/>
      <c r="T904" s="32"/>
      <c r="U904" s="32"/>
      <c r="V904" s="32"/>
      <c r="W904" s="32"/>
      <c r="X904" s="1750">
        <f t="shared" si="28"/>
        <v>325000</v>
      </c>
      <c r="Y904" s="175">
        <f t="shared" si="29"/>
        <v>0</v>
      </c>
    </row>
    <row r="905" spans="1:25" ht="60" x14ac:dyDescent="0.25">
      <c r="A905" s="32"/>
      <c r="B905" s="32"/>
      <c r="C905" s="32"/>
      <c r="D905" s="32">
        <v>5</v>
      </c>
      <c r="E905" s="32">
        <v>2</v>
      </c>
      <c r="F905" s="32">
        <v>7</v>
      </c>
      <c r="G905" s="32"/>
      <c r="H905" s="66" t="str">
        <f>'BID III'!B906</f>
        <v>Belanja Bahan Perlengkapan Yang Diserahkan Ke Masyarakat</v>
      </c>
      <c r="I905" s="32"/>
      <c r="J905" s="66"/>
      <c r="K905" s="497" t="s">
        <v>3031</v>
      </c>
      <c r="L905" s="32"/>
      <c r="M905" s="32"/>
      <c r="N905" s="32"/>
      <c r="O905" s="32"/>
      <c r="P905" s="32"/>
      <c r="Q905" s="497"/>
      <c r="R905" s="32"/>
      <c r="S905" s="32"/>
      <c r="T905" s="32"/>
      <c r="U905" s="32"/>
      <c r="V905" s="32"/>
      <c r="W905" s="32"/>
      <c r="X905" s="1750">
        <f t="shared" si="28"/>
        <v>0</v>
      </c>
      <c r="Y905" s="175">
        <f t="shared" si="29"/>
        <v>0</v>
      </c>
    </row>
    <row r="906" spans="1:25" ht="60" x14ac:dyDescent="0.25">
      <c r="A906" s="32"/>
      <c r="B906" s="32"/>
      <c r="C906" s="32"/>
      <c r="D906" s="32"/>
      <c r="E906" s="32"/>
      <c r="F906" s="32"/>
      <c r="G906" s="1340" t="s">
        <v>2688</v>
      </c>
      <c r="H906" s="66" t="str">
        <f>'BID III'!B907</f>
        <v>Belanja Bahan Perlengkapan Yang Diserahkan Ke Masyarakat</v>
      </c>
      <c r="I906" s="174">
        <f>SUM('BID III'!F908)</f>
        <v>12950000</v>
      </c>
      <c r="J906" s="66" t="s">
        <v>2620</v>
      </c>
      <c r="K906" s="497" t="s">
        <v>3031</v>
      </c>
      <c r="L906" s="32"/>
      <c r="M906" s="32"/>
      <c r="N906" s="32"/>
      <c r="O906" s="32"/>
      <c r="P906" s="32"/>
      <c r="Q906" s="497">
        <v>12950000</v>
      </c>
      <c r="R906" s="32"/>
      <c r="S906" s="32"/>
      <c r="T906" s="32"/>
      <c r="U906" s="32"/>
      <c r="V906" s="32"/>
      <c r="W906" s="32"/>
      <c r="X906" s="1750">
        <f t="shared" si="28"/>
        <v>12950000</v>
      </c>
      <c r="Y906" s="175">
        <f t="shared" si="29"/>
        <v>0</v>
      </c>
    </row>
    <row r="907" spans="1:25" x14ac:dyDescent="0.25">
      <c r="A907" s="32"/>
      <c r="B907" s="32"/>
      <c r="C907" s="32"/>
      <c r="D907" s="32"/>
      <c r="E907" s="32"/>
      <c r="F907" s="32"/>
      <c r="G907" s="1340"/>
      <c r="H907" s="66" t="str">
        <f>'BID III'!B909</f>
        <v>Donor Darah</v>
      </c>
      <c r="I907" s="174"/>
      <c r="J907" s="66"/>
      <c r="K907" s="497" t="s">
        <v>3031</v>
      </c>
      <c r="L907" s="32"/>
      <c r="M907" s="32"/>
      <c r="N907" s="32"/>
      <c r="O907" s="32"/>
      <c r="P907" s="32"/>
      <c r="Q907" s="497"/>
      <c r="R907" s="32"/>
      <c r="S907" s="32"/>
      <c r="T907" s="32"/>
      <c r="U907" s="32"/>
      <c r="V907" s="32"/>
      <c r="W907" s="32"/>
      <c r="X907" s="1750">
        <f t="shared" si="28"/>
        <v>0</v>
      </c>
      <c r="Y907" s="175">
        <f t="shared" si="29"/>
        <v>0</v>
      </c>
    </row>
    <row r="908" spans="1:25" ht="30" x14ac:dyDescent="0.25">
      <c r="A908" s="32"/>
      <c r="B908" s="32"/>
      <c r="C908" s="32"/>
      <c r="D908" s="32">
        <v>5</v>
      </c>
      <c r="E908" s="32">
        <v>2</v>
      </c>
      <c r="F908" s="32">
        <v>1</v>
      </c>
      <c r="G908" s="1340" t="s">
        <v>2705</v>
      </c>
      <c r="H908" s="66" t="str">
        <f>'BID III'!B910</f>
        <v>Belanja Perlengkapan Barang Konsumsi</v>
      </c>
      <c r="I908" s="174">
        <f>'BID III'!F911</f>
        <v>1500000</v>
      </c>
      <c r="J908" s="66" t="s">
        <v>2620</v>
      </c>
      <c r="K908" s="497" t="s">
        <v>3031</v>
      </c>
      <c r="L908" s="32"/>
      <c r="M908" s="32"/>
      <c r="N908" s="32"/>
      <c r="O908" s="32"/>
      <c r="P908" s="32"/>
      <c r="Q908" s="497">
        <v>1500000</v>
      </c>
      <c r="R908" s="32"/>
      <c r="S908" s="32"/>
      <c r="T908" s="32"/>
      <c r="U908" s="32"/>
      <c r="V908" s="32"/>
      <c r="W908" s="32"/>
      <c r="X908" s="1750">
        <f t="shared" si="28"/>
        <v>1500000</v>
      </c>
      <c r="Y908" s="175">
        <f t="shared" si="29"/>
        <v>0</v>
      </c>
    </row>
    <row r="909" spans="1:25" ht="30" x14ac:dyDescent="0.25">
      <c r="A909" s="32"/>
      <c r="B909" s="32"/>
      <c r="C909" s="32"/>
      <c r="D909" s="32"/>
      <c r="E909" s="32"/>
      <c r="F909" s="32"/>
      <c r="G909" s="1340" t="s">
        <v>2707</v>
      </c>
      <c r="H909" s="66" t="str">
        <f>'BID III'!B912</f>
        <v>Belanja Bendera/ Umbul-umbul/ Spanduk</v>
      </c>
      <c r="I909" s="174">
        <f>'BID III'!F913</f>
        <v>90000</v>
      </c>
      <c r="J909" s="66" t="s">
        <v>2620</v>
      </c>
      <c r="K909" s="497" t="s">
        <v>3031</v>
      </c>
      <c r="L909" s="32"/>
      <c r="M909" s="32"/>
      <c r="N909" s="32"/>
      <c r="O909" s="32"/>
      <c r="P909" s="32"/>
      <c r="Q909" s="497">
        <v>90000</v>
      </c>
      <c r="R909" s="32"/>
      <c r="S909" s="32"/>
      <c r="T909" s="32"/>
      <c r="U909" s="32"/>
      <c r="V909" s="32"/>
      <c r="W909" s="32"/>
      <c r="X909" s="1750">
        <f t="shared" si="28"/>
        <v>90000</v>
      </c>
      <c r="Y909" s="175">
        <f t="shared" si="29"/>
        <v>0</v>
      </c>
    </row>
    <row r="910" spans="1:25" ht="45" x14ac:dyDescent="0.25">
      <c r="A910" s="32"/>
      <c r="B910" s="32"/>
      <c r="C910" s="32"/>
      <c r="D910" s="32">
        <v>5</v>
      </c>
      <c r="E910" s="32">
        <v>2</v>
      </c>
      <c r="F910" s="32">
        <v>7</v>
      </c>
      <c r="G910" s="1340"/>
      <c r="H910" s="66" t="str">
        <f>'BID III'!B914</f>
        <v>Belanja Barang dan Jasa yang Diserahkan kepada Masyarakat</v>
      </c>
      <c r="I910" s="174"/>
      <c r="J910" s="66"/>
      <c r="K910" s="497" t="s">
        <v>3031</v>
      </c>
      <c r="L910" s="32"/>
      <c r="M910" s="32"/>
      <c r="N910" s="32"/>
      <c r="O910" s="32"/>
      <c r="P910" s="32"/>
      <c r="Q910" s="497"/>
      <c r="R910" s="32"/>
      <c r="S910" s="32"/>
      <c r="T910" s="32"/>
      <c r="U910" s="32"/>
      <c r="V910" s="32"/>
      <c r="W910" s="32"/>
      <c r="X910" s="1750">
        <f t="shared" si="28"/>
        <v>0</v>
      </c>
      <c r="Y910" s="175">
        <f t="shared" si="29"/>
        <v>0</v>
      </c>
    </row>
    <row r="911" spans="1:25" ht="45" x14ac:dyDescent="0.25">
      <c r="A911" s="32"/>
      <c r="B911" s="32"/>
      <c r="C911" s="32"/>
      <c r="D911" s="32"/>
      <c r="E911" s="32"/>
      <c r="F911" s="32"/>
      <c r="G911" s="1340">
        <v>90</v>
      </c>
      <c r="H911" s="66" t="str">
        <f>'BID III'!B915</f>
        <v>Belanja Barang dan Jasa yang Diserahkan kepada Masyarakat Lainnya</v>
      </c>
      <c r="I911" s="174">
        <f>SUM('BID III'!F916)</f>
        <v>3000000</v>
      </c>
      <c r="J911" s="66" t="s">
        <v>2620</v>
      </c>
      <c r="K911" s="497" t="s">
        <v>3031</v>
      </c>
      <c r="L911" s="32"/>
      <c r="M911" s="32"/>
      <c r="N911" s="32"/>
      <c r="O911" s="32"/>
      <c r="P911" s="32"/>
      <c r="Q911" s="497">
        <v>3000000</v>
      </c>
      <c r="R911" s="32"/>
      <c r="S911" s="32"/>
      <c r="T911" s="32"/>
      <c r="U911" s="32"/>
      <c r="V911" s="32"/>
      <c r="W911" s="32"/>
      <c r="X911" s="1750">
        <f t="shared" si="28"/>
        <v>3000000</v>
      </c>
      <c r="Y911" s="175">
        <f t="shared" si="29"/>
        <v>0</v>
      </c>
    </row>
    <row r="912" spans="1:25" x14ac:dyDescent="0.25">
      <c r="A912" s="32"/>
      <c r="B912" s="32"/>
      <c r="C912" s="32"/>
      <c r="D912" s="32"/>
      <c r="E912" s="32"/>
      <c r="F912" s="32"/>
      <c r="G912" s="1340"/>
      <c r="H912" s="66" t="str">
        <f>'BID III'!B917</f>
        <v>Jalan Santai</v>
      </c>
      <c r="I912" s="174"/>
      <c r="J912" s="66"/>
      <c r="K912" s="497" t="s">
        <v>3031</v>
      </c>
      <c r="L912" s="32"/>
      <c r="M912" s="32"/>
      <c r="N912" s="32"/>
      <c r="O912" s="32"/>
      <c r="P912" s="32"/>
      <c r="Q912" s="497"/>
      <c r="R912" s="32"/>
      <c r="S912" s="32"/>
      <c r="T912" s="32"/>
      <c r="U912" s="32"/>
      <c r="V912" s="32"/>
      <c r="W912" s="32"/>
      <c r="X912" s="1750">
        <f t="shared" si="28"/>
        <v>0</v>
      </c>
      <c r="Y912" s="175">
        <f t="shared" si="29"/>
        <v>0</v>
      </c>
    </row>
    <row r="913" spans="1:25" ht="30" x14ac:dyDescent="0.25">
      <c r="A913" s="32"/>
      <c r="B913" s="32"/>
      <c r="C913" s="32"/>
      <c r="D913" s="32">
        <v>5</v>
      </c>
      <c r="E913" s="32">
        <v>2</v>
      </c>
      <c r="F913" s="32">
        <v>1</v>
      </c>
      <c r="G913" s="1340" t="s">
        <v>2705</v>
      </c>
      <c r="H913" s="66" t="str">
        <f>'BID III'!B918</f>
        <v>Belanja Perlengkapan Barang Konsumsi</v>
      </c>
      <c r="I913" s="174">
        <f>'BID III'!F919</f>
        <v>2250000</v>
      </c>
      <c r="J913" s="66" t="s">
        <v>2620</v>
      </c>
      <c r="K913" s="497" t="s">
        <v>3031</v>
      </c>
      <c r="L913" s="32"/>
      <c r="M913" s="32"/>
      <c r="N913" s="32"/>
      <c r="O913" s="32"/>
      <c r="P913" s="32"/>
      <c r="Q913" s="497">
        <v>2250000</v>
      </c>
      <c r="R913" s="32"/>
      <c r="S913" s="32"/>
      <c r="T913" s="32"/>
      <c r="U913" s="32"/>
      <c r="V913" s="32"/>
      <c r="W913" s="32"/>
      <c r="X913" s="1750">
        <f t="shared" si="28"/>
        <v>2250000</v>
      </c>
      <c r="Y913" s="175">
        <f t="shared" si="29"/>
        <v>0</v>
      </c>
    </row>
    <row r="914" spans="1:25" ht="30" x14ac:dyDescent="0.25">
      <c r="A914" s="32"/>
      <c r="B914" s="32"/>
      <c r="C914" s="32"/>
      <c r="D914" s="32"/>
      <c r="E914" s="32"/>
      <c r="F914" s="32"/>
      <c r="G914" s="1340" t="s">
        <v>2707</v>
      </c>
      <c r="H914" s="66" t="str">
        <f>'BID III'!B920</f>
        <v>Belanja Bendera/ Umbul-umbul/ Spanduk</v>
      </c>
      <c r="I914" s="174">
        <f>'BID III'!F921+'BID III'!F922</f>
        <v>650000</v>
      </c>
      <c r="J914" s="66" t="s">
        <v>2620</v>
      </c>
      <c r="K914" s="497" t="s">
        <v>3031</v>
      </c>
      <c r="L914" s="32"/>
      <c r="M914" s="32"/>
      <c r="N914" s="32"/>
      <c r="O914" s="32"/>
      <c r="P914" s="32"/>
      <c r="Q914" s="497">
        <v>650000</v>
      </c>
      <c r="R914" s="32"/>
      <c r="S914" s="32"/>
      <c r="T914" s="32"/>
      <c r="U914" s="32"/>
      <c r="V914" s="32"/>
      <c r="W914" s="32"/>
      <c r="X914" s="1750">
        <f t="shared" si="28"/>
        <v>650000</v>
      </c>
      <c r="Y914" s="175">
        <f t="shared" si="29"/>
        <v>0</v>
      </c>
    </row>
    <row r="915" spans="1:25" ht="30" x14ac:dyDescent="0.25">
      <c r="A915" s="32"/>
      <c r="B915" s="32"/>
      <c r="C915" s="32"/>
      <c r="D915" s="32"/>
      <c r="E915" s="32"/>
      <c r="F915" s="32"/>
      <c r="G915" s="1340">
        <v>90</v>
      </c>
      <c r="H915" s="66" t="str">
        <f>'BID III'!B923</f>
        <v>Belanja Upakara, Upacara Dan Aci</v>
      </c>
      <c r="I915" s="174">
        <f>SUM('BID III'!F924:F926)</f>
        <v>325000</v>
      </c>
      <c r="J915" s="66" t="s">
        <v>2620</v>
      </c>
      <c r="K915" s="497" t="s">
        <v>3031</v>
      </c>
      <c r="L915" s="32"/>
      <c r="M915" s="32"/>
      <c r="N915" s="32"/>
      <c r="O915" s="32"/>
      <c r="P915" s="32"/>
      <c r="Q915" s="497">
        <v>325000</v>
      </c>
      <c r="R915" s="32"/>
      <c r="S915" s="32"/>
      <c r="T915" s="32"/>
      <c r="U915" s="32"/>
      <c r="V915" s="32"/>
      <c r="W915" s="32"/>
      <c r="X915" s="1750">
        <f t="shared" si="28"/>
        <v>325000</v>
      </c>
      <c r="Y915" s="175">
        <f t="shared" si="29"/>
        <v>0</v>
      </c>
    </row>
    <row r="916" spans="1:25" x14ac:dyDescent="0.25">
      <c r="A916" s="32"/>
      <c r="B916" s="32"/>
      <c r="C916" s="32"/>
      <c r="D916" s="32">
        <v>5</v>
      </c>
      <c r="E916" s="32">
        <v>2</v>
      </c>
      <c r="F916" s="32">
        <v>2</v>
      </c>
      <c r="G916" s="1340"/>
      <c r="H916" s="66" t="str">
        <f>'BID III'!B927</f>
        <v>Belanja Honrarium</v>
      </c>
      <c r="I916" s="174"/>
      <c r="J916" s="66"/>
      <c r="K916" s="497" t="s">
        <v>3031</v>
      </c>
      <c r="L916" s="32"/>
      <c r="M916" s="32"/>
      <c r="N916" s="32"/>
      <c r="O916" s="32"/>
      <c r="P916" s="32"/>
      <c r="Q916" s="497"/>
      <c r="R916" s="32"/>
      <c r="S916" s="32"/>
      <c r="T916" s="32"/>
      <c r="U916" s="32"/>
      <c r="V916" s="32"/>
      <c r="W916" s="32"/>
      <c r="X916" s="1750">
        <f t="shared" si="28"/>
        <v>0</v>
      </c>
      <c r="Y916" s="175">
        <f t="shared" si="29"/>
        <v>0</v>
      </c>
    </row>
    <row r="917" spans="1:25" ht="45" x14ac:dyDescent="0.25">
      <c r="A917" s="32"/>
      <c r="B917" s="32"/>
      <c r="C917" s="32"/>
      <c r="D917" s="32"/>
      <c r="E917" s="32"/>
      <c r="F917" s="32"/>
      <c r="G917" s="1340" t="s">
        <v>2688</v>
      </c>
      <c r="H917" s="66" t="str">
        <f>'BID III'!B928</f>
        <v>Belanja Honrarium Tim Yang Melaksanakan Kegiatan</v>
      </c>
      <c r="I917" s="174">
        <f>SUM('BID III'!F929:F931)</f>
        <v>1150000</v>
      </c>
      <c r="J917" s="66" t="s">
        <v>2620</v>
      </c>
      <c r="K917" s="497" t="s">
        <v>3031</v>
      </c>
      <c r="L917" s="32"/>
      <c r="M917" s="32"/>
      <c r="N917" s="32"/>
      <c r="O917" s="32"/>
      <c r="P917" s="32"/>
      <c r="Q917" s="497">
        <v>1150000</v>
      </c>
      <c r="R917" s="32"/>
      <c r="S917" s="32"/>
      <c r="T917" s="32"/>
      <c r="U917" s="32"/>
      <c r="V917" s="32"/>
      <c r="W917" s="32"/>
      <c r="X917" s="1750">
        <f t="shared" si="28"/>
        <v>1150000</v>
      </c>
      <c r="Y917" s="175">
        <f t="shared" si="29"/>
        <v>0</v>
      </c>
    </row>
    <row r="918" spans="1:25" ht="30" x14ac:dyDescent="0.25">
      <c r="A918" s="32"/>
      <c r="B918" s="32"/>
      <c r="C918" s="32"/>
      <c r="D918" s="32"/>
      <c r="E918" s="32"/>
      <c r="F918" s="32"/>
      <c r="G918" s="1340" t="s">
        <v>2706</v>
      </c>
      <c r="H918" s="66" t="str">
        <f>'BID III'!B932</f>
        <v>Belanja Honrarium Petugas</v>
      </c>
      <c r="I918" s="174">
        <f>SUM('BID III'!F933:F934)</f>
        <v>1600000</v>
      </c>
      <c r="J918" s="66" t="s">
        <v>2620</v>
      </c>
      <c r="K918" s="497" t="s">
        <v>3031</v>
      </c>
      <c r="L918" s="32"/>
      <c r="M918" s="32"/>
      <c r="N918" s="32"/>
      <c r="O918" s="32"/>
      <c r="P918" s="32"/>
      <c r="Q918" s="497">
        <v>1600000</v>
      </c>
      <c r="R918" s="32"/>
      <c r="S918" s="32"/>
      <c r="T918" s="32"/>
      <c r="U918" s="32"/>
      <c r="V918" s="32"/>
      <c r="W918" s="32"/>
      <c r="X918" s="1750">
        <f t="shared" si="28"/>
        <v>1600000</v>
      </c>
      <c r="Y918" s="175">
        <f t="shared" si="29"/>
        <v>0</v>
      </c>
    </row>
    <row r="919" spans="1:25" x14ac:dyDescent="0.25">
      <c r="A919" s="32"/>
      <c r="B919" s="32"/>
      <c r="C919" s="32"/>
      <c r="D919" s="32">
        <v>5</v>
      </c>
      <c r="E919" s="32">
        <v>2</v>
      </c>
      <c r="F919" s="32">
        <v>4</v>
      </c>
      <c r="G919" s="1340"/>
      <c r="H919" s="32" t="str">
        <f>'BID III'!B935</f>
        <v>Belanja Jasa Sewa</v>
      </c>
      <c r="I919" s="174"/>
      <c r="J919" s="66"/>
      <c r="K919" s="497" t="s">
        <v>3031</v>
      </c>
      <c r="L919" s="32"/>
      <c r="M919" s="32"/>
      <c r="N919" s="32"/>
      <c r="O919" s="32"/>
      <c r="P919" s="32"/>
      <c r="Q919" s="497"/>
      <c r="R919" s="32"/>
      <c r="S919" s="32"/>
      <c r="T919" s="32"/>
      <c r="U919" s="32"/>
      <c r="V919" s="32"/>
      <c r="W919" s="32"/>
      <c r="X919" s="1750">
        <f t="shared" si="28"/>
        <v>0</v>
      </c>
      <c r="Y919" s="175">
        <f t="shared" si="29"/>
        <v>0</v>
      </c>
    </row>
    <row r="920" spans="1:25" ht="30" x14ac:dyDescent="0.25">
      <c r="A920" s="32"/>
      <c r="B920" s="32"/>
      <c r="C920" s="32"/>
      <c r="D920" s="32"/>
      <c r="E920" s="32"/>
      <c r="F920" s="32"/>
      <c r="G920" s="1340" t="s">
        <v>2688</v>
      </c>
      <c r="H920" s="32" t="str">
        <f>'BID III'!B936</f>
        <v>Sewa Gedung</v>
      </c>
      <c r="I920" s="174">
        <f>'BID III'!F937</f>
        <v>1000000</v>
      </c>
      <c r="J920" s="66" t="s">
        <v>2627</v>
      </c>
      <c r="K920" s="497" t="s">
        <v>3031</v>
      </c>
      <c r="L920" s="32"/>
      <c r="M920" s="32"/>
      <c r="N920" s="32"/>
      <c r="O920" s="32"/>
      <c r="P920" s="32"/>
      <c r="Q920" s="497">
        <v>1000000</v>
      </c>
      <c r="R920" s="32"/>
      <c r="S920" s="32"/>
      <c r="T920" s="32"/>
      <c r="U920" s="32"/>
      <c r="V920" s="32"/>
      <c r="W920" s="32"/>
      <c r="X920" s="1750">
        <f t="shared" si="28"/>
        <v>1000000</v>
      </c>
      <c r="Y920" s="175">
        <f t="shared" si="29"/>
        <v>0</v>
      </c>
    </row>
    <row r="921" spans="1:25" ht="30" x14ac:dyDescent="0.25">
      <c r="A921" s="32"/>
      <c r="B921" s="32"/>
      <c r="C921" s="32"/>
      <c r="D921" s="32"/>
      <c r="E921" s="32"/>
      <c r="F921" s="32"/>
      <c r="G921" s="1340" t="s">
        <v>2702</v>
      </c>
      <c r="H921" s="66" t="str">
        <f>'BID III'!B938</f>
        <v>Belanja Jasa Sewa Perlengkapan</v>
      </c>
      <c r="I921" s="174">
        <f>'BID III'!F939</f>
        <v>1826060</v>
      </c>
      <c r="J921" s="66" t="s">
        <v>2627</v>
      </c>
      <c r="K921" s="497" t="s">
        <v>3031</v>
      </c>
      <c r="L921" s="32"/>
      <c r="M921" s="32"/>
      <c r="N921" s="32"/>
      <c r="O921" s="32"/>
      <c r="P921" s="32"/>
      <c r="Q921" s="497">
        <v>1826060</v>
      </c>
      <c r="R921" s="32"/>
      <c r="S921" s="32"/>
      <c r="T921" s="32"/>
      <c r="U921" s="32"/>
      <c r="V921" s="32"/>
      <c r="W921" s="32"/>
      <c r="X921" s="1750">
        <f t="shared" si="28"/>
        <v>1826060</v>
      </c>
      <c r="Y921" s="175">
        <f t="shared" si="29"/>
        <v>0</v>
      </c>
    </row>
    <row r="922" spans="1:25" ht="45" x14ac:dyDescent="0.25">
      <c r="A922" s="32"/>
      <c r="B922" s="32"/>
      <c r="C922" s="32"/>
      <c r="D922" s="32">
        <v>5</v>
      </c>
      <c r="E922" s="32">
        <v>2</v>
      </c>
      <c r="F922" s="32">
        <v>7</v>
      </c>
      <c r="G922" s="1340"/>
      <c r="H922" s="66" t="str">
        <f>'BID III'!B940</f>
        <v>Belanja Barang dan Jasa yang Diserahkan kepada Masyarakat</v>
      </c>
      <c r="I922" s="174"/>
      <c r="J922" s="66"/>
      <c r="K922" s="497" t="s">
        <v>3031</v>
      </c>
      <c r="L922" s="32"/>
      <c r="M922" s="32"/>
      <c r="N922" s="32"/>
      <c r="O922" s="32"/>
      <c r="P922" s="32"/>
      <c r="Q922" s="497"/>
      <c r="R922" s="32"/>
      <c r="S922" s="32"/>
      <c r="T922" s="32"/>
      <c r="U922" s="32"/>
      <c r="V922" s="32"/>
      <c r="W922" s="32"/>
      <c r="X922" s="1750">
        <f t="shared" si="28"/>
        <v>0</v>
      </c>
      <c r="Y922" s="175">
        <f t="shared" si="29"/>
        <v>0</v>
      </c>
    </row>
    <row r="923" spans="1:25" ht="30" x14ac:dyDescent="0.25">
      <c r="A923" s="32"/>
      <c r="B923" s="32"/>
      <c r="C923" s="32"/>
      <c r="D923" s="32"/>
      <c r="E923" s="32"/>
      <c r="F923" s="32"/>
      <c r="G923" s="1340">
        <v>90</v>
      </c>
      <c r="H923" s="66" t="str">
        <f>'BID III'!B941</f>
        <v>Belanja Jasa Atlit dan Seniman Berprestasi</v>
      </c>
      <c r="I923" s="174">
        <f>SUM('BID III'!F942:F944)</f>
        <v>9081060</v>
      </c>
      <c r="J923" s="66" t="s">
        <v>2627</v>
      </c>
      <c r="K923" s="497" t="s">
        <v>3031</v>
      </c>
      <c r="L923" s="32"/>
      <c r="M923" s="32"/>
      <c r="N923" s="32"/>
      <c r="O923" s="32"/>
      <c r="P923" s="32"/>
      <c r="Q923" s="497">
        <v>9081060</v>
      </c>
      <c r="R923" s="32"/>
      <c r="S923" s="32"/>
      <c r="T923" s="32"/>
      <c r="U923" s="32"/>
      <c r="V923" s="32"/>
      <c r="W923" s="32"/>
      <c r="X923" s="1750">
        <f t="shared" si="28"/>
        <v>9081060</v>
      </c>
      <c r="Y923" s="175">
        <f t="shared" si="29"/>
        <v>0</v>
      </c>
    </row>
    <row r="924" spans="1:25" x14ac:dyDescent="0.25">
      <c r="A924" s="32"/>
      <c r="B924" s="32"/>
      <c r="C924" s="32"/>
      <c r="D924" s="32"/>
      <c r="E924" s="32"/>
      <c r="F924" s="32"/>
      <c r="G924" s="1340"/>
      <c r="H924" s="66"/>
      <c r="I924" s="174"/>
      <c r="J924" s="66"/>
      <c r="K924" s="497" t="s">
        <v>3031</v>
      </c>
      <c r="L924" s="32"/>
      <c r="M924" s="32"/>
      <c r="N924" s="32"/>
      <c r="O924" s="32"/>
      <c r="P924" s="32"/>
      <c r="Q924" s="32"/>
      <c r="R924" s="32"/>
      <c r="S924" s="32"/>
      <c r="T924" s="32"/>
      <c r="U924" s="32"/>
      <c r="V924" s="32"/>
      <c r="W924" s="32"/>
      <c r="X924" s="1750">
        <f t="shared" si="28"/>
        <v>0</v>
      </c>
      <c r="Y924" s="175">
        <f t="shared" si="29"/>
        <v>0</v>
      </c>
    </row>
    <row r="925" spans="1:25" ht="30" x14ac:dyDescent="0.25">
      <c r="A925" s="1344">
        <v>3</v>
      </c>
      <c r="B925" s="1344">
        <v>4</v>
      </c>
      <c r="C925" s="1346" t="s">
        <v>2702</v>
      </c>
      <c r="D925" s="1344"/>
      <c r="E925" s="1344"/>
      <c r="F925" s="1344"/>
      <c r="G925" s="1344"/>
      <c r="H925" s="1345" t="str">
        <f>'BID III'!B959</f>
        <v>: Pembinaan LKMD / LPM / LPMD (Pelatihan LPM)</v>
      </c>
      <c r="I925" s="1347">
        <f>SUM(I926:I932)</f>
        <v>1205000</v>
      </c>
      <c r="J925" s="1345" t="s">
        <v>1682</v>
      </c>
      <c r="K925" s="1347" t="s">
        <v>3031</v>
      </c>
      <c r="L925" s="1344"/>
      <c r="M925" s="1344"/>
      <c r="N925" s="1344"/>
      <c r="O925" s="1344"/>
      <c r="P925" s="1344"/>
      <c r="Q925" s="1344"/>
      <c r="R925" s="1344"/>
      <c r="S925" s="1344"/>
      <c r="T925" s="1344"/>
      <c r="U925" s="1344"/>
      <c r="V925" s="1344"/>
      <c r="W925" s="1344"/>
      <c r="X925" s="1353">
        <f t="shared" si="28"/>
        <v>0</v>
      </c>
      <c r="Y925" s="175">
        <f t="shared" si="29"/>
        <v>-1205000</v>
      </c>
    </row>
    <row r="926" spans="1:25" x14ac:dyDescent="0.25">
      <c r="A926" s="32"/>
      <c r="B926" s="32"/>
      <c r="C926" s="32"/>
      <c r="D926" s="32">
        <v>5</v>
      </c>
      <c r="E926" s="32">
        <v>2</v>
      </c>
      <c r="F926" s="32"/>
      <c r="G926" s="32"/>
      <c r="H926" s="66" t="str">
        <f>'BID III'!B965</f>
        <v>Belanja Barang Dan Jasa</v>
      </c>
      <c r="I926" s="32"/>
      <c r="J926" s="66"/>
      <c r="K926" s="497" t="s">
        <v>3031</v>
      </c>
      <c r="L926" s="32"/>
      <c r="M926" s="32"/>
      <c r="N926" s="32"/>
      <c r="O926" s="32"/>
      <c r="P926" s="32"/>
      <c r="Q926" s="32"/>
      <c r="R926" s="32"/>
      <c r="S926" s="32"/>
      <c r="T926" s="32"/>
      <c r="U926" s="32"/>
      <c r="V926" s="32"/>
      <c r="W926" s="32"/>
      <c r="X926" s="1750">
        <f t="shared" si="28"/>
        <v>0</v>
      </c>
      <c r="Y926" s="175">
        <f t="shared" si="29"/>
        <v>0</v>
      </c>
    </row>
    <row r="927" spans="1:25" ht="30" x14ac:dyDescent="0.25">
      <c r="A927" s="32"/>
      <c r="B927" s="32"/>
      <c r="C927" s="32"/>
      <c r="D927" s="32"/>
      <c r="E927" s="32"/>
      <c r="F927" s="32">
        <v>1</v>
      </c>
      <c r="G927" s="32"/>
      <c r="H927" s="66" t="str">
        <f>'BID III'!B966</f>
        <v>Belanja Barang Perlengkapan</v>
      </c>
      <c r="I927" s="32"/>
      <c r="J927" s="66"/>
      <c r="K927" s="497" t="s">
        <v>3031</v>
      </c>
      <c r="L927" s="32"/>
      <c r="M927" s="32"/>
      <c r="N927" s="32"/>
      <c r="O927" s="32"/>
      <c r="P927" s="32"/>
      <c r="Q927" s="32"/>
      <c r="R927" s="32"/>
      <c r="S927" s="32"/>
      <c r="T927" s="32"/>
      <c r="U927" s="32"/>
      <c r="V927" s="32"/>
      <c r="W927" s="32"/>
      <c r="X927" s="1750">
        <f t="shared" si="28"/>
        <v>0</v>
      </c>
      <c r="Y927" s="175">
        <f t="shared" si="29"/>
        <v>0</v>
      </c>
    </row>
    <row r="928" spans="1:25" ht="30" x14ac:dyDescent="0.25">
      <c r="A928" s="32"/>
      <c r="B928" s="32"/>
      <c r="C928" s="32"/>
      <c r="D928" s="32"/>
      <c r="E928" s="32"/>
      <c r="F928" s="32"/>
      <c r="G928" s="1340" t="s">
        <v>2705</v>
      </c>
      <c r="H928" s="66" t="str">
        <f>'BID III'!B967</f>
        <v>Belanja Perlengkapan Barang Konsumsi</v>
      </c>
      <c r="I928" s="174">
        <f>SUM('BID III'!F968)</f>
        <v>450000</v>
      </c>
      <c r="J928" s="66" t="s">
        <v>1682</v>
      </c>
      <c r="K928" s="497" t="s">
        <v>3031</v>
      </c>
      <c r="L928" s="32"/>
      <c r="M928" s="32"/>
      <c r="N928" s="32"/>
      <c r="O928" s="497">
        <v>450000</v>
      </c>
      <c r="P928" s="32"/>
      <c r="Q928" s="32"/>
      <c r="R928" s="32"/>
      <c r="S928" s="32"/>
      <c r="T928" s="32"/>
      <c r="U928" s="32"/>
      <c r="V928" s="32"/>
      <c r="W928" s="32"/>
      <c r="X928" s="1750">
        <f t="shared" ref="X928:X991" si="30">SUM(L928:W928)</f>
        <v>450000</v>
      </c>
      <c r="Y928" s="175">
        <f t="shared" si="29"/>
        <v>0</v>
      </c>
    </row>
    <row r="929" spans="1:25" ht="30" x14ac:dyDescent="0.25">
      <c r="A929" s="32"/>
      <c r="B929" s="32"/>
      <c r="C929" s="32"/>
      <c r="D929" s="32"/>
      <c r="E929" s="32"/>
      <c r="F929" s="32"/>
      <c r="G929" s="1340" t="s">
        <v>2707</v>
      </c>
      <c r="H929" s="66" t="str">
        <f>'BID III'!B969</f>
        <v>Belanja Bendera/ Umbul-umbul/ Spanduk</v>
      </c>
      <c r="I929" s="174">
        <f>'BID III'!F970</f>
        <v>90000</v>
      </c>
      <c r="J929" s="66" t="s">
        <v>1682</v>
      </c>
      <c r="K929" s="497" t="s">
        <v>3031</v>
      </c>
      <c r="L929" s="32"/>
      <c r="M929" s="32"/>
      <c r="N929" s="32"/>
      <c r="O929" s="497">
        <v>90000</v>
      </c>
      <c r="P929" s="32"/>
      <c r="Q929" s="32"/>
      <c r="R929" s="32"/>
      <c r="S929" s="32"/>
      <c r="T929" s="32"/>
      <c r="U929" s="32"/>
      <c r="V929" s="32"/>
      <c r="W929" s="32"/>
      <c r="X929" s="1750">
        <f t="shared" si="30"/>
        <v>90000</v>
      </c>
      <c r="Y929" s="175">
        <f t="shared" si="29"/>
        <v>0</v>
      </c>
    </row>
    <row r="930" spans="1:25" ht="30" x14ac:dyDescent="0.25">
      <c r="A930" s="32"/>
      <c r="B930" s="32"/>
      <c r="C930" s="32"/>
      <c r="D930" s="32"/>
      <c r="E930" s="32"/>
      <c r="F930" s="32"/>
      <c r="G930" s="32">
        <v>90</v>
      </c>
      <c r="H930" s="66" t="str">
        <f>'BID III'!B971</f>
        <v>Belanja Upakara, Upacara Dan Aci</v>
      </c>
      <c r="I930" s="174">
        <f>'BID III'!F972+'BID III'!F973+'BID III'!F974</f>
        <v>65000</v>
      </c>
      <c r="J930" s="66" t="s">
        <v>1682</v>
      </c>
      <c r="K930" s="497" t="s">
        <v>3031</v>
      </c>
      <c r="L930" s="32"/>
      <c r="M930" s="32"/>
      <c r="N930" s="32"/>
      <c r="O930" s="497">
        <v>65000</v>
      </c>
      <c r="P930" s="32"/>
      <c r="Q930" s="32"/>
      <c r="R930" s="32"/>
      <c r="S930" s="32"/>
      <c r="T930" s="32"/>
      <c r="U930" s="32"/>
      <c r="V930" s="32"/>
      <c r="W930" s="32"/>
      <c r="X930" s="1750">
        <f t="shared" si="30"/>
        <v>65000</v>
      </c>
      <c r="Y930" s="175">
        <f t="shared" si="29"/>
        <v>0</v>
      </c>
    </row>
    <row r="931" spans="1:25" x14ac:dyDescent="0.25">
      <c r="A931" s="32"/>
      <c r="B931" s="32"/>
      <c r="C931" s="32"/>
      <c r="D931" s="32">
        <v>5</v>
      </c>
      <c r="E931" s="32">
        <v>2</v>
      </c>
      <c r="F931" s="32">
        <v>2</v>
      </c>
      <c r="G931" s="32"/>
      <c r="H931" s="66" t="str">
        <f>'BID III'!B975</f>
        <v>Belanja Honorarium</v>
      </c>
      <c r="I931" s="32"/>
      <c r="J931" s="66"/>
      <c r="K931" s="497" t="s">
        <v>3031</v>
      </c>
      <c r="L931" s="32"/>
      <c r="M931" s="32"/>
      <c r="N931" s="32"/>
      <c r="O931" s="497"/>
      <c r="P931" s="32"/>
      <c r="Q931" s="32"/>
      <c r="R931" s="32"/>
      <c r="S931" s="32"/>
      <c r="T931" s="32"/>
      <c r="U931" s="32"/>
      <c r="V931" s="32"/>
      <c r="W931" s="32"/>
      <c r="X931" s="1750">
        <f t="shared" si="30"/>
        <v>0</v>
      </c>
      <c r="Y931" s="175">
        <f t="shared" si="29"/>
        <v>0</v>
      </c>
    </row>
    <row r="932" spans="1:25" ht="45" x14ac:dyDescent="0.25">
      <c r="A932" s="32"/>
      <c r="B932" s="32"/>
      <c r="C932" s="32"/>
      <c r="D932" s="32"/>
      <c r="E932" s="32"/>
      <c r="F932" s="32"/>
      <c r="G932" s="1340" t="s">
        <v>2704</v>
      </c>
      <c r="H932" s="66" t="str">
        <f>'BID III'!B976</f>
        <v>Belanja Jasa Honorarium Ahli/Profesi/Konsultan/ Narasumber</v>
      </c>
      <c r="I932" s="174">
        <f>'BID III'!F977</f>
        <v>600000</v>
      </c>
      <c r="J932" s="66" t="s">
        <v>1682</v>
      </c>
      <c r="K932" s="497" t="s">
        <v>3031</v>
      </c>
      <c r="L932" s="32"/>
      <c r="M932" s="32"/>
      <c r="N932" s="32"/>
      <c r="O932" s="497">
        <v>600000</v>
      </c>
      <c r="P932" s="32"/>
      <c r="Q932" s="32"/>
      <c r="R932" s="32"/>
      <c r="S932" s="32"/>
      <c r="T932" s="32"/>
      <c r="U932" s="32"/>
      <c r="V932" s="32"/>
      <c r="W932" s="32"/>
      <c r="X932" s="1750">
        <f t="shared" si="30"/>
        <v>600000</v>
      </c>
      <c r="Y932" s="175">
        <f t="shared" si="29"/>
        <v>0</v>
      </c>
    </row>
    <row r="933" spans="1:25" ht="30" x14ac:dyDescent="0.25">
      <c r="A933" s="1344">
        <v>3</v>
      </c>
      <c r="B933" s="1344">
        <v>4</v>
      </c>
      <c r="C933" s="1346" t="s">
        <v>2703</v>
      </c>
      <c r="D933" s="1344"/>
      <c r="E933" s="1344"/>
      <c r="F933" s="1344"/>
      <c r="G933" s="1344"/>
      <c r="H933" s="1345" t="str">
        <f>'BID III'!B992</f>
        <v>: Pembinaan PKK  ( Pembinaan administrasi )</v>
      </c>
      <c r="I933" s="1347">
        <f>SUM(I934:I941)</f>
        <v>11877000</v>
      </c>
      <c r="J933" s="1345" t="s">
        <v>1682</v>
      </c>
      <c r="K933" s="1347" t="s">
        <v>3031</v>
      </c>
      <c r="L933" s="1344"/>
      <c r="M933" s="1344"/>
      <c r="N933" s="1344"/>
      <c r="O933" s="1344"/>
      <c r="P933" s="1344"/>
      <c r="Q933" s="1344"/>
      <c r="R933" s="1344"/>
      <c r="S933" s="1344"/>
      <c r="T933" s="1344"/>
      <c r="U933" s="1344"/>
      <c r="V933" s="1344"/>
      <c r="W933" s="1344"/>
      <c r="X933" s="1353">
        <f t="shared" si="30"/>
        <v>0</v>
      </c>
      <c r="Y933" s="175">
        <f t="shared" si="29"/>
        <v>-11877000</v>
      </c>
    </row>
    <row r="934" spans="1:25" x14ac:dyDescent="0.25">
      <c r="A934" s="32"/>
      <c r="B934" s="32"/>
      <c r="C934" s="32"/>
      <c r="D934" s="32">
        <v>5</v>
      </c>
      <c r="E934" s="32">
        <v>2</v>
      </c>
      <c r="F934" s="32"/>
      <c r="G934" s="32"/>
      <c r="H934" s="66" t="str">
        <f>'BID III'!B997</f>
        <v>Belanja Barang Jasa</v>
      </c>
      <c r="I934" s="32"/>
      <c r="J934" s="66"/>
      <c r="K934" s="497" t="s">
        <v>3031</v>
      </c>
      <c r="L934" s="32"/>
      <c r="M934" s="32"/>
      <c r="N934" s="32"/>
      <c r="O934" s="32"/>
      <c r="P934" s="32"/>
      <c r="Q934" s="32"/>
      <c r="R934" s="32"/>
      <c r="S934" s="32"/>
      <c r="T934" s="32"/>
      <c r="U934" s="32"/>
      <c r="V934" s="32"/>
      <c r="W934" s="32"/>
      <c r="X934" s="1750">
        <f t="shared" si="30"/>
        <v>0</v>
      </c>
      <c r="Y934" s="175">
        <f t="shared" si="29"/>
        <v>0</v>
      </c>
    </row>
    <row r="935" spans="1:25" ht="30" x14ac:dyDescent="0.25">
      <c r="A935" s="32"/>
      <c r="B935" s="32"/>
      <c r="C935" s="32"/>
      <c r="D935" s="32"/>
      <c r="E935" s="32"/>
      <c r="F935" s="32">
        <v>1</v>
      </c>
      <c r="G935" s="32"/>
      <c r="H935" s="66" t="str">
        <f>'BID III'!B998</f>
        <v>Belanja Barang Perlengkapan</v>
      </c>
      <c r="I935" s="32"/>
      <c r="J935" s="66"/>
      <c r="K935" s="497" t="s">
        <v>3031</v>
      </c>
      <c r="L935" s="32"/>
      <c r="M935" s="32"/>
      <c r="N935" s="32"/>
      <c r="O935" s="32"/>
      <c r="P935" s="32"/>
      <c r="Q935" s="32"/>
      <c r="R935" s="32"/>
      <c r="S935" s="32"/>
      <c r="T935" s="32"/>
      <c r="U935" s="32"/>
      <c r="V935" s="32"/>
      <c r="W935" s="32"/>
      <c r="X935" s="1750">
        <f t="shared" si="30"/>
        <v>0</v>
      </c>
      <c r="Y935" s="175">
        <f t="shared" si="29"/>
        <v>0</v>
      </c>
    </row>
    <row r="936" spans="1:25" ht="30" x14ac:dyDescent="0.25">
      <c r="A936" s="32"/>
      <c r="B936" s="32"/>
      <c r="C936" s="32"/>
      <c r="D936" s="32"/>
      <c r="E936" s="32"/>
      <c r="F936" s="32"/>
      <c r="G936" s="1340" t="s">
        <v>2688</v>
      </c>
      <c r="H936" s="66" t="str">
        <f>'BID III'!B999</f>
        <v>Belanja Alat Tulis Kantor dan Benda Pos</v>
      </c>
      <c r="I936" s="1354">
        <f>SUM('BID III'!F1000:F1003)</f>
        <v>87000</v>
      </c>
      <c r="J936" s="66" t="s">
        <v>1682</v>
      </c>
      <c r="K936" s="497" t="s">
        <v>3031</v>
      </c>
      <c r="L936" s="32"/>
      <c r="M936" s="32"/>
      <c r="N936" s="32"/>
      <c r="O936" s="497">
        <v>87000</v>
      </c>
      <c r="P936" s="32"/>
      <c r="Q936" s="32"/>
      <c r="R936" s="32"/>
      <c r="S936" s="32"/>
      <c r="T936" s="32"/>
      <c r="U936" s="32"/>
      <c r="V936" s="32"/>
      <c r="W936" s="32"/>
      <c r="X936" s="1750">
        <f t="shared" si="30"/>
        <v>87000</v>
      </c>
      <c r="Y936" s="175">
        <f t="shared" si="29"/>
        <v>0</v>
      </c>
    </row>
    <row r="937" spans="1:25" ht="30" x14ac:dyDescent="0.25">
      <c r="A937" s="32"/>
      <c r="B937" s="32"/>
      <c r="C937" s="32"/>
      <c r="D937" s="32"/>
      <c r="E937" s="32"/>
      <c r="F937" s="32"/>
      <c r="G937" s="1340" t="s">
        <v>2705</v>
      </c>
      <c r="H937" s="66" t="str">
        <f>'BID III'!B1004</f>
        <v>Belanja Perlengkapan Barang Konsumsi</v>
      </c>
      <c r="I937" s="1354">
        <f>'BID III'!F1005</f>
        <v>600000</v>
      </c>
      <c r="J937" s="66" t="s">
        <v>1682</v>
      </c>
      <c r="K937" s="497" t="s">
        <v>3031</v>
      </c>
      <c r="L937" s="32"/>
      <c r="M937" s="32"/>
      <c r="N937" s="32"/>
      <c r="O937" s="497">
        <v>600000</v>
      </c>
      <c r="P937" s="32"/>
      <c r="Q937" s="32"/>
      <c r="R937" s="32"/>
      <c r="S937" s="32"/>
      <c r="T937" s="32"/>
      <c r="U937" s="32"/>
      <c r="V937" s="32"/>
      <c r="W937" s="32"/>
      <c r="X937" s="1750">
        <f t="shared" si="30"/>
        <v>600000</v>
      </c>
      <c r="Y937" s="175">
        <f t="shared" si="29"/>
        <v>0</v>
      </c>
    </row>
    <row r="938" spans="1:25" ht="30" x14ac:dyDescent="0.25">
      <c r="A938" s="32"/>
      <c r="B938" s="32"/>
      <c r="C938" s="32"/>
      <c r="D938" s="32"/>
      <c r="E938" s="32"/>
      <c r="F938" s="32"/>
      <c r="G938" s="1340" t="s">
        <v>2707</v>
      </c>
      <c r="H938" s="66" t="str">
        <f>'BID III'!B1006</f>
        <v>Belanja Bendera/ Umbul-umbul/ Spanduk</v>
      </c>
      <c r="I938" s="1354">
        <f>'BID III'!F1007</f>
        <v>90000</v>
      </c>
      <c r="J938" s="66" t="s">
        <v>1682</v>
      </c>
      <c r="K938" s="497" t="s">
        <v>3031</v>
      </c>
      <c r="L938" s="32"/>
      <c r="M938" s="32"/>
      <c r="N938" s="32"/>
      <c r="O938" s="497">
        <v>90000</v>
      </c>
      <c r="P938" s="32"/>
      <c r="Q938" s="32"/>
      <c r="R938" s="32"/>
      <c r="S938" s="32"/>
      <c r="T938" s="32"/>
      <c r="U938" s="32"/>
      <c r="V938" s="32"/>
      <c r="W938" s="32"/>
      <c r="X938" s="1750">
        <f t="shared" si="30"/>
        <v>90000</v>
      </c>
      <c r="Y938" s="175">
        <f t="shared" ref="Y938:Y1001" si="31">X938-I938</f>
        <v>0</v>
      </c>
    </row>
    <row r="939" spans="1:25" ht="30" x14ac:dyDescent="0.25">
      <c r="A939" s="32"/>
      <c r="B939" s="32"/>
      <c r="C939" s="32"/>
      <c r="D939" s="32"/>
      <c r="E939" s="32"/>
      <c r="F939" s="32"/>
      <c r="G939" s="1340" t="s">
        <v>2709</v>
      </c>
      <c r="H939" s="66" t="str">
        <f>'BID III'!B1008</f>
        <v>Belanja Pakaian Dinas / Seragam/ Atribut</v>
      </c>
      <c r="I939" s="1354">
        <f>'BID III'!F1009</f>
        <v>10500000</v>
      </c>
      <c r="J939" s="66" t="s">
        <v>1682</v>
      </c>
      <c r="K939" s="497" t="s">
        <v>3031</v>
      </c>
      <c r="L939" s="32"/>
      <c r="M939" s="32"/>
      <c r="N939" s="32"/>
      <c r="O939" s="497">
        <v>10500000</v>
      </c>
      <c r="P939" s="32"/>
      <c r="Q939" s="32"/>
      <c r="R939" s="32"/>
      <c r="S939" s="32"/>
      <c r="T939" s="32"/>
      <c r="U939" s="32"/>
      <c r="V939" s="32"/>
      <c r="W939" s="32"/>
      <c r="X939" s="1750">
        <f t="shared" si="30"/>
        <v>10500000</v>
      </c>
      <c r="Y939" s="175">
        <f t="shared" si="31"/>
        <v>0</v>
      </c>
    </row>
    <row r="940" spans="1:25" x14ac:dyDescent="0.25">
      <c r="A940" s="32"/>
      <c r="B940" s="32"/>
      <c r="C940" s="32"/>
      <c r="D940" s="32">
        <v>5</v>
      </c>
      <c r="E940" s="32">
        <v>2</v>
      </c>
      <c r="F940" s="32">
        <v>2</v>
      </c>
      <c r="G940" s="32"/>
      <c r="H940" s="66" t="str">
        <f>'BID III'!B1010</f>
        <v>Belanja  Jasa Honorarium</v>
      </c>
      <c r="I940" s="32"/>
      <c r="J940" s="66"/>
      <c r="K940" s="497" t="s">
        <v>3031</v>
      </c>
      <c r="L940" s="32"/>
      <c r="M940" s="32"/>
      <c r="N940" s="32"/>
      <c r="O940" s="497"/>
      <c r="P940" s="32"/>
      <c r="Q940" s="32"/>
      <c r="R940" s="32"/>
      <c r="S940" s="32"/>
      <c r="T940" s="32"/>
      <c r="U940" s="32"/>
      <c r="V940" s="32"/>
      <c r="W940" s="32"/>
      <c r="X940" s="1750">
        <f t="shared" si="30"/>
        <v>0</v>
      </c>
      <c r="Y940" s="175">
        <f t="shared" si="31"/>
        <v>0</v>
      </c>
    </row>
    <row r="941" spans="1:25" ht="60" x14ac:dyDescent="0.25">
      <c r="A941" s="32"/>
      <c r="B941" s="32"/>
      <c r="C941" s="32"/>
      <c r="D941" s="32"/>
      <c r="E941" s="32"/>
      <c r="F941" s="32"/>
      <c r="G941" s="1340" t="s">
        <v>2704</v>
      </c>
      <c r="H941" s="66" t="str">
        <f>'BID III'!B1011</f>
        <v>Belanja Jasa Honorarium Ahli/ Profesi/Konsultan/Narasumber</v>
      </c>
      <c r="I941" s="1354">
        <f>'BID III'!F1012</f>
        <v>600000</v>
      </c>
      <c r="J941" s="66" t="s">
        <v>1682</v>
      </c>
      <c r="K941" s="497" t="s">
        <v>3031</v>
      </c>
      <c r="L941" s="32"/>
      <c r="M941" s="32"/>
      <c r="N941" s="32"/>
      <c r="O941" s="497">
        <v>600000</v>
      </c>
      <c r="P941" s="32"/>
      <c r="Q941" s="32"/>
      <c r="R941" s="32"/>
      <c r="S941" s="32"/>
      <c r="T941" s="32"/>
      <c r="U941" s="32"/>
      <c r="V941" s="32"/>
      <c r="W941" s="32"/>
      <c r="X941" s="1750">
        <f t="shared" si="30"/>
        <v>600000</v>
      </c>
      <c r="Y941" s="175">
        <f t="shared" si="31"/>
        <v>0</v>
      </c>
    </row>
    <row r="942" spans="1:25" ht="45" x14ac:dyDescent="0.25">
      <c r="A942" s="1344">
        <v>3</v>
      </c>
      <c r="B942" s="1344">
        <v>4</v>
      </c>
      <c r="C942" s="1346" t="s">
        <v>2704</v>
      </c>
      <c r="D942" s="1344"/>
      <c r="E942" s="1344"/>
      <c r="F942" s="1344"/>
      <c r="G942" s="1344"/>
      <c r="H942" s="1345" t="str">
        <f>'BID III'!B1027</f>
        <v>:Pelatihan Pembinaan Lembaga Kemasyarakatan (Input data  Dasawisma)</v>
      </c>
      <c r="I942" s="1347">
        <f>SUM(I943:I949)</f>
        <v>15190000</v>
      </c>
      <c r="J942" s="1345" t="s">
        <v>1682</v>
      </c>
      <c r="K942" s="1347" t="s">
        <v>3031</v>
      </c>
      <c r="L942" s="1344"/>
      <c r="M942" s="1344"/>
      <c r="N942" s="1344"/>
      <c r="O942" s="1344"/>
      <c r="P942" s="1344"/>
      <c r="Q942" s="1344"/>
      <c r="R942" s="1344"/>
      <c r="S942" s="1344"/>
      <c r="T942" s="1344"/>
      <c r="U942" s="1344"/>
      <c r="V942" s="1344"/>
      <c r="W942" s="1344"/>
      <c r="X942" s="1353">
        <f t="shared" si="30"/>
        <v>0</v>
      </c>
      <c r="Y942" s="175">
        <f t="shared" si="31"/>
        <v>-15190000</v>
      </c>
    </row>
    <row r="943" spans="1:25" x14ac:dyDescent="0.25">
      <c r="A943" s="32"/>
      <c r="B943" s="32"/>
      <c r="C943" s="32"/>
      <c r="D943" s="32">
        <v>5</v>
      </c>
      <c r="E943" s="32">
        <v>2</v>
      </c>
      <c r="F943" s="32"/>
      <c r="G943" s="32"/>
      <c r="H943" s="66" t="str">
        <f>'BID III'!B1032</f>
        <v>Belanja Barang Jasa</v>
      </c>
      <c r="I943" s="470"/>
      <c r="J943" s="66"/>
      <c r="K943" s="497" t="s">
        <v>3031</v>
      </c>
      <c r="L943" s="32"/>
      <c r="M943" s="32"/>
      <c r="N943" s="32"/>
      <c r="O943" s="32"/>
      <c r="P943" s="32"/>
      <c r="Q943" s="32"/>
      <c r="R943" s="32"/>
      <c r="S943" s="32"/>
      <c r="T943" s="32"/>
      <c r="U943" s="32"/>
      <c r="V943" s="32"/>
      <c r="W943" s="32"/>
      <c r="X943" s="1750">
        <f t="shared" si="30"/>
        <v>0</v>
      </c>
      <c r="Y943" s="175">
        <f t="shared" si="31"/>
        <v>0</v>
      </c>
    </row>
    <row r="944" spans="1:25" ht="30" x14ac:dyDescent="0.25">
      <c r="A944" s="32"/>
      <c r="B944" s="32"/>
      <c r="C944" s="32"/>
      <c r="D944" s="32"/>
      <c r="E944" s="32"/>
      <c r="F944" s="32">
        <v>1</v>
      </c>
      <c r="G944" s="32"/>
      <c r="H944" s="66" t="str">
        <f>'BID III'!B1033</f>
        <v>Belanja Barang Perlengkapan</v>
      </c>
      <c r="I944" s="470"/>
      <c r="J944" s="66"/>
      <c r="K944" s="497" t="s">
        <v>3031</v>
      </c>
      <c r="L944" s="32"/>
      <c r="M944" s="32"/>
      <c r="N944" s="32"/>
      <c r="O944" s="32"/>
      <c r="P944" s="32"/>
      <c r="Q944" s="32"/>
      <c r="R944" s="32"/>
      <c r="S944" s="32"/>
      <c r="T944" s="32"/>
      <c r="U944" s="32"/>
      <c r="V944" s="32"/>
      <c r="W944" s="32"/>
      <c r="X944" s="1750">
        <f t="shared" si="30"/>
        <v>0</v>
      </c>
      <c r="Y944" s="175">
        <f t="shared" si="31"/>
        <v>0</v>
      </c>
    </row>
    <row r="945" spans="1:25" ht="45" x14ac:dyDescent="0.25">
      <c r="A945" s="32"/>
      <c r="B945" s="32"/>
      <c r="C945" s="32"/>
      <c r="D945" s="32"/>
      <c r="E945" s="32"/>
      <c r="F945" s="32"/>
      <c r="G945" s="1340" t="s">
        <v>2688</v>
      </c>
      <c r="H945" s="66" t="str">
        <f>'BID III'!B1034</f>
        <v>Belanja Perlengkapan Alat Tulis Kantor dan Benda Pos</v>
      </c>
      <c r="I945" s="470">
        <f>SUM('BID III'!F1035:F1035)</f>
        <v>5000000</v>
      </c>
      <c r="J945" s="66" t="s">
        <v>1682</v>
      </c>
      <c r="K945" s="497" t="s">
        <v>3031</v>
      </c>
      <c r="L945" s="32"/>
      <c r="M945" s="32"/>
      <c r="N945" s="32"/>
      <c r="O945" s="32"/>
      <c r="P945" s="32"/>
      <c r="Q945" s="32"/>
      <c r="R945" s="32"/>
      <c r="S945" s="32"/>
      <c r="T945" s="497">
        <v>5000000</v>
      </c>
      <c r="U945" s="32"/>
      <c r="V945" s="32"/>
      <c r="W945" s="32"/>
      <c r="X945" s="1750">
        <f t="shared" si="30"/>
        <v>5000000</v>
      </c>
      <c r="Y945" s="175">
        <f t="shared" si="31"/>
        <v>0</v>
      </c>
    </row>
    <row r="946" spans="1:25" ht="30" x14ac:dyDescent="0.25">
      <c r="A946" s="32"/>
      <c r="B946" s="32"/>
      <c r="C946" s="32"/>
      <c r="D946" s="32"/>
      <c r="E946" s="32"/>
      <c r="F946" s="32"/>
      <c r="G946" s="1340" t="s">
        <v>2705</v>
      </c>
      <c r="H946" s="66" t="str">
        <f>'BID III'!B1036</f>
        <v>Belanja Perlengkapan Barang Konsumsi</v>
      </c>
      <c r="I946" s="470">
        <f>'BID III'!F1037</f>
        <v>300000</v>
      </c>
      <c r="J946" s="66" t="s">
        <v>1682</v>
      </c>
      <c r="K946" s="497" t="s">
        <v>3031</v>
      </c>
      <c r="L946" s="32"/>
      <c r="M946" s="32"/>
      <c r="N946" s="32"/>
      <c r="O946" s="32"/>
      <c r="P946" s="32"/>
      <c r="Q946" s="32"/>
      <c r="R946" s="32"/>
      <c r="S946" s="32"/>
      <c r="T946" s="497">
        <v>300000</v>
      </c>
      <c r="U946" s="32"/>
      <c r="V946" s="32"/>
      <c r="W946" s="32"/>
      <c r="X946" s="1750">
        <f t="shared" si="30"/>
        <v>300000</v>
      </c>
      <c r="Y946" s="175">
        <f t="shared" si="31"/>
        <v>0</v>
      </c>
    </row>
    <row r="947" spans="1:25" ht="30" x14ac:dyDescent="0.25">
      <c r="A947" s="32"/>
      <c r="B947" s="32"/>
      <c r="C947" s="32"/>
      <c r="D947" s="32"/>
      <c r="E947" s="32"/>
      <c r="F947" s="32"/>
      <c r="G947" s="32">
        <v>90</v>
      </c>
      <c r="H947" s="66" t="str">
        <f>'BID III'!B1039</f>
        <v>Belanja Upakara, Upacara Dan Aci</v>
      </c>
      <c r="I947" s="470">
        <f>'BID III'!F1040</f>
        <v>50000</v>
      </c>
      <c r="J947" s="66" t="s">
        <v>1682</v>
      </c>
      <c r="K947" s="497" t="s">
        <v>3031</v>
      </c>
      <c r="L947" s="32"/>
      <c r="M947" s="32"/>
      <c r="N947" s="32"/>
      <c r="O947" s="32"/>
      <c r="P947" s="32"/>
      <c r="Q947" s="32"/>
      <c r="R947" s="32"/>
      <c r="S947" s="32"/>
      <c r="T947" s="497">
        <v>50000</v>
      </c>
      <c r="U947" s="32"/>
      <c r="V947" s="32"/>
      <c r="W947" s="32"/>
      <c r="X947" s="1750">
        <f t="shared" si="30"/>
        <v>50000</v>
      </c>
      <c r="Y947" s="175">
        <f t="shared" si="31"/>
        <v>0</v>
      </c>
    </row>
    <row r="948" spans="1:25" ht="45" x14ac:dyDescent="0.25">
      <c r="A948" s="32"/>
      <c r="B948" s="32"/>
      <c r="C948" s="32"/>
      <c r="D948" s="32"/>
      <c r="E948" s="32"/>
      <c r="F948" s="32"/>
      <c r="G948" s="1340" t="s">
        <v>2704</v>
      </c>
      <c r="H948" s="66" t="str">
        <f>'BID III'!B1043</f>
        <v>Belanja Jasa Honorarium Ahli/Profesi/Konsultan/Narasumber</v>
      </c>
      <c r="I948" s="470">
        <f>SUM('BID III'!F1043:F1044)</f>
        <v>300000</v>
      </c>
      <c r="J948" s="66" t="s">
        <v>1682</v>
      </c>
      <c r="K948" s="497" t="s">
        <v>3031</v>
      </c>
      <c r="L948" s="32"/>
      <c r="M948" s="32"/>
      <c r="N948" s="32"/>
      <c r="O948" s="32"/>
      <c r="P948" s="32"/>
      <c r="Q948" s="32"/>
      <c r="R948" s="32"/>
      <c r="S948" s="32"/>
      <c r="T948" s="497">
        <v>300000</v>
      </c>
      <c r="U948" s="32"/>
      <c r="V948" s="32"/>
      <c r="W948" s="32"/>
      <c r="X948" s="1750">
        <f t="shared" si="30"/>
        <v>300000</v>
      </c>
      <c r="Y948" s="175">
        <f t="shared" si="31"/>
        <v>0</v>
      </c>
    </row>
    <row r="949" spans="1:25" ht="30" x14ac:dyDescent="0.25">
      <c r="A949" s="32"/>
      <c r="B949" s="32"/>
      <c r="C949" s="32"/>
      <c r="D949" s="32"/>
      <c r="E949" s="32"/>
      <c r="F949" s="32"/>
      <c r="G949" s="1340" t="s">
        <v>2706</v>
      </c>
      <c r="H949" s="66" t="str">
        <f>'BID III'!B1046</f>
        <v>Belanja Jasa Honorarium Petugas</v>
      </c>
      <c r="I949" s="470">
        <f>SUM('BID III'!F1047:F1047)</f>
        <v>9540000</v>
      </c>
      <c r="J949" s="66" t="s">
        <v>1682</v>
      </c>
      <c r="K949" s="497" t="s">
        <v>3031</v>
      </c>
      <c r="L949" s="32"/>
      <c r="M949" s="32"/>
      <c r="N949" s="32"/>
      <c r="O949" s="32"/>
      <c r="P949" s="32"/>
      <c r="Q949" s="32"/>
      <c r="R949" s="32"/>
      <c r="S949" s="32"/>
      <c r="T949" s="497">
        <v>9540000</v>
      </c>
      <c r="U949" s="32"/>
      <c r="V949" s="32"/>
      <c r="W949" s="32"/>
      <c r="X949" s="1750">
        <f t="shared" si="30"/>
        <v>9540000</v>
      </c>
      <c r="Y949" s="175">
        <f t="shared" si="31"/>
        <v>0</v>
      </c>
    </row>
    <row r="950" spans="1:25" ht="30" x14ac:dyDescent="0.25">
      <c r="A950" s="1342">
        <v>4</v>
      </c>
      <c r="B950" s="1342"/>
      <c r="C950" s="1342"/>
      <c r="D950" s="1342"/>
      <c r="E950" s="1342"/>
      <c r="F950" s="1342"/>
      <c r="G950" s="1342"/>
      <c r="H950" s="1343" t="str">
        <f>'BID IV'!B7</f>
        <v>: Pemberdayaan Masyarakat Desa</v>
      </c>
      <c r="I950" s="1351">
        <f>I951+I962+I973+I981+I998+I989+I1008+I1016+I1025+I1033</f>
        <v>200240296</v>
      </c>
      <c r="J950" s="1343"/>
      <c r="K950" s="1342"/>
      <c r="L950" s="1351"/>
      <c r="M950" s="1342"/>
      <c r="N950" s="1342"/>
      <c r="O950" s="1342"/>
      <c r="P950" s="1342"/>
      <c r="Q950" s="1342"/>
      <c r="R950" s="1342"/>
      <c r="S950" s="1342"/>
      <c r="T950" s="1342"/>
      <c r="U950" s="1342"/>
      <c r="V950" s="1342"/>
      <c r="W950" s="1342"/>
      <c r="X950" s="1799">
        <f t="shared" si="30"/>
        <v>0</v>
      </c>
      <c r="Y950" s="175">
        <f t="shared" si="31"/>
        <v>-200240296</v>
      </c>
    </row>
    <row r="951" spans="1:25" ht="30" x14ac:dyDescent="0.25">
      <c r="A951" s="1344">
        <v>4</v>
      </c>
      <c r="B951" s="1344">
        <v>2</v>
      </c>
      <c r="C951" s="1346" t="s">
        <v>2688</v>
      </c>
      <c r="D951" s="1344"/>
      <c r="E951" s="1344"/>
      <c r="F951" s="1344"/>
      <c r="G951" s="1344"/>
      <c r="H951" s="1345" t="str">
        <f>'BID IV'!B9</f>
        <v>: (Ketahanan Pangan) Pelatihan Budidaya Jamur</v>
      </c>
      <c r="I951" s="1347">
        <f>SUM(I952:I961)</f>
        <v>12945000</v>
      </c>
      <c r="J951" s="1345" t="s">
        <v>2387</v>
      </c>
      <c r="K951" s="1796" t="s">
        <v>3030</v>
      </c>
      <c r="L951" s="1344"/>
      <c r="M951" s="1344"/>
      <c r="N951" s="1344"/>
      <c r="O951" s="1344"/>
      <c r="P951" s="1344"/>
      <c r="Q951" s="1344"/>
      <c r="R951" s="1344"/>
      <c r="S951" s="1344"/>
      <c r="T951" s="1344"/>
      <c r="U951" s="1344"/>
      <c r="V951" s="1344"/>
      <c r="W951" s="1344"/>
      <c r="X951" s="1353">
        <f t="shared" si="30"/>
        <v>0</v>
      </c>
      <c r="Y951" s="175">
        <f t="shared" si="31"/>
        <v>-12945000</v>
      </c>
    </row>
    <row r="952" spans="1:25" ht="30" x14ac:dyDescent="0.25">
      <c r="A952" s="32"/>
      <c r="B952" s="32"/>
      <c r="C952" s="32"/>
      <c r="D952" s="32">
        <v>5</v>
      </c>
      <c r="E952" s="32">
        <v>2</v>
      </c>
      <c r="F952" s="32"/>
      <c r="G952" s="32"/>
      <c r="H952" s="66" t="str">
        <f>'BID IV'!B14</f>
        <v>Belanja Barang Dan Jasa</v>
      </c>
      <c r="I952" s="32"/>
      <c r="J952" s="66"/>
      <c r="K952" s="1797" t="s">
        <v>3030</v>
      </c>
      <c r="L952" s="32"/>
      <c r="M952" s="32"/>
      <c r="N952" s="32"/>
      <c r="O952" s="32"/>
      <c r="P952" s="32"/>
      <c r="Q952" s="32"/>
      <c r="R952" s="32"/>
      <c r="S952" s="32"/>
      <c r="T952" s="32"/>
      <c r="U952" s="32"/>
      <c r="V952" s="32"/>
      <c r="W952" s="32"/>
      <c r="X952" s="1750">
        <f t="shared" si="30"/>
        <v>0</v>
      </c>
      <c r="Y952" s="175">
        <f t="shared" si="31"/>
        <v>0</v>
      </c>
    </row>
    <row r="953" spans="1:25" ht="30" x14ac:dyDescent="0.25">
      <c r="A953" s="32"/>
      <c r="B953" s="32"/>
      <c r="C953" s="32"/>
      <c r="D953" s="32"/>
      <c r="E953" s="32"/>
      <c r="F953" s="32">
        <v>1</v>
      </c>
      <c r="G953" s="32"/>
      <c r="H953" s="66" t="str">
        <f>'BID IV'!B15</f>
        <v>Belanja Barang Perlengkapan</v>
      </c>
      <c r="I953" s="32"/>
      <c r="J953" s="66"/>
      <c r="K953" s="1797" t="s">
        <v>3030</v>
      </c>
      <c r="L953" s="32"/>
      <c r="M953" s="32"/>
      <c r="N953" s="32"/>
      <c r="O953" s="32"/>
      <c r="P953" s="32"/>
      <c r="Q953" s="32"/>
      <c r="R953" s="32"/>
      <c r="S953" s="32"/>
      <c r="T953" s="32"/>
      <c r="U953" s="32"/>
      <c r="V953" s="32"/>
      <c r="W953" s="32"/>
      <c r="X953" s="1750">
        <f t="shared" si="30"/>
        <v>0</v>
      </c>
      <c r="Y953" s="175">
        <f t="shared" si="31"/>
        <v>0</v>
      </c>
    </row>
    <row r="954" spans="1:25" ht="30" x14ac:dyDescent="0.25">
      <c r="A954" s="32"/>
      <c r="B954" s="32"/>
      <c r="C954" s="32"/>
      <c r="D954" s="32"/>
      <c r="E954" s="32"/>
      <c r="F954" s="32"/>
      <c r="G954" s="1340" t="s">
        <v>2705</v>
      </c>
      <c r="H954" s="66" t="str">
        <f>'BID IV'!B16</f>
        <v>Belanja Perlengkapan Barang Konsumsi</v>
      </c>
      <c r="I954" s="174">
        <f>SUM('BID IV'!F17)</f>
        <v>900000</v>
      </c>
      <c r="J954" s="66" t="s">
        <v>2387</v>
      </c>
      <c r="K954" s="1797" t="s">
        <v>3030</v>
      </c>
      <c r="L954" s="32"/>
      <c r="M954" s="32"/>
      <c r="N954" s="32"/>
      <c r="O954" s="32"/>
      <c r="P954" s="32"/>
      <c r="Q954" s="32"/>
      <c r="R954" s="497">
        <v>900000</v>
      </c>
      <c r="S954" s="32"/>
      <c r="T954" s="32"/>
      <c r="U954" s="32"/>
      <c r="V954" s="32"/>
      <c r="W954" s="32"/>
      <c r="X954" s="1750">
        <f t="shared" si="30"/>
        <v>900000</v>
      </c>
      <c r="Y954" s="175">
        <f t="shared" si="31"/>
        <v>0</v>
      </c>
    </row>
    <row r="955" spans="1:25" ht="30" x14ac:dyDescent="0.25">
      <c r="A955" s="32"/>
      <c r="B955" s="32"/>
      <c r="C955" s="32"/>
      <c r="D955" s="32"/>
      <c r="E955" s="32"/>
      <c r="F955" s="32"/>
      <c r="G955" s="1340" t="s">
        <v>2707</v>
      </c>
      <c r="H955" s="66" t="str">
        <f>'BID IV'!B19</f>
        <v>Belanja Bendera/ Umbul-umbul/ Spanduk</v>
      </c>
      <c r="I955" s="174">
        <f>'BID IV'!F20</f>
        <v>90000</v>
      </c>
      <c r="J955" s="66" t="s">
        <v>2387</v>
      </c>
      <c r="K955" s="1797" t="s">
        <v>3030</v>
      </c>
      <c r="L955" s="32"/>
      <c r="M955" s="32"/>
      <c r="N955" s="32"/>
      <c r="O955" s="32"/>
      <c r="P955" s="32"/>
      <c r="Q955" s="32"/>
      <c r="R955" s="497">
        <v>90000</v>
      </c>
      <c r="S955" s="32"/>
      <c r="T955" s="32"/>
      <c r="U955" s="32"/>
      <c r="V955" s="32"/>
      <c r="W955" s="32"/>
      <c r="X955" s="1750">
        <f t="shared" si="30"/>
        <v>90000</v>
      </c>
      <c r="Y955" s="175">
        <f t="shared" si="31"/>
        <v>0</v>
      </c>
    </row>
    <row r="956" spans="1:25" ht="30" x14ac:dyDescent="0.25">
      <c r="A956" s="32"/>
      <c r="B956" s="32"/>
      <c r="C956" s="32"/>
      <c r="D956" s="32"/>
      <c r="E956" s="32"/>
      <c r="F956" s="32"/>
      <c r="G956" s="32">
        <v>90</v>
      </c>
      <c r="H956" s="66" t="str">
        <f>'BID IV'!B22</f>
        <v>Belanja Upakara, Upacara dan Aci</v>
      </c>
      <c r="I956" s="174">
        <f>SUM('BID IV'!F23:F25)</f>
        <v>75000</v>
      </c>
      <c r="J956" s="66" t="s">
        <v>2387</v>
      </c>
      <c r="K956" s="1797" t="s">
        <v>3030</v>
      </c>
      <c r="L956" s="32"/>
      <c r="M956" s="32"/>
      <c r="N956" s="32"/>
      <c r="O956" s="32"/>
      <c r="P956" s="32"/>
      <c r="Q956" s="32"/>
      <c r="R956" s="497">
        <v>75000</v>
      </c>
      <c r="S956" s="32"/>
      <c r="T956" s="32"/>
      <c r="U956" s="32"/>
      <c r="V956" s="32"/>
      <c r="W956" s="32"/>
      <c r="X956" s="1750">
        <f t="shared" si="30"/>
        <v>75000</v>
      </c>
      <c r="Y956" s="175">
        <f t="shared" si="31"/>
        <v>0</v>
      </c>
    </row>
    <row r="957" spans="1:25" ht="30" x14ac:dyDescent="0.25">
      <c r="A957" s="32"/>
      <c r="B957" s="32"/>
      <c r="C957" s="32"/>
      <c r="D957" s="32">
        <v>5</v>
      </c>
      <c r="E957" s="32">
        <v>2</v>
      </c>
      <c r="F957" s="32">
        <v>2</v>
      </c>
      <c r="G957" s="32"/>
      <c r="H957" s="66" t="str">
        <f>'BID IV'!B27</f>
        <v>Belanja Jasa Honorarium</v>
      </c>
      <c r="I957" s="32"/>
      <c r="J957" s="66"/>
      <c r="K957" s="1797" t="s">
        <v>3030</v>
      </c>
      <c r="L957" s="32"/>
      <c r="M957" s="32"/>
      <c r="N957" s="32"/>
      <c r="O957" s="32"/>
      <c r="P957" s="32"/>
      <c r="Q957" s="32"/>
      <c r="R957" s="497"/>
      <c r="S957" s="32"/>
      <c r="T957" s="32"/>
      <c r="U957" s="32"/>
      <c r="V957" s="32"/>
      <c r="W957" s="32"/>
      <c r="X957" s="1750">
        <f t="shared" si="30"/>
        <v>0</v>
      </c>
      <c r="Y957" s="175">
        <f t="shared" si="31"/>
        <v>0</v>
      </c>
    </row>
    <row r="958" spans="1:25" ht="45" x14ac:dyDescent="0.25">
      <c r="A958" s="32"/>
      <c r="B958" s="32"/>
      <c r="C958" s="32"/>
      <c r="D958" s="32"/>
      <c r="E958" s="32"/>
      <c r="F958" s="32"/>
      <c r="G958" s="1340" t="s">
        <v>2688</v>
      </c>
      <c r="H958" s="66" t="str">
        <f>'BID IV'!B28</f>
        <v>Belanja Jasa Honorarium Tim Yang Melaksanakan Kegiatan</v>
      </c>
      <c r="I958" s="174">
        <f>'BID IV'!F29+'BID IV'!F30+'BID IV'!F31</f>
        <v>1150000</v>
      </c>
      <c r="J958" s="66" t="s">
        <v>2387</v>
      </c>
      <c r="K958" s="1797" t="s">
        <v>3030</v>
      </c>
      <c r="L958" s="32"/>
      <c r="M958" s="32"/>
      <c r="N958" s="32"/>
      <c r="O958" s="32"/>
      <c r="P958" s="32"/>
      <c r="Q958" s="32"/>
      <c r="R958" s="497">
        <v>1150000</v>
      </c>
      <c r="S958" s="32"/>
      <c r="T958" s="32"/>
      <c r="U958" s="32"/>
      <c r="V958" s="32"/>
      <c r="W958" s="32"/>
      <c r="X958" s="1750">
        <f t="shared" si="30"/>
        <v>1150000</v>
      </c>
      <c r="Y958" s="175">
        <f t="shared" si="31"/>
        <v>0</v>
      </c>
    </row>
    <row r="959" spans="1:25" ht="45" x14ac:dyDescent="0.25">
      <c r="A959" s="32"/>
      <c r="B959" s="32"/>
      <c r="C959" s="32"/>
      <c r="D959" s="32"/>
      <c r="E959" s="32"/>
      <c r="F959" s="32"/>
      <c r="G959" s="1340" t="s">
        <v>2704</v>
      </c>
      <c r="H959" s="66" t="str">
        <f>'BID IV'!B33</f>
        <v>Belanja Jasa Honorarium Ahli/Profesi/Konsultan/Narasumber</v>
      </c>
      <c r="I959" s="174">
        <f>'BID IV'!F34</f>
        <v>1200000</v>
      </c>
      <c r="J959" s="66" t="s">
        <v>2387</v>
      </c>
      <c r="K959" s="1797" t="s">
        <v>3030</v>
      </c>
      <c r="L959" s="32"/>
      <c r="M959" s="32"/>
      <c r="N959" s="32"/>
      <c r="O959" s="32"/>
      <c r="P959" s="32"/>
      <c r="Q959" s="32"/>
      <c r="R959" s="497">
        <v>1200000</v>
      </c>
      <c r="S959" s="32"/>
      <c r="T959" s="32"/>
      <c r="U959" s="32"/>
      <c r="V959" s="32"/>
      <c r="W959" s="32"/>
      <c r="X959" s="1750">
        <f t="shared" si="30"/>
        <v>1200000</v>
      </c>
      <c r="Y959" s="175">
        <f t="shared" si="31"/>
        <v>0</v>
      </c>
    </row>
    <row r="960" spans="1:25" ht="45" x14ac:dyDescent="0.25">
      <c r="A960" s="32"/>
      <c r="B960" s="32"/>
      <c r="C960" s="32"/>
      <c r="D960" s="32">
        <v>5</v>
      </c>
      <c r="E960" s="32">
        <v>2</v>
      </c>
      <c r="F960" s="32">
        <v>7</v>
      </c>
      <c r="G960" s="32"/>
      <c r="H960" s="66" t="str">
        <f>'BID IV'!B36</f>
        <v>Belanja Barang Dan jasa Yang Diserahkan Kepada Masyarakat</v>
      </c>
      <c r="I960" s="32"/>
      <c r="J960" s="66"/>
      <c r="K960" s="1797" t="s">
        <v>3030</v>
      </c>
      <c r="L960" s="32"/>
      <c r="M960" s="32"/>
      <c r="N960" s="32"/>
      <c r="O960" s="32"/>
      <c r="P960" s="32"/>
      <c r="Q960" s="32"/>
      <c r="R960" s="497"/>
      <c r="S960" s="32"/>
      <c r="T960" s="32"/>
      <c r="U960" s="32"/>
      <c r="V960" s="32"/>
      <c r="W960" s="32"/>
      <c r="X960" s="1750">
        <f t="shared" si="30"/>
        <v>0</v>
      </c>
      <c r="Y960" s="175">
        <f t="shared" si="31"/>
        <v>0</v>
      </c>
    </row>
    <row r="961" spans="1:25" ht="60" x14ac:dyDescent="0.25">
      <c r="A961" s="32"/>
      <c r="B961" s="32"/>
      <c r="C961" s="32"/>
      <c r="D961" s="32"/>
      <c r="E961" s="32"/>
      <c r="F961" s="32"/>
      <c r="G961" s="1340" t="s">
        <v>2688</v>
      </c>
      <c r="H961" s="66" t="str">
        <f>'BID IV'!B37</f>
        <v>Belanja Bahan Perlengkapan Yang Diserahkan Ke Masyarakat</v>
      </c>
      <c r="I961" s="174">
        <f>SUM('BID IV'!F38:F39)</f>
        <v>9530000</v>
      </c>
      <c r="J961" s="66" t="s">
        <v>2387</v>
      </c>
      <c r="K961" s="1797" t="s">
        <v>3030</v>
      </c>
      <c r="L961" s="32"/>
      <c r="M961" s="32"/>
      <c r="N961" s="32"/>
      <c r="O961" s="32"/>
      <c r="P961" s="32"/>
      <c r="Q961" s="32"/>
      <c r="R961" s="497">
        <v>9530000</v>
      </c>
      <c r="S961" s="32"/>
      <c r="T961" s="32"/>
      <c r="U961" s="32"/>
      <c r="V961" s="32"/>
      <c r="W961" s="32"/>
      <c r="X961" s="1750">
        <f t="shared" si="30"/>
        <v>9530000</v>
      </c>
      <c r="Y961" s="175">
        <f t="shared" si="31"/>
        <v>0</v>
      </c>
    </row>
    <row r="962" spans="1:25" ht="60" x14ac:dyDescent="0.25">
      <c r="A962" s="1344">
        <v>4</v>
      </c>
      <c r="B962" s="1344">
        <v>2</v>
      </c>
      <c r="C962" s="1346" t="s">
        <v>2688</v>
      </c>
      <c r="D962" s="1344"/>
      <c r="E962" s="1344"/>
      <c r="F962" s="1344"/>
      <c r="G962" s="1344"/>
      <c r="H962" s="1345" t="str">
        <f>'BID IV'!B56</f>
        <v>: Ketahanan Pangan ( Holti Kultural Budidaya Bawang Merah Dari Benih)</v>
      </c>
      <c r="I962" s="1347">
        <f>SUM(I963:I972)</f>
        <v>50037000</v>
      </c>
      <c r="J962" s="1345" t="s">
        <v>2387</v>
      </c>
      <c r="K962" s="1796" t="s">
        <v>3030</v>
      </c>
      <c r="L962" s="1344"/>
      <c r="M962" s="1344"/>
      <c r="N962" s="1344"/>
      <c r="O962" s="1344"/>
      <c r="P962" s="1344"/>
      <c r="Q962" s="1344"/>
      <c r="R962" s="1344"/>
      <c r="S962" s="1344"/>
      <c r="T962" s="1344"/>
      <c r="U962" s="1344"/>
      <c r="V962" s="1344"/>
      <c r="W962" s="1344"/>
      <c r="X962" s="1353">
        <f t="shared" si="30"/>
        <v>0</v>
      </c>
      <c r="Y962" s="175">
        <f t="shared" si="31"/>
        <v>-50037000</v>
      </c>
    </row>
    <row r="963" spans="1:25" ht="30" x14ac:dyDescent="0.25">
      <c r="A963" s="32"/>
      <c r="B963" s="32"/>
      <c r="C963" s="32"/>
      <c r="D963" s="32">
        <v>5</v>
      </c>
      <c r="E963" s="32">
        <v>2</v>
      </c>
      <c r="F963" s="32"/>
      <c r="G963" s="32"/>
      <c r="H963" s="66" t="str">
        <f>'BID IV'!B61</f>
        <v>Belanja Barang Dan Jasa</v>
      </c>
      <c r="I963" s="32"/>
      <c r="J963" s="66"/>
      <c r="K963" s="1797" t="s">
        <v>3030</v>
      </c>
      <c r="L963" s="32"/>
      <c r="M963" s="32"/>
      <c r="N963" s="32"/>
      <c r="O963" s="32"/>
      <c r="P963" s="32"/>
      <c r="Q963" s="32"/>
      <c r="R963" s="32"/>
      <c r="S963" s="32"/>
      <c r="T963" s="32"/>
      <c r="U963" s="32"/>
      <c r="V963" s="32"/>
      <c r="W963" s="32"/>
      <c r="X963" s="1750">
        <f t="shared" si="30"/>
        <v>0</v>
      </c>
      <c r="Y963" s="175">
        <f t="shared" si="31"/>
        <v>0</v>
      </c>
    </row>
    <row r="964" spans="1:25" ht="30" x14ac:dyDescent="0.25">
      <c r="A964" s="32"/>
      <c r="B964" s="32"/>
      <c r="C964" s="32"/>
      <c r="D964" s="32"/>
      <c r="E964" s="32"/>
      <c r="F964" s="32">
        <v>1</v>
      </c>
      <c r="G964" s="32"/>
      <c r="H964" s="66" t="str">
        <f>'BID IV'!B62</f>
        <v>Belanja Barang Perlengkapan</v>
      </c>
      <c r="I964" s="32"/>
      <c r="J964" s="66"/>
      <c r="K964" s="1797" t="s">
        <v>3030</v>
      </c>
      <c r="L964" s="32"/>
      <c r="M964" s="32"/>
      <c r="N964" s="32"/>
      <c r="O964" s="32"/>
      <c r="P964" s="32"/>
      <c r="Q964" s="32"/>
      <c r="R964" s="32"/>
      <c r="S964" s="32"/>
      <c r="T964" s="32"/>
      <c r="U964" s="32"/>
      <c r="V964" s="32"/>
      <c r="W964" s="32"/>
      <c r="X964" s="1750">
        <f t="shared" si="30"/>
        <v>0</v>
      </c>
      <c r="Y964" s="175">
        <f t="shared" si="31"/>
        <v>0</v>
      </c>
    </row>
    <row r="965" spans="1:25" ht="30" x14ac:dyDescent="0.25">
      <c r="A965" s="32"/>
      <c r="B965" s="32"/>
      <c r="C965" s="32"/>
      <c r="D965" s="32"/>
      <c r="E965" s="32"/>
      <c r="F965" s="32"/>
      <c r="G965" s="1340" t="s">
        <v>2705</v>
      </c>
      <c r="H965" s="66" t="str">
        <f>'BID IV'!B63</f>
        <v>Belanja Perlengkapan Barang Konsumsi</v>
      </c>
      <c r="I965" s="174">
        <f>SUM('BID IV'!F64)</f>
        <v>900000</v>
      </c>
      <c r="J965" s="66" t="s">
        <v>2387</v>
      </c>
      <c r="K965" s="1797" t="s">
        <v>3030</v>
      </c>
      <c r="L965" s="32"/>
      <c r="M965" s="32"/>
      <c r="N965" s="32"/>
      <c r="O965" s="32"/>
      <c r="P965" s="32"/>
      <c r="Q965" s="32"/>
      <c r="R965" s="497">
        <v>900000</v>
      </c>
      <c r="S965" s="32"/>
      <c r="T965" s="32"/>
      <c r="U965" s="32"/>
      <c r="V965" s="32"/>
      <c r="W965" s="32"/>
      <c r="X965" s="1750">
        <f t="shared" si="30"/>
        <v>900000</v>
      </c>
      <c r="Y965" s="175">
        <f t="shared" si="31"/>
        <v>0</v>
      </c>
    </row>
    <row r="966" spans="1:25" ht="30" x14ac:dyDescent="0.25">
      <c r="A966" s="32"/>
      <c r="B966" s="32"/>
      <c r="C966" s="32"/>
      <c r="D966" s="32"/>
      <c r="E966" s="32"/>
      <c r="F966" s="32"/>
      <c r="G966" s="1340" t="s">
        <v>2707</v>
      </c>
      <c r="H966" s="66" t="str">
        <f>'BID IV'!B66</f>
        <v>Belanja Bendera/ Umbul-umbul/ Spanduk</v>
      </c>
      <c r="I966" s="174">
        <f>'BID IV'!F67</f>
        <v>90000</v>
      </c>
      <c r="J966" s="66" t="s">
        <v>2387</v>
      </c>
      <c r="K966" s="1797" t="s">
        <v>3030</v>
      </c>
      <c r="L966" s="32"/>
      <c r="M966" s="32"/>
      <c r="N966" s="32"/>
      <c r="O966" s="32"/>
      <c r="P966" s="32"/>
      <c r="Q966" s="32"/>
      <c r="R966" s="497">
        <v>90000</v>
      </c>
      <c r="S966" s="32"/>
      <c r="T966" s="32"/>
      <c r="U966" s="32"/>
      <c r="V966" s="32"/>
      <c r="W966" s="32"/>
      <c r="X966" s="1750">
        <f t="shared" si="30"/>
        <v>90000</v>
      </c>
      <c r="Y966" s="175">
        <f t="shared" si="31"/>
        <v>0</v>
      </c>
    </row>
    <row r="967" spans="1:25" ht="30" x14ac:dyDescent="0.25">
      <c r="A967" s="32"/>
      <c r="B967" s="32"/>
      <c r="C967" s="32"/>
      <c r="D967" s="32"/>
      <c r="E967" s="32"/>
      <c r="F967" s="32"/>
      <c r="G967" s="32">
        <v>90</v>
      </c>
      <c r="H967" s="66" t="str">
        <f>'BID IV'!B69</f>
        <v>Belanja Upakara, Upacara dan Aci</v>
      </c>
      <c r="I967" s="174">
        <f>SUM('BID IV'!F70:F72)</f>
        <v>75000</v>
      </c>
      <c r="J967" s="66" t="s">
        <v>2387</v>
      </c>
      <c r="K967" s="1797" t="s">
        <v>3030</v>
      </c>
      <c r="L967" s="32"/>
      <c r="M967" s="32"/>
      <c r="N967" s="32"/>
      <c r="O967" s="32"/>
      <c r="P967" s="32"/>
      <c r="Q967" s="32"/>
      <c r="R967" s="497">
        <v>75000</v>
      </c>
      <c r="S967" s="32"/>
      <c r="T967" s="32"/>
      <c r="U967" s="32"/>
      <c r="V967" s="32"/>
      <c r="W967" s="32"/>
      <c r="X967" s="1750">
        <f t="shared" si="30"/>
        <v>75000</v>
      </c>
      <c r="Y967" s="175">
        <f t="shared" si="31"/>
        <v>0</v>
      </c>
    </row>
    <row r="968" spans="1:25" ht="30" x14ac:dyDescent="0.25">
      <c r="A968" s="32"/>
      <c r="B968" s="32"/>
      <c r="C968" s="32"/>
      <c r="D968" s="32">
        <v>5</v>
      </c>
      <c r="E968" s="32">
        <v>2</v>
      </c>
      <c r="F968" s="32">
        <v>2</v>
      </c>
      <c r="G968" s="32"/>
      <c r="H968" s="66" t="str">
        <f>'BID IV'!B74</f>
        <v>Belanja Jasa Honorarium</v>
      </c>
      <c r="I968" s="32"/>
      <c r="J968" s="66"/>
      <c r="K968" s="1797" t="s">
        <v>3030</v>
      </c>
      <c r="L968" s="32"/>
      <c r="M968" s="32"/>
      <c r="N968" s="32"/>
      <c r="O968" s="32"/>
      <c r="P968" s="32"/>
      <c r="Q968" s="32"/>
      <c r="R968" s="497"/>
      <c r="S968" s="32"/>
      <c r="T968" s="32"/>
      <c r="U968" s="32"/>
      <c r="V968" s="32"/>
      <c r="W968" s="32"/>
      <c r="X968" s="1750">
        <f t="shared" si="30"/>
        <v>0</v>
      </c>
      <c r="Y968" s="175">
        <f t="shared" si="31"/>
        <v>0</v>
      </c>
    </row>
    <row r="969" spans="1:25" ht="45" x14ac:dyDescent="0.25">
      <c r="A969" s="32"/>
      <c r="B969" s="32"/>
      <c r="C969" s="32"/>
      <c r="D969" s="32"/>
      <c r="E969" s="32"/>
      <c r="F969" s="32"/>
      <c r="G969" s="1340" t="s">
        <v>2688</v>
      </c>
      <c r="H969" s="66" t="str">
        <f>'BID IV'!B75</f>
        <v>Belanja Jasa Honorarium Tim Yang Melaksanakan Kegiatan</v>
      </c>
      <c r="I969" s="174">
        <f>SUM('BID IV'!F76:F78)</f>
        <v>1150000</v>
      </c>
      <c r="J969" s="66" t="s">
        <v>2387</v>
      </c>
      <c r="K969" s="1797" t="s">
        <v>3030</v>
      </c>
      <c r="L969" s="32"/>
      <c r="M969" s="32"/>
      <c r="N969" s="32"/>
      <c r="O969" s="32"/>
      <c r="P969" s="32"/>
      <c r="Q969" s="32"/>
      <c r="R969" s="497">
        <v>1150000</v>
      </c>
      <c r="S969" s="32"/>
      <c r="T969" s="32"/>
      <c r="U969" s="32"/>
      <c r="V969" s="32"/>
      <c r="W969" s="32"/>
      <c r="X969" s="1750">
        <f t="shared" si="30"/>
        <v>1150000</v>
      </c>
      <c r="Y969" s="175">
        <f t="shared" si="31"/>
        <v>0</v>
      </c>
    </row>
    <row r="970" spans="1:25" ht="45" x14ac:dyDescent="0.25">
      <c r="A970" s="32"/>
      <c r="B970" s="32"/>
      <c r="C970" s="32"/>
      <c r="D970" s="32"/>
      <c r="E970" s="32"/>
      <c r="F970" s="32"/>
      <c r="G970" s="1340" t="s">
        <v>2704</v>
      </c>
      <c r="H970" s="66" t="str">
        <f>'BID IV'!B80</f>
        <v>Belanja Jasa Honorarium Ahli/Profesi/Konsultan/Narasumber</v>
      </c>
      <c r="I970" s="174">
        <f>'BID IV'!F81</f>
        <v>1200000</v>
      </c>
      <c r="J970" s="66" t="s">
        <v>2387</v>
      </c>
      <c r="K970" s="1797" t="s">
        <v>3030</v>
      </c>
      <c r="L970" s="32"/>
      <c r="M970" s="32"/>
      <c r="N970" s="32"/>
      <c r="O970" s="32"/>
      <c r="P970" s="32"/>
      <c r="Q970" s="32"/>
      <c r="R970" s="497">
        <v>1200000</v>
      </c>
      <c r="S970" s="32"/>
      <c r="T970" s="32"/>
      <c r="U970" s="32"/>
      <c r="V970" s="32"/>
      <c r="W970" s="32"/>
      <c r="X970" s="1750">
        <f t="shared" si="30"/>
        <v>1200000</v>
      </c>
      <c r="Y970" s="175">
        <f t="shared" si="31"/>
        <v>0</v>
      </c>
    </row>
    <row r="971" spans="1:25" ht="45" x14ac:dyDescent="0.25">
      <c r="A971" s="32"/>
      <c r="B971" s="32"/>
      <c r="C971" s="32"/>
      <c r="D971" s="32">
        <v>5</v>
      </c>
      <c r="E971" s="32">
        <v>2</v>
      </c>
      <c r="F971" s="32">
        <v>7</v>
      </c>
      <c r="G971" s="32"/>
      <c r="H971" s="66" t="str">
        <f>'BID IV'!B83</f>
        <v>Belanja Barang Dan jasa Yang Diserahkan Kepada Masyarakat</v>
      </c>
      <c r="I971" s="32"/>
      <c r="J971" s="66"/>
      <c r="K971" s="1797" t="s">
        <v>3030</v>
      </c>
      <c r="L971" s="32"/>
      <c r="M971" s="32"/>
      <c r="N971" s="32"/>
      <c r="O971" s="32"/>
      <c r="P971" s="32"/>
      <c r="Q971" s="32"/>
      <c r="R971" s="497"/>
      <c r="S971" s="32"/>
      <c r="T971" s="32"/>
      <c r="U971" s="32"/>
      <c r="V971" s="32"/>
      <c r="W971" s="32"/>
      <c r="X971" s="1750">
        <f t="shared" si="30"/>
        <v>0</v>
      </c>
      <c r="Y971" s="175">
        <f t="shared" si="31"/>
        <v>0</v>
      </c>
    </row>
    <row r="972" spans="1:25" ht="60" x14ac:dyDescent="0.25">
      <c r="A972" s="32"/>
      <c r="B972" s="32"/>
      <c r="C972" s="32"/>
      <c r="D972" s="32"/>
      <c r="E972" s="32"/>
      <c r="F972" s="32"/>
      <c r="G972" s="1340" t="s">
        <v>2688</v>
      </c>
      <c r="H972" s="66" t="str">
        <f>'BID IV'!B84</f>
        <v>Belanja Bahan Perlengkapan Yang Diserahkan Ke Masyarakat</v>
      </c>
      <c r="I972" s="174">
        <f>SUM('BID IV'!F86:F101)</f>
        <v>46622000</v>
      </c>
      <c r="J972" s="66" t="s">
        <v>2387</v>
      </c>
      <c r="K972" s="1797" t="s">
        <v>3030</v>
      </c>
      <c r="L972" s="32"/>
      <c r="M972" s="32"/>
      <c r="N972" s="32"/>
      <c r="O972" s="32"/>
      <c r="P972" s="32"/>
      <c r="Q972" s="32"/>
      <c r="R972" s="497">
        <v>46622000</v>
      </c>
      <c r="S972" s="32"/>
      <c r="T972" s="32"/>
      <c r="U972" s="32"/>
      <c r="V972" s="32"/>
      <c r="W972" s="32"/>
      <c r="X972" s="1750">
        <f t="shared" si="30"/>
        <v>46622000</v>
      </c>
      <c r="Y972" s="175">
        <f t="shared" si="31"/>
        <v>0</v>
      </c>
    </row>
    <row r="973" spans="1:25" ht="75" x14ac:dyDescent="0.25">
      <c r="A973" s="1344">
        <v>4</v>
      </c>
      <c r="B973" s="1344">
        <v>2</v>
      </c>
      <c r="C973" s="1346" t="s">
        <v>2703</v>
      </c>
      <c r="D973" s="1344"/>
      <c r="E973" s="1344"/>
      <c r="F973" s="1344"/>
      <c r="G973" s="1344"/>
      <c r="H973" s="1345" t="str">
        <f>'BID IV'!B117</f>
        <v>: Penguatan Ketahanan Pangan Tingkat Desa ( Peningkatan ketersediaan Bibit/benih tanaman pangan)</v>
      </c>
      <c r="I973" s="1347">
        <f>SUM(I974:I980)</f>
        <v>23430000</v>
      </c>
      <c r="J973" s="1345" t="s">
        <v>2387</v>
      </c>
      <c r="K973" s="1796" t="s">
        <v>3030</v>
      </c>
      <c r="L973" s="1344"/>
      <c r="M973" s="1344"/>
      <c r="N973" s="1344"/>
      <c r="O973" s="1344"/>
      <c r="P973" s="1344"/>
      <c r="Q973" s="1344"/>
      <c r="R973" s="1344"/>
      <c r="S973" s="1344"/>
      <c r="T973" s="1344"/>
      <c r="U973" s="1344"/>
      <c r="V973" s="1344"/>
      <c r="W973" s="1344"/>
      <c r="X973" s="1353">
        <f t="shared" si="30"/>
        <v>0</v>
      </c>
      <c r="Y973" s="175">
        <f t="shared" si="31"/>
        <v>-23430000</v>
      </c>
    </row>
    <row r="974" spans="1:25" ht="30" x14ac:dyDescent="0.25">
      <c r="A974" s="32"/>
      <c r="B974" s="32"/>
      <c r="C974" s="32"/>
      <c r="D974" s="32">
        <v>5</v>
      </c>
      <c r="E974" s="32">
        <v>2</v>
      </c>
      <c r="F974" s="32"/>
      <c r="G974" s="32"/>
      <c r="H974" s="66" t="str">
        <f>'BID IV'!B124</f>
        <v>Belanja Barang Dan Jasa</v>
      </c>
      <c r="I974" s="32"/>
      <c r="J974" s="66"/>
      <c r="K974" s="1797" t="s">
        <v>3030</v>
      </c>
      <c r="L974" s="32"/>
      <c r="M974" s="32"/>
      <c r="N974" s="32"/>
      <c r="O974" s="32"/>
      <c r="P974" s="32"/>
      <c r="Q974" s="32"/>
      <c r="R974" s="32"/>
      <c r="S974" s="32"/>
      <c r="T974" s="32"/>
      <c r="U974" s="32"/>
      <c r="V974" s="32"/>
      <c r="W974" s="32"/>
      <c r="X974" s="1750">
        <f t="shared" si="30"/>
        <v>0</v>
      </c>
      <c r="Y974" s="175">
        <f t="shared" si="31"/>
        <v>0</v>
      </c>
    </row>
    <row r="975" spans="1:25" ht="30" x14ac:dyDescent="0.25">
      <c r="A975" s="32"/>
      <c r="B975" s="32"/>
      <c r="C975" s="32"/>
      <c r="D975" s="32"/>
      <c r="E975" s="32"/>
      <c r="F975" s="32">
        <v>1</v>
      </c>
      <c r="G975" s="32"/>
      <c r="H975" s="66" t="str">
        <f>'BID IV'!B125</f>
        <v>Belanja Barang Perlengkapan</v>
      </c>
      <c r="I975" s="32"/>
      <c r="J975" s="66"/>
      <c r="K975" s="1797" t="s">
        <v>3030</v>
      </c>
      <c r="L975" s="32"/>
      <c r="M975" s="32"/>
      <c r="N975" s="32"/>
      <c r="O975" s="32"/>
      <c r="P975" s="32"/>
      <c r="Q975" s="32"/>
      <c r="R975" s="32"/>
      <c r="S975" s="32"/>
      <c r="T975" s="32"/>
      <c r="U975" s="32"/>
      <c r="V975" s="32"/>
      <c r="W975" s="32"/>
      <c r="X975" s="1750">
        <f t="shared" si="30"/>
        <v>0</v>
      </c>
      <c r="Y975" s="175">
        <f t="shared" si="31"/>
        <v>0</v>
      </c>
    </row>
    <row r="976" spans="1:25" ht="30" x14ac:dyDescent="0.25">
      <c r="A976" s="32"/>
      <c r="B976" s="32"/>
      <c r="C976" s="32"/>
      <c r="D976" s="32"/>
      <c r="E976" s="32"/>
      <c r="F976" s="32"/>
      <c r="G976" s="1340" t="s">
        <v>2705</v>
      </c>
      <c r="H976" s="66" t="str">
        <f>'BID IV'!B126</f>
        <v>Belanja Perlengkapan Barang Konsumsi</v>
      </c>
      <c r="I976" s="174">
        <f>SUM('BID IV'!F127)</f>
        <v>525000</v>
      </c>
      <c r="J976" s="66" t="s">
        <v>2387</v>
      </c>
      <c r="K976" s="1797" t="s">
        <v>3030</v>
      </c>
      <c r="L976" s="32"/>
      <c r="M976" s="32"/>
      <c r="N976" s="32"/>
      <c r="O976" s="32"/>
      <c r="P976" s="32"/>
      <c r="Q976" s="32"/>
      <c r="R976" s="497">
        <v>525000</v>
      </c>
      <c r="S976" s="32"/>
      <c r="T976" s="32"/>
      <c r="U976" s="32"/>
      <c r="V976" s="32"/>
      <c r="W976" s="32"/>
      <c r="X976" s="1750">
        <f t="shared" si="30"/>
        <v>525000</v>
      </c>
      <c r="Y976" s="175">
        <f t="shared" si="31"/>
        <v>0</v>
      </c>
    </row>
    <row r="977" spans="1:25" ht="30" x14ac:dyDescent="0.25">
      <c r="A977" s="32"/>
      <c r="B977" s="32"/>
      <c r="C977" s="32"/>
      <c r="D977" s="32"/>
      <c r="E977" s="32"/>
      <c r="F977" s="32"/>
      <c r="G977" s="1340" t="s">
        <v>2707</v>
      </c>
      <c r="H977" s="66" t="str">
        <f>'BID IV'!B129</f>
        <v>Belanja Bendera/ Umbul-umbul/ Spanduk</v>
      </c>
      <c r="I977" s="174">
        <f>'BID IV'!F130</f>
        <v>90000</v>
      </c>
      <c r="J977" s="66" t="s">
        <v>2387</v>
      </c>
      <c r="K977" s="1797" t="s">
        <v>3030</v>
      </c>
      <c r="L977" s="32"/>
      <c r="M977" s="32"/>
      <c r="N977" s="32"/>
      <c r="O977" s="32"/>
      <c r="P977" s="32"/>
      <c r="Q977" s="32"/>
      <c r="R977" s="497">
        <v>90000</v>
      </c>
      <c r="S977" s="32"/>
      <c r="T977" s="32"/>
      <c r="U977" s="32"/>
      <c r="V977" s="32"/>
      <c r="W977" s="32"/>
      <c r="X977" s="1750">
        <f t="shared" si="30"/>
        <v>90000</v>
      </c>
      <c r="Y977" s="175">
        <f t="shared" si="31"/>
        <v>0</v>
      </c>
    </row>
    <row r="978" spans="1:25" ht="30" x14ac:dyDescent="0.25">
      <c r="A978" s="32"/>
      <c r="B978" s="32"/>
      <c r="C978" s="32"/>
      <c r="D978" s="32"/>
      <c r="E978" s="32"/>
      <c r="F978" s="32"/>
      <c r="G978" s="1340" t="s">
        <v>2708</v>
      </c>
      <c r="H978" s="66" t="str">
        <f>'BID IV'!B132</f>
        <v>Belanja Bahan/Material</v>
      </c>
      <c r="I978" s="174">
        <f>SUM('BID IV'!F133:F135)</f>
        <v>65000</v>
      </c>
      <c r="J978" s="66" t="s">
        <v>2387</v>
      </c>
      <c r="K978" s="1797" t="s">
        <v>3030</v>
      </c>
      <c r="L978" s="32"/>
      <c r="M978" s="32"/>
      <c r="N978" s="32"/>
      <c r="O978" s="32"/>
      <c r="P978" s="32"/>
      <c r="Q978" s="32"/>
      <c r="R978" s="497">
        <v>65000</v>
      </c>
      <c r="S978" s="32"/>
      <c r="T978" s="32"/>
      <c r="U978" s="32"/>
      <c r="V978" s="32"/>
      <c r="W978" s="32"/>
      <c r="X978" s="1750">
        <f t="shared" si="30"/>
        <v>65000</v>
      </c>
      <c r="Y978" s="175">
        <f t="shared" si="31"/>
        <v>0</v>
      </c>
    </row>
    <row r="979" spans="1:25" ht="45" x14ac:dyDescent="0.25">
      <c r="A979" s="32"/>
      <c r="B979" s="32"/>
      <c r="C979" s="32"/>
      <c r="D979" s="32">
        <v>5</v>
      </c>
      <c r="E979" s="32">
        <v>2</v>
      </c>
      <c r="F979" s="32">
        <v>7</v>
      </c>
      <c r="G979" s="32"/>
      <c r="H979" s="66" t="str">
        <f>'BID IV'!B138</f>
        <v>Belanja Barang Perlengkapan diserahkan Kepada Masyarakat</v>
      </c>
      <c r="I979" s="32"/>
      <c r="J979" s="66"/>
      <c r="K979" s="1797" t="s">
        <v>3030</v>
      </c>
      <c r="L979" s="32"/>
      <c r="M979" s="32"/>
      <c r="N979" s="32"/>
      <c r="O979" s="32"/>
      <c r="P979" s="32"/>
      <c r="Q979" s="32"/>
      <c r="R979" s="497"/>
      <c r="S979" s="32"/>
      <c r="T979" s="32"/>
      <c r="U979" s="32"/>
      <c r="V979" s="32"/>
      <c r="W979" s="32"/>
      <c r="X979" s="1750">
        <f t="shared" si="30"/>
        <v>0</v>
      </c>
      <c r="Y979" s="175">
        <f t="shared" si="31"/>
        <v>0</v>
      </c>
    </row>
    <row r="980" spans="1:25" ht="60" x14ac:dyDescent="0.25">
      <c r="A980" s="32"/>
      <c r="B980" s="32"/>
      <c r="C980" s="32"/>
      <c r="D980" s="32"/>
      <c r="E980" s="32"/>
      <c r="F980" s="32"/>
      <c r="G980" s="1340" t="s">
        <v>2688</v>
      </c>
      <c r="H980" s="66" t="str">
        <f>'BID IV'!B139</f>
        <v>Belanja Bahan Perlengkapan Yang Diserahkan Ke Masyarakat</v>
      </c>
      <c r="I980" s="174">
        <f>SUM('BID IV'!F140:F145)</f>
        <v>22750000</v>
      </c>
      <c r="J980" s="66" t="s">
        <v>2387</v>
      </c>
      <c r="K980" s="1797" t="s">
        <v>3030</v>
      </c>
      <c r="L980" s="32"/>
      <c r="M980" s="32"/>
      <c r="N980" s="32"/>
      <c r="O980" s="32"/>
      <c r="P980" s="32"/>
      <c r="Q980" s="32"/>
      <c r="R980" s="497">
        <v>22750000</v>
      </c>
      <c r="S980" s="32"/>
      <c r="T980" s="32"/>
      <c r="U980" s="32"/>
      <c r="V980" s="32"/>
      <c r="W980" s="32"/>
      <c r="X980" s="1750">
        <f t="shared" si="30"/>
        <v>22750000</v>
      </c>
      <c r="Y980" s="175">
        <f t="shared" si="31"/>
        <v>0</v>
      </c>
    </row>
    <row r="981" spans="1:25" ht="60" x14ac:dyDescent="0.25">
      <c r="A981" s="1344">
        <v>4</v>
      </c>
      <c r="B981" s="1344">
        <v>3</v>
      </c>
      <c r="C981" s="1346" t="s">
        <v>2702</v>
      </c>
      <c r="D981" s="1344"/>
      <c r="E981" s="1344"/>
      <c r="F981" s="1344"/>
      <c r="G981" s="1344"/>
      <c r="H981" s="1345" t="str">
        <f>'BID IV'!B187</f>
        <v>: Pelatihan Tim Verifikasi dan penyusunan RKP ( Pelatihan Penysunan RKPDes)</v>
      </c>
      <c r="I981" s="1347">
        <f>SUM(I982:I988)</f>
        <v>1235000</v>
      </c>
      <c r="J981" s="1345" t="s">
        <v>1682</v>
      </c>
      <c r="K981" s="1344" t="s">
        <v>2994</v>
      </c>
      <c r="L981" s="1344"/>
      <c r="M981" s="1344"/>
      <c r="N981" s="1344"/>
      <c r="O981" s="1344"/>
      <c r="P981" s="1344"/>
      <c r="Q981" s="1344"/>
      <c r="R981" s="1344"/>
      <c r="S981" s="1344"/>
      <c r="T981" s="1344"/>
      <c r="U981" s="1344"/>
      <c r="V981" s="1344"/>
      <c r="W981" s="1344"/>
      <c r="X981" s="1353">
        <f t="shared" si="30"/>
        <v>0</v>
      </c>
      <c r="Y981" s="175">
        <f t="shared" si="31"/>
        <v>-1235000</v>
      </c>
    </row>
    <row r="982" spans="1:25" x14ac:dyDescent="0.25">
      <c r="A982" s="32"/>
      <c r="B982" s="32"/>
      <c r="C982" s="32"/>
      <c r="D982" s="32">
        <v>5</v>
      </c>
      <c r="E982" s="32">
        <v>2</v>
      </c>
      <c r="F982" s="32"/>
      <c r="G982" s="32"/>
      <c r="H982" s="66" t="str">
        <f>'BID IV'!B193</f>
        <v>Belanja Barang dan Jasa</v>
      </c>
      <c r="I982" s="32"/>
      <c r="J982" s="66"/>
      <c r="K982" s="32" t="s">
        <v>2994</v>
      </c>
      <c r="L982" s="32"/>
      <c r="M982" s="32"/>
      <c r="N982" s="32"/>
      <c r="O982" s="32"/>
      <c r="P982" s="32"/>
      <c r="Q982" s="32"/>
      <c r="R982" s="32"/>
      <c r="S982" s="32"/>
      <c r="T982" s="32"/>
      <c r="U982" s="32"/>
      <c r="V982" s="32"/>
      <c r="W982" s="32"/>
      <c r="X982" s="1750">
        <f t="shared" si="30"/>
        <v>0</v>
      </c>
      <c r="Y982" s="175">
        <f t="shared" si="31"/>
        <v>0</v>
      </c>
    </row>
    <row r="983" spans="1:25" ht="30" x14ac:dyDescent="0.25">
      <c r="A983" s="32"/>
      <c r="B983" s="32"/>
      <c r="C983" s="32"/>
      <c r="D983" s="32"/>
      <c r="E983" s="32"/>
      <c r="F983" s="32">
        <v>1</v>
      </c>
      <c r="G983" s="32"/>
      <c r="H983" s="66" t="str">
        <f>'BID IV'!B194</f>
        <v>Belanja Barang Perlengkapan</v>
      </c>
      <c r="I983" s="32"/>
      <c r="J983" s="66"/>
      <c r="K983" s="32" t="s">
        <v>2994</v>
      </c>
      <c r="L983" s="32"/>
      <c r="M983" s="32"/>
      <c r="N983" s="32"/>
      <c r="O983" s="32"/>
      <c r="P983" s="32"/>
      <c r="Q983" s="32"/>
      <c r="R983" s="32"/>
      <c r="S983" s="32"/>
      <c r="T983" s="32"/>
      <c r="U983" s="32"/>
      <c r="V983" s="32"/>
      <c r="W983" s="32"/>
      <c r="X983" s="1750">
        <f t="shared" si="30"/>
        <v>0</v>
      </c>
      <c r="Y983" s="175">
        <f t="shared" si="31"/>
        <v>0</v>
      </c>
    </row>
    <row r="984" spans="1:25" ht="30" x14ac:dyDescent="0.25">
      <c r="A984" s="32"/>
      <c r="B984" s="32"/>
      <c r="C984" s="32"/>
      <c r="D984" s="32"/>
      <c r="E984" s="32"/>
      <c r="F984" s="32"/>
      <c r="G984" s="1340" t="s">
        <v>2705</v>
      </c>
      <c r="H984" s="66" t="str">
        <f>'BID IV'!B195</f>
        <v>Belanja Perlengkapan Barang Konsumsi</v>
      </c>
      <c r="I984" s="174">
        <f>SUM('BID IV'!F196)</f>
        <v>480000</v>
      </c>
      <c r="J984" s="66" t="s">
        <v>1682</v>
      </c>
      <c r="K984" s="32" t="s">
        <v>2994</v>
      </c>
      <c r="L984" s="32"/>
      <c r="M984" s="32"/>
      <c r="N984" s="32"/>
      <c r="O984" s="32"/>
      <c r="P984" s="32"/>
      <c r="Q984" s="32"/>
      <c r="R984" s="32"/>
      <c r="S984" s="32"/>
      <c r="T984" s="497">
        <v>480000</v>
      </c>
      <c r="U984" s="32"/>
      <c r="V984" s="32"/>
      <c r="W984" s="32"/>
      <c r="X984" s="1750">
        <f t="shared" si="30"/>
        <v>480000</v>
      </c>
      <c r="Y984" s="175">
        <f t="shared" si="31"/>
        <v>0</v>
      </c>
    </row>
    <row r="985" spans="1:25" ht="30" x14ac:dyDescent="0.25">
      <c r="A985" s="32"/>
      <c r="B985" s="32"/>
      <c r="C985" s="32"/>
      <c r="D985" s="32"/>
      <c r="E985" s="32"/>
      <c r="F985" s="32"/>
      <c r="G985" s="1340" t="s">
        <v>2707</v>
      </c>
      <c r="H985" s="66" t="str">
        <f>'BID IV'!B198</f>
        <v>Belanja Bendera/ Umbul-umbul/ Spanduk</v>
      </c>
      <c r="I985" s="174">
        <f>'BID IV'!F199</f>
        <v>90000</v>
      </c>
      <c r="J985" s="66" t="s">
        <v>1682</v>
      </c>
      <c r="K985" s="32" t="s">
        <v>2994</v>
      </c>
      <c r="L985" s="32"/>
      <c r="M985" s="32"/>
      <c r="N985" s="32"/>
      <c r="O985" s="32"/>
      <c r="P985" s="32"/>
      <c r="Q985" s="32"/>
      <c r="R985" s="32"/>
      <c r="S985" s="32"/>
      <c r="T985" s="497">
        <v>90000</v>
      </c>
      <c r="U985" s="32"/>
      <c r="V985" s="32"/>
      <c r="W985" s="32"/>
      <c r="X985" s="1750">
        <f t="shared" si="30"/>
        <v>90000</v>
      </c>
      <c r="Y985" s="175">
        <f t="shared" si="31"/>
        <v>0</v>
      </c>
    </row>
    <row r="986" spans="1:25" ht="30" x14ac:dyDescent="0.25">
      <c r="A986" s="32"/>
      <c r="B986" s="32"/>
      <c r="C986" s="32"/>
      <c r="D986" s="32"/>
      <c r="E986" s="32"/>
      <c r="F986" s="32"/>
      <c r="G986" s="32">
        <v>90</v>
      </c>
      <c r="H986" s="66" t="str">
        <f>'BID IV'!B201</f>
        <v>Belanja Upakara, Upacara dan Aci</v>
      </c>
      <c r="I986" s="174">
        <f>SUM('BID IV'!F202:F204)</f>
        <v>65000</v>
      </c>
      <c r="J986" s="66" t="s">
        <v>1682</v>
      </c>
      <c r="K986" s="32" t="s">
        <v>2994</v>
      </c>
      <c r="L986" s="32"/>
      <c r="M986" s="32"/>
      <c r="N986" s="32"/>
      <c r="O986" s="32"/>
      <c r="P986" s="32"/>
      <c r="Q986" s="32"/>
      <c r="R986" s="32"/>
      <c r="S986" s="32"/>
      <c r="T986" s="497">
        <v>65000</v>
      </c>
      <c r="U986" s="32"/>
      <c r="V986" s="32"/>
      <c r="W986" s="32"/>
      <c r="X986" s="1750">
        <f t="shared" si="30"/>
        <v>65000</v>
      </c>
      <c r="Y986" s="175">
        <f t="shared" si="31"/>
        <v>0</v>
      </c>
    </row>
    <row r="987" spans="1:25" x14ac:dyDescent="0.25">
      <c r="A987" s="32"/>
      <c r="B987" s="32"/>
      <c r="C987" s="32"/>
      <c r="D987" s="32">
        <v>5</v>
      </c>
      <c r="E987" s="32">
        <v>2</v>
      </c>
      <c r="F987" s="32">
        <v>2</v>
      </c>
      <c r="G987" s="32"/>
      <c r="H987" s="66" t="str">
        <f>'BID IV'!B206</f>
        <v>Belanja  Jasa Honorarium</v>
      </c>
      <c r="I987" s="32"/>
      <c r="J987" s="66"/>
      <c r="K987" s="32" t="s">
        <v>2994</v>
      </c>
      <c r="L987" s="32"/>
      <c r="M987" s="32"/>
      <c r="N987" s="32"/>
      <c r="O987" s="32"/>
      <c r="P987" s="32"/>
      <c r="Q987" s="32"/>
      <c r="R987" s="32"/>
      <c r="S987" s="32"/>
      <c r="T987" s="497"/>
      <c r="U987" s="32"/>
      <c r="V987" s="32"/>
      <c r="W987" s="32"/>
      <c r="X987" s="1750">
        <f t="shared" si="30"/>
        <v>0</v>
      </c>
      <c r="Y987" s="175">
        <f t="shared" si="31"/>
        <v>0</v>
      </c>
    </row>
    <row r="988" spans="1:25" ht="45" x14ac:dyDescent="0.25">
      <c r="A988" s="32"/>
      <c r="B988" s="32"/>
      <c r="C988" s="32"/>
      <c r="D988" s="32"/>
      <c r="E988" s="32"/>
      <c r="F988" s="32"/>
      <c r="G988" s="1340" t="s">
        <v>2704</v>
      </c>
      <c r="H988" s="66" t="str">
        <f>'BID IV'!B207</f>
        <v>Belanja Jasa Honorarium Ahli/Profesi/Konsultan/Narasumber</v>
      </c>
      <c r="I988" s="174">
        <f>SUM('BID IV'!F208)</f>
        <v>600000</v>
      </c>
      <c r="J988" s="66" t="s">
        <v>1682</v>
      </c>
      <c r="K988" s="32" t="s">
        <v>2994</v>
      </c>
      <c r="L988" s="32"/>
      <c r="M988" s="32"/>
      <c r="N988" s="32"/>
      <c r="O988" s="32"/>
      <c r="P988" s="32"/>
      <c r="Q988" s="32"/>
      <c r="R988" s="32"/>
      <c r="S988" s="32"/>
      <c r="T988" s="497">
        <v>600000</v>
      </c>
      <c r="U988" s="32"/>
      <c r="V988" s="32"/>
      <c r="W988" s="32"/>
      <c r="X988" s="1750">
        <f t="shared" si="30"/>
        <v>600000</v>
      </c>
      <c r="Y988" s="175">
        <f t="shared" si="31"/>
        <v>0</v>
      </c>
    </row>
    <row r="989" spans="1:25" x14ac:dyDescent="0.25">
      <c r="A989" s="1344">
        <v>4</v>
      </c>
      <c r="B989" s="1344">
        <v>3</v>
      </c>
      <c r="C989" s="1346" t="s">
        <v>2702</v>
      </c>
      <c r="D989" s="1344"/>
      <c r="E989" s="1344"/>
      <c r="F989" s="1344"/>
      <c r="G989" s="1344"/>
      <c r="H989" s="1344" t="str">
        <f>'BID IV'!B226</f>
        <v>: Pelatihan Perangkat Desa</v>
      </c>
      <c r="I989" s="1347">
        <f>SUM(I990:I997)</f>
        <v>43110000</v>
      </c>
      <c r="J989" s="1345" t="s">
        <v>1690</v>
      </c>
      <c r="K989" s="1347" t="s">
        <v>2988</v>
      </c>
      <c r="L989" s="1344"/>
      <c r="M989" s="1344"/>
      <c r="N989" s="1344"/>
      <c r="O989" s="1344"/>
      <c r="P989" s="1344"/>
      <c r="Q989" s="1344"/>
      <c r="R989" s="1344"/>
      <c r="S989" s="1344"/>
      <c r="T989" s="1344"/>
      <c r="U989" s="1344"/>
      <c r="V989" s="1344"/>
      <c r="W989" s="1344"/>
      <c r="X989" s="1353">
        <f t="shared" si="30"/>
        <v>0</v>
      </c>
      <c r="Y989" s="175">
        <f t="shared" si="31"/>
        <v>-43110000</v>
      </c>
    </row>
    <row r="990" spans="1:25" x14ac:dyDescent="0.25">
      <c r="A990" s="32"/>
      <c r="B990" s="32"/>
      <c r="C990" s="32"/>
      <c r="D990" s="32">
        <v>5</v>
      </c>
      <c r="E990" s="32">
        <v>2</v>
      </c>
      <c r="F990" s="32"/>
      <c r="G990" s="32"/>
      <c r="H990" s="66" t="str">
        <f>'BID IV'!B231</f>
        <v>Belanja Barang Dan Jasa</v>
      </c>
      <c r="I990" s="32"/>
      <c r="J990" s="66"/>
      <c r="K990" s="497" t="s">
        <v>2988</v>
      </c>
      <c r="L990" s="32"/>
      <c r="M990" s="32"/>
      <c r="N990" s="32"/>
      <c r="O990" s="32"/>
      <c r="P990" s="32"/>
      <c r="Q990" s="32"/>
      <c r="R990" s="32"/>
      <c r="S990" s="32"/>
      <c r="T990" s="32"/>
      <c r="U990" s="32"/>
      <c r="V990" s="32"/>
      <c r="W990" s="32"/>
      <c r="X990" s="1750">
        <f t="shared" si="30"/>
        <v>0</v>
      </c>
      <c r="Y990" s="175">
        <f t="shared" si="31"/>
        <v>0</v>
      </c>
    </row>
    <row r="991" spans="1:25" ht="30" x14ac:dyDescent="0.25">
      <c r="A991" s="32"/>
      <c r="B991" s="32"/>
      <c r="C991" s="32"/>
      <c r="D991" s="32"/>
      <c r="E991" s="32"/>
      <c r="F991" s="32">
        <v>1</v>
      </c>
      <c r="G991" s="32"/>
      <c r="H991" s="66" t="str">
        <f>'BID IV'!B232</f>
        <v>Belanja Barang Perlengkapan</v>
      </c>
      <c r="I991" s="32"/>
      <c r="J991" s="66"/>
      <c r="K991" s="497" t="s">
        <v>2988</v>
      </c>
      <c r="L991" s="32"/>
      <c r="M991" s="32"/>
      <c r="N991" s="32"/>
      <c r="O991" s="32"/>
      <c r="P991" s="32"/>
      <c r="Q991" s="32"/>
      <c r="R991" s="32"/>
      <c r="S991" s="32"/>
      <c r="T991" s="32"/>
      <c r="U991" s="32"/>
      <c r="V991" s="32"/>
      <c r="W991" s="32"/>
      <c r="X991" s="1750">
        <f t="shared" si="30"/>
        <v>0</v>
      </c>
      <c r="Y991" s="175">
        <f t="shared" si="31"/>
        <v>0</v>
      </c>
    </row>
    <row r="992" spans="1:25" ht="30" x14ac:dyDescent="0.25">
      <c r="A992" s="32"/>
      <c r="B992" s="32"/>
      <c r="C992" s="32"/>
      <c r="D992" s="32"/>
      <c r="E992" s="32"/>
      <c r="F992" s="32"/>
      <c r="G992" s="1340" t="s">
        <v>2705</v>
      </c>
      <c r="H992" s="66" t="str">
        <f>'BID IV'!B233</f>
        <v>Belanja Perlengkapan Barang Konsumsi</v>
      </c>
      <c r="I992" s="174">
        <f>'BID IV'!F234</f>
        <v>420000</v>
      </c>
      <c r="J992" s="66" t="s">
        <v>1690</v>
      </c>
      <c r="K992" s="497" t="s">
        <v>2988</v>
      </c>
      <c r="L992" s="32"/>
      <c r="M992" s="32"/>
      <c r="N992" s="32"/>
      <c r="O992" s="32"/>
      <c r="P992" s="32"/>
      <c r="Q992" s="32"/>
      <c r="R992" s="32"/>
      <c r="S992" s="32"/>
      <c r="T992" s="32"/>
      <c r="U992" s="497">
        <v>420000</v>
      </c>
      <c r="V992" s="32"/>
      <c r="W992" s="32"/>
      <c r="X992" s="1750">
        <f t="shared" ref="X992:X1055" si="32">SUM(L992:W992)</f>
        <v>420000</v>
      </c>
      <c r="Y992" s="175">
        <f t="shared" si="31"/>
        <v>0</v>
      </c>
    </row>
    <row r="993" spans="1:25" ht="30" x14ac:dyDescent="0.25">
      <c r="A993" s="32"/>
      <c r="B993" s="32"/>
      <c r="C993" s="32"/>
      <c r="D993" s="32"/>
      <c r="E993" s="32"/>
      <c r="F993" s="32"/>
      <c r="G993" s="1340" t="s">
        <v>2707</v>
      </c>
      <c r="H993" s="66" t="str">
        <f>'BID IV'!B236</f>
        <v>Belanja Bendera/ Umbul-umbul/ Spanduk</v>
      </c>
      <c r="I993" s="174">
        <f>'BID IV'!F237</f>
        <v>90000</v>
      </c>
      <c r="J993" s="66" t="s">
        <v>1690</v>
      </c>
      <c r="K993" s="497" t="s">
        <v>2988</v>
      </c>
      <c r="L993" s="32"/>
      <c r="M993" s="32"/>
      <c r="N993" s="32"/>
      <c r="O993" s="32"/>
      <c r="P993" s="32"/>
      <c r="Q993" s="32"/>
      <c r="R993" s="32"/>
      <c r="S993" s="32"/>
      <c r="T993" s="32"/>
      <c r="U993" s="497">
        <v>90000</v>
      </c>
      <c r="V993" s="32"/>
      <c r="W993" s="32"/>
      <c r="X993" s="1750">
        <f t="shared" si="32"/>
        <v>90000</v>
      </c>
      <c r="Y993" s="175">
        <f t="shared" si="31"/>
        <v>0</v>
      </c>
    </row>
    <row r="994" spans="1:25" x14ac:dyDescent="0.25">
      <c r="A994" s="32"/>
      <c r="B994" s="32"/>
      <c r="C994" s="32"/>
      <c r="D994" s="32">
        <v>5</v>
      </c>
      <c r="E994" s="32">
        <v>2</v>
      </c>
      <c r="F994" s="32">
        <v>2</v>
      </c>
      <c r="G994" s="32"/>
      <c r="H994" s="66" t="str">
        <f>'BID IV'!B239</f>
        <v>Belanja Jasa Honorarium</v>
      </c>
      <c r="I994" s="32"/>
      <c r="J994" s="66"/>
      <c r="K994" s="497" t="s">
        <v>2988</v>
      </c>
      <c r="L994" s="32"/>
      <c r="M994" s="32"/>
      <c r="N994" s="32"/>
      <c r="O994" s="32"/>
      <c r="P994" s="32"/>
      <c r="Q994" s="32"/>
      <c r="R994" s="32"/>
      <c r="S994" s="32"/>
      <c r="T994" s="32"/>
      <c r="U994" s="497"/>
      <c r="V994" s="32"/>
      <c r="W994" s="32"/>
      <c r="X994" s="1750">
        <f t="shared" si="32"/>
        <v>0</v>
      </c>
      <c r="Y994" s="175">
        <f t="shared" si="31"/>
        <v>0</v>
      </c>
    </row>
    <row r="995" spans="1:25" ht="45" x14ac:dyDescent="0.25">
      <c r="A995" s="32"/>
      <c r="B995" s="32"/>
      <c r="C995" s="32"/>
      <c r="D995" s="32"/>
      <c r="E995" s="32"/>
      <c r="F995" s="32"/>
      <c r="G995" s="1340" t="s">
        <v>2704</v>
      </c>
      <c r="H995" s="66" t="str">
        <f>'BID IV'!B240</f>
        <v>Belanja Jasa Honorarium Ahli/Profesi/Konsultan/Narasumber</v>
      </c>
      <c r="I995" s="174">
        <f>'BID IV'!F241</f>
        <v>600000</v>
      </c>
      <c r="J995" s="66" t="s">
        <v>1690</v>
      </c>
      <c r="K995" s="497" t="s">
        <v>2988</v>
      </c>
      <c r="L995" s="32"/>
      <c r="M995" s="32"/>
      <c r="N995" s="32"/>
      <c r="O995" s="32"/>
      <c r="P995" s="32"/>
      <c r="Q995" s="32"/>
      <c r="R995" s="32"/>
      <c r="S995" s="32"/>
      <c r="T995" s="32"/>
      <c r="U995" s="497">
        <v>600000</v>
      </c>
      <c r="V995" s="32"/>
      <c r="W995" s="32"/>
      <c r="X995" s="1750">
        <f t="shared" si="32"/>
        <v>600000</v>
      </c>
      <c r="Y995" s="175">
        <f t="shared" si="31"/>
        <v>0</v>
      </c>
    </row>
    <row r="996" spans="1:25" x14ac:dyDescent="0.25">
      <c r="A996" s="32"/>
      <c r="B996" s="32"/>
      <c r="C996" s="32"/>
      <c r="D996" s="32">
        <v>5</v>
      </c>
      <c r="E996" s="32">
        <v>2</v>
      </c>
      <c r="F996" s="32">
        <v>4</v>
      </c>
      <c r="G996" s="32"/>
      <c r="H996" s="66" t="str">
        <f>'BID IV'!B243</f>
        <v>Belanja Jasa Sewa</v>
      </c>
      <c r="I996" s="32"/>
      <c r="J996" s="66"/>
      <c r="K996" s="497" t="s">
        <v>2988</v>
      </c>
      <c r="L996" s="32"/>
      <c r="M996" s="32"/>
      <c r="N996" s="32"/>
      <c r="O996" s="32"/>
      <c r="P996" s="32"/>
      <c r="Q996" s="32"/>
      <c r="R996" s="32"/>
      <c r="S996" s="32"/>
      <c r="T996" s="32"/>
      <c r="U996" s="497"/>
      <c r="V996" s="32"/>
      <c r="W996" s="32"/>
      <c r="X996" s="1750">
        <f t="shared" si="32"/>
        <v>0</v>
      </c>
      <c r="Y996" s="175">
        <f t="shared" si="31"/>
        <v>0</v>
      </c>
    </row>
    <row r="997" spans="1:25" ht="30" x14ac:dyDescent="0.25">
      <c r="A997" s="32"/>
      <c r="B997" s="32"/>
      <c r="C997" s="32"/>
      <c r="D997" s="32"/>
      <c r="E997" s="32"/>
      <c r="F997" s="32"/>
      <c r="G997" s="1340" t="s">
        <v>2688</v>
      </c>
      <c r="H997" s="66" t="str">
        <f>'BID IV'!B244</f>
        <v>Belanja Jasa Sewa bangunan/gedung/ruang</v>
      </c>
      <c r="I997" s="174">
        <f>SUM('BID IV'!F245)</f>
        <v>42000000</v>
      </c>
      <c r="J997" s="66" t="s">
        <v>1690</v>
      </c>
      <c r="K997" s="497" t="s">
        <v>2988</v>
      </c>
      <c r="L997" s="32"/>
      <c r="M997" s="32"/>
      <c r="N997" s="32"/>
      <c r="O997" s="32"/>
      <c r="P997" s="32"/>
      <c r="Q997" s="32"/>
      <c r="R997" s="32"/>
      <c r="S997" s="32"/>
      <c r="T997" s="32"/>
      <c r="U997" s="497">
        <v>42000000</v>
      </c>
      <c r="V997" s="32"/>
      <c r="W997" s="32"/>
      <c r="X997" s="1750">
        <f t="shared" si="32"/>
        <v>42000000</v>
      </c>
      <c r="Y997" s="175">
        <f t="shared" si="31"/>
        <v>0</v>
      </c>
    </row>
    <row r="998" spans="1:25" ht="30" x14ac:dyDescent="0.25">
      <c r="A998" s="1344">
        <v>2</v>
      </c>
      <c r="B998" s="1344">
        <v>3</v>
      </c>
      <c r="C998" s="1346" t="s">
        <v>2703</v>
      </c>
      <c r="D998" s="1344"/>
      <c r="E998" s="1344"/>
      <c r="F998" s="1344"/>
      <c r="G998" s="1344"/>
      <c r="H998" s="1345" t="str">
        <f>'BID IV'!B266</f>
        <v>: Peningkatan Kapasitas BPD</v>
      </c>
      <c r="I998" s="1347">
        <f>SUM(I999:I1007)</f>
        <v>19120000</v>
      </c>
      <c r="J998" s="1345" t="s">
        <v>1690</v>
      </c>
      <c r="K998" s="1347" t="s">
        <v>2988</v>
      </c>
      <c r="L998" s="1344"/>
      <c r="M998" s="1344"/>
      <c r="N998" s="1344"/>
      <c r="O998" s="1344"/>
      <c r="P998" s="1344"/>
      <c r="Q998" s="1344"/>
      <c r="R998" s="1344"/>
      <c r="S998" s="1344"/>
      <c r="T998" s="1344"/>
      <c r="U998" s="1344"/>
      <c r="V998" s="1344"/>
      <c r="W998" s="1344"/>
      <c r="X998" s="1353">
        <f t="shared" si="32"/>
        <v>0</v>
      </c>
      <c r="Y998" s="175">
        <f t="shared" si="31"/>
        <v>-19120000</v>
      </c>
    </row>
    <row r="999" spans="1:25" x14ac:dyDescent="0.25">
      <c r="A999" s="32"/>
      <c r="B999" s="32"/>
      <c r="C999" s="32"/>
      <c r="D999" s="32">
        <v>5</v>
      </c>
      <c r="E999" s="32">
        <v>2</v>
      </c>
      <c r="F999" s="32"/>
      <c r="G999" s="32"/>
      <c r="H999" s="66" t="str">
        <f>'BID IV'!B271</f>
        <v>Belanja Barang dan Jasa</v>
      </c>
      <c r="I999" s="32"/>
      <c r="J999" s="66"/>
      <c r="K999" s="497" t="s">
        <v>2988</v>
      </c>
      <c r="L999" s="32"/>
      <c r="M999" s="32"/>
      <c r="N999" s="32"/>
      <c r="O999" s="32"/>
      <c r="P999" s="32"/>
      <c r="Q999" s="32"/>
      <c r="R999" s="32"/>
      <c r="S999" s="32"/>
      <c r="T999" s="32"/>
      <c r="U999" s="32"/>
      <c r="V999" s="32"/>
      <c r="W999" s="32"/>
      <c r="X999" s="1750">
        <f t="shared" si="32"/>
        <v>0</v>
      </c>
      <c r="Y999" s="175">
        <f t="shared" si="31"/>
        <v>0</v>
      </c>
    </row>
    <row r="1000" spans="1:25" ht="30" x14ac:dyDescent="0.25">
      <c r="A1000" s="32"/>
      <c r="B1000" s="32"/>
      <c r="C1000" s="32"/>
      <c r="D1000" s="32"/>
      <c r="E1000" s="32"/>
      <c r="F1000" s="32">
        <v>1</v>
      </c>
      <c r="G1000" s="32"/>
      <c r="H1000" s="66" t="str">
        <f>'BID IV'!B272</f>
        <v>Belanja Barang Perlengkapan</v>
      </c>
      <c r="I1000" s="32"/>
      <c r="J1000" s="66"/>
      <c r="K1000" s="497" t="s">
        <v>2988</v>
      </c>
      <c r="L1000" s="32"/>
      <c r="M1000" s="32"/>
      <c r="N1000" s="32"/>
      <c r="O1000" s="32"/>
      <c r="P1000" s="32"/>
      <c r="Q1000" s="32"/>
      <c r="R1000" s="32"/>
      <c r="S1000" s="32"/>
      <c r="T1000" s="32"/>
      <c r="U1000" s="32"/>
      <c r="V1000" s="32"/>
      <c r="W1000" s="32"/>
      <c r="X1000" s="1750">
        <f t="shared" si="32"/>
        <v>0</v>
      </c>
      <c r="Y1000" s="175">
        <f t="shared" si="31"/>
        <v>0</v>
      </c>
    </row>
    <row r="1001" spans="1:25" ht="30" x14ac:dyDescent="0.25">
      <c r="A1001" s="32"/>
      <c r="B1001" s="32"/>
      <c r="C1001" s="32"/>
      <c r="D1001" s="32"/>
      <c r="E1001" s="32"/>
      <c r="F1001" s="32"/>
      <c r="G1001" s="1340" t="s">
        <v>2705</v>
      </c>
      <c r="H1001" s="66" t="str">
        <f>'BID IV'!B273</f>
        <v>Belanja Perlengkapan Barang Konsumsi</v>
      </c>
      <c r="I1001" s="174">
        <f>'BID IV'!F274</f>
        <v>300000</v>
      </c>
      <c r="J1001" s="66" t="s">
        <v>1690</v>
      </c>
      <c r="K1001" s="497" t="s">
        <v>2988</v>
      </c>
      <c r="L1001" s="32"/>
      <c r="M1001" s="32"/>
      <c r="N1001" s="32"/>
      <c r="O1001" s="32"/>
      <c r="P1001" s="32"/>
      <c r="Q1001" s="32"/>
      <c r="R1001" s="32"/>
      <c r="S1001" s="32"/>
      <c r="T1001" s="32"/>
      <c r="U1001" s="497">
        <v>300000</v>
      </c>
      <c r="V1001" s="32"/>
      <c r="W1001" s="32"/>
      <c r="X1001" s="1750">
        <f t="shared" si="32"/>
        <v>300000</v>
      </c>
      <c r="Y1001" s="175">
        <f t="shared" si="31"/>
        <v>0</v>
      </c>
    </row>
    <row r="1002" spans="1:25" ht="30" x14ac:dyDescent="0.25">
      <c r="A1002" s="32"/>
      <c r="B1002" s="32"/>
      <c r="C1002" s="32"/>
      <c r="D1002" s="32"/>
      <c r="E1002" s="32"/>
      <c r="F1002" s="32"/>
      <c r="G1002" s="1340" t="s">
        <v>2707</v>
      </c>
      <c r="H1002" s="66" t="str">
        <f>'BID IV'!B276</f>
        <v>Belanja Bendera/ Umbul-umbul/ Spanduk</v>
      </c>
      <c r="I1002" s="174">
        <f>'BID IV'!F277</f>
        <v>90000</v>
      </c>
      <c r="J1002" s="66" t="s">
        <v>1690</v>
      </c>
      <c r="K1002" s="497" t="s">
        <v>2988</v>
      </c>
      <c r="L1002" s="32"/>
      <c r="M1002" s="32"/>
      <c r="N1002" s="32"/>
      <c r="O1002" s="32"/>
      <c r="P1002" s="32"/>
      <c r="Q1002" s="32"/>
      <c r="R1002" s="32"/>
      <c r="S1002" s="32"/>
      <c r="T1002" s="32"/>
      <c r="U1002" s="497">
        <v>90000</v>
      </c>
      <c r="V1002" s="32"/>
      <c r="W1002" s="32"/>
      <c r="X1002" s="1750">
        <f t="shared" si="32"/>
        <v>90000</v>
      </c>
      <c r="Y1002" s="175">
        <f t="shared" ref="Y1002:Y1048" si="33">X1002-I1002</f>
        <v>0</v>
      </c>
    </row>
    <row r="1003" spans="1:25" ht="30" x14ac:dyDescent="0.25">
      <c r="A1003" s="32"/>
      <c r="B1003" s="32"/>
      <c r="C1003" s="32"/>
      <c r="D1003" s="32"/>
      <c r="E1003" s="32"/>
      <c r="F1003" s="32"/>
      <c r="G1003" s="32">
        <v>90</v>
      </c>
      <c r="H1003" s="66" t="str">
        <f>'BID IV'!B279</f>
        <v>Belanja Upakara, Upacara dan Aci</v>
      </c>
      <c r="I1003" s="174">
        <f>SUM('BID IV'!F280:F282)</f>
        <v>130000</v>
      </c>
      <c r="J1003" s="66" t="s">
        <v>1690</v>
      </c>
      <c r="K1003" s="497" t="s">
        <v>2988</v>
      </c>
      <c r="L1003" s="32"/>
      <c r="M1003" s="32"/>
      <c r="N1003" s="32"/>
      <c r="O1003" s="32"/>
      <c r="P1003" s="32"/>
      <c r="Q1003" s="32"/>
      <c r="R1003" s="32"/>
      <c r="S1003" s="32"/>
      <c r="T1003" s="32"/>
      <c r="U1003" s="497">
        <v>130000</v>
      </c>
      <c r="V1003" s="32"/>
      <c r="W1003" s="32"/>
      <c r="X1003" s="1750">
        <f t="shared" si="32"/>
        <v>130000</v>
      </c>
      <c r="Y1003" s="175">
        <f t="shared" si="33"/>
        <v>0</v>
      </c>
    </row>
    <row r="1004" spans="1:25" x14ac:dyDescent="0.25">
      <c r="A1004" s="32"/>
      <c r="B1004" s="32"/>
      <c r="C1004" s="32"/>
      <c r="D1004" s="32">
        <v>5</v>
      </c>
      <c r="E1004" s="32">
        <v>2</v>
      </c>
      <c r="F1004" s="32">
        <v>2</v>
      </c>
      <c r="G1004" s="32"/>
      <c r="H1004" s="66" t="str">
        <f>'BID IV'!B284</f>
        <v>Belanja  Jasa Honorarium</v>
      </c>
      <c r="I1004" s="32"/>
      <c r="J1004" s="66"/>
      <c r="K1004" s="497" t="s">
        <v>2988</v>
      </c>
      <c r="L1004" s="32"/>
      <c r="M1004" s="32"/>
      <c r="N1004" s="32"/>
      <c r="O1004" s="32"/>
      <c r="P1004" s="32"/>
      <c r="Q1004" s="32"/>
      <c r="R1004" s="32"/>
      <c r="S1004" s="32"/>
      <c r="T1004" s="32"/>
      <c r="U1004" s="497"/>
      <c r="V1004" s="32"/>
      <c r="W1004" s="32"/>
      <c r="X1004" s="1750">
        <f t="shared" si="32"/>
        <v>0</v>
      </c>
      <c r="Y1004" s="175">
        <f t="shared" si="33"/>
        <v>0</v>
      </c>
    </row>
    <row r="1005" spans="1:25" ht="45" x14ac:dyDescent="0.25">
      <c r="A1005" s="32"/>
      <c r="B1005" s="32"/>
      <c r="C1005" s="32"/>
      <c r="D1005" s="32"/>
      <c r="E1005" s="32"/>
      <c r="F1005" s="32"/>
      <c r="G1005" s="1340" t="s">
        <v>2704</v>
      </c>
      <c r="H1005" s="66" t="str">
        <f>'BID IV'!B285</f>
        <v>Belanja Jasa Honorarium Ahli/Profesi/Konsultan/Narasumber</v>
      </c>
      <c r="I1005" s="174">
        <f>'BID IV'!F286</f>
        <v>600000</v>
      </c>
      <c r="J1005" s="66" t="s">
        <v>1690</v>
      </c>
      <c r="K1005" s="497" t="s">
        <v>2988</v>
      </c>
      <c r="L1005" s="32"/>
      <c r="M1005" s="32"/>
      <c r="N1005" s="32"/>
      <c r="O1005" s="32"/>
      <c r="P1005" s="32"/>
      <c r="Q1005" s="32"/>
      <c r="R1005" s="32"/>
      <c r="S1005" s="32"/>
      <c r="T1005" s="32"/>
      <c r="U1005" s="497">
        <v>600000</v>
      </c>
      <c r="V1005" s="32"/>
      <c r="W1005" s="32"/>
      <c r="X1005" s="1750">
        <f t="shared" si="32"/>
        <v>600000</v>
      </c>
      <c r="Y1005" s="175">
        <f t="shared" si="33"/>
        <v>0</v>
      </c>
    </row>
    <row r="1006" spans="1:25" x14ac:dyDescent="0.25">
      <c r="A1006" s="32"/>
      <c r="B1006" s="32"/>
      <c r="C1006" s="32"/>
      <c r="D1006" s="32">
        <v>5</v>
      </c>
      <c r="E1006" s="32">
        <v>2</v>
      </c>
      <c r="F1006" s="32">
        <v>4</v>
      </c>
      <c r="G1006" s="32"/>
      <c r="H1006" s="66" t="str">
        <f>'BID IV'!B287</f>
        <v>Belanja Jasa Sewa</v>
      </c>
      <c r="I1006" s="32"/>
      <c r="J1006" s="66"/>
      <c r="K1006" s="497" t="s">
        <v>2988</v>
      </c>
      <c r="L1006" s="32"/>
      <c r="M1006" s="32"/>
      <c r="N1006" s="32"/>
      <c r="O1006" s="32"/>
      <c r="P1006" s="32"/>
      <c r="Q1006" s="32"/>
      <c r="R1006" s="32"/>
      <c r="S1006" s="32"/>
      <c r="T1006" s="32"/>
      <c r="U1006" s="497"/>
      <c r="V1006" s="32"/>
      <c r="W1006" s="32"/>
      <c r="X1006" s="1750">
        <f t="shared" si="32"/>
        <v>0</v>
      </c>
      <c r="Y1006" s="175">
        <f t="shared" si="33"/>
        <v>0</v>
      </c>
    </row>
    <row r="1007" spans="1:25" ht="30" x14ac:dyDescent="0.25">
      <c r="A1007" s="32"/>
      <c r="B1007" s="32"/>
      <c r="C1007" s="32"/>
      <c r="D1007" s="32"/>
      <c r="E1007" s="32"/>
      <c r="F1007" s="32"/>
      <c r="G1007" s="1340" t="s">
        <v>2703</v>
      </c>
      <c r="H1007" s="66" t="str">
        <f>'BID IV'!B288</f>
        <v>Belanja Jasa Sewa bangunan/gedung/ruang</v>
      </c>
      <c r="I1007" s="174">
        <f>SUM('BID IV'!F289)</f>
        <v>18000000</v>
      </c>
      <c r="J1007" s="66" t="s">
        <v>1690</v>
      </c>
      <c r="K1007" s="497" t="s">
        <v>2988</v>
      </c>
      <c r="L1007" s="32"/>
      <c r="M1007" s="32"/>
      <c r="N1007" s="32"/>
      <c r="O1007" s="32"/>
      <c r="P1007" s="32"/>
      <c r="Q1007" s="32"/>
      <c r="R1007" s="32"/>
      <c r="S1007" s="32"/>
      <c r="T1007" s="32"/>
      <c r="U1007" s="497">
        <v>18000000</v>
      </c>
      <c r="V1007" s="32"/>
      <c r="W1007" s="32"/>
      <c r="X1007" s="1750">
        <f t="shared" si="32"/>
        <v>18000000</v>
      </c>
      <c r="Y1007" s="175">
        <f t="shared" si="33"/>
        <v>0</v>
      </c>
    </row>
    <row r="1008" spans="1:25" ht="30" x14ac:dyDescent="0.25">
      <c r="A1008" s="1344">
        <v>4</v>
      </c>
      <c r="B1008" s="1344">
        <v>3</v>
      </c>
      <c r="C1008" s="1346" t="s">
        <v>2702</v>
      </c>
      <c r="D1008" s="1344"/>
      <c r="E1008" s="1344"/>
      <c r="F1008" s="1344"/>
      <c r="G1008" s="1344"/>
      <c r="H1008" s="1345" t="str">
        <f>'BID IV'!B306</f>
        <v>: Pelatihan PKPKD, PPKD dan TPK</v>
      </c>
      <c r="I1008" s="1347">
        <f>SUM(I1009:I1015)</f>
        <v>1655000</v>
      </c>
      <c r="J1008" s="1345" t="s">
        <v>2627</v>
      </c>
      <c r="K1008" s="1344" t="s">
        <v>2994</v>
      </c>
      <c r="L1008" s="1344"/>
      <c r="M1008" s="1344"/>
      <c r="N1008" s="1344"/>
      <c r="O1008" s="1344"/>
      <c r="P1008" s="1344"/>
      <c r="Q1008" s="1344"/>
      <c r="R1008" s="1344"/>
      <c r="S1008" s="1344"/>
      <c r="T1008" s="1344"/>
      <c r="U1008" s="1344"/>
      <c r="V1008" s="1344"/>
      <c r="W1008" s="1344"/>
      <c r="X1008" s="1353">
        <f t="shared" si="32"/>
        <v>0</v>
      </c>
      <c r="Y1008" s="175">
        <f t="shared" si="33"/>
        <v>-1655000</v>
      </c>
    </row>
    <row r="1009" spans="1:25" x14ac:dyDescent="0.25">
      <c r="A1009" s="32"/>
      <c r="B1009" s="32"/>
      <c r="C1009" s="32"/>
      <c r="D1009" s="32">
        <v>5</v>
      </c>
      <c r="E1009" s="32">
        <v>2</v>
      </c>
      <c r="F1009" s="32"/>
      <c r="G1009" s="32"/>
      <c r="H1009" s="66" t="str">
        <f>'BID IV'!B312</f>
        <v>Belanja Barang dan Jasa</v>
      </c>
      <c r="I1009" s="32"/>
      <c r="J1009" s="66"/>
      <c r="K1009" s="32" t="s">
        <v>2994</v>
      </c>
      <c r="L1009" s="32"/>
      <c r="M1009" s="32"/>
      <c r="N1009" s="32"/>
      <c r="O1009" s="32"/>
      <c r="P1009" s="32"/>
      <c r="Q1009" s="32"/>
      <c r="R1009" s="32"/>
      <c r="S1009" s="32"/>
      <c r="T1009" s="32"/>
      <c r="U1009" s="32"/>
      <c r="V1009" s="32"/>
      <c r="W1009" s="32"/>
      <c r="X1009" s="1750">
        <f t="shared" si="32"/>
        <v>0</v>
      </c>
      <c r="Y1009" s="175">
        <f t="shared" si="33"/>
        <v>0</v>
      </c>
    </row>
    <row r="1010" spans="1:25" ht="30" x14ac:dyDescent="0.25">
      <c r="A1010" s="32"/>
      <c r="B1010" s="32"/>
      <c r="C1010" s="32"/>
      <c r="D1010" s="32"/>
      <c r="E1010" s="32"/>
      <c r="F1010" s="32">
        <v>1</v>
      </c>
      <c r="G1010" s="32"/>
      <c r="H1010" s="66" t="str">
        <f>'BID IV'!B313</f>
        <v>Belanja Barang Perlengkapan</v>
      </c>
      <c r="I1010" s="32"/>
      <c r="J1010" s="66"/>
      <c r="K1010" s="32" t="s">
        <v>2994</v>
      </c>
      <c r="L1010" s="32"/>
      <c r="M1010" s="32"/>
      <c r="N1010" s="32"/>
      <c r="O1010" s="32"/>
      <c r="P1010" s="32"/>
      <c r="Q1010" s="32"/>
      <c r="R1010" s="32"/>
      <c r="S1010" s="32"/>
      <c r="T1010" s="32"/>
      <c r="U1010" s="32"/>
      <c r="V1010" s="32"/>
      <c r="W1010" s="32"/>
      <c r="X1010" s="1750">
        <f t="shared" si="32"/>
        <v>0</v>
      </c>
      <c r="Y1010" s="175">
        <f t="shared" si="33"/>
        <v>0</v>
      </c>
    </row>
    <row r="1011" spans="1:25" ht="30" x14ac:dyDescent="0.25">
      <c r="A1011" s="32"/>
      <c r="B1011" s="32"/>
      <c r="C1011" s="32"/>
      <c r="D1011" s="32"/>
      <c r="E1011" s="32"/>
      <c r="F1011" s="32"/>
      <c r="G1011" s="1340" t="s">
        <v>2705</v>
      </c>
      <c r="H1011" s="66" t="str">
        <f>'BID IV'!B314</f>
        <v>Belanja Perlengkapan Barang Konsumsi</v>
      </c>
      <c r="I1011" s="174">
        <f>SUM('BID IV'!F315)</f>
        <v>900000</v>
      </c>
      <c r="J1011" s="66" t="s">
        <v>2627</v>
      </c>
      <c r="K1011" s="32" t="s">
        <v>2994</v>
      </c>
      <c r="L1011" s="32"/>
      <c r="M1011" s="497">
        <v>900000</v>
      </c>
      <c r="N1011" s="32"/>
      <c r="O1011" s="32"/>
      <c r="P1011" s="32"/>
      <c r="Q1011" s="32"/>
      <c r="R1011" s="32"/>
      <c r="S1011" s="32"/>
      <c r="T1011" s="32"/>
      <c r="U1011" s="32"/>
      <c r="V1011" s="32"/>
      <c r="W1011" s="32"/>
      <c r="X1011" s="1750">
        <f t="shared" si="32"/>
        <v>900000</v>
      </c>
      <c r="Y1011" s="175">
        <f t="shared" si="33"/>
        <v>0</v>
      </c>
    </row>
    <row r="1012" spans="1:25" ht="30" x14ac:dyDescent="0.25">
      <c r="A1012" s="32"/>
      <c r="B1012" s="32"/>
      <c r="C1012" s="32"/>
      <c r="D1012" s="32"/>
      <c r="E1012" s="32"/>
      <c r="F1012" s="32"/>
      <c r="G1012" s="1340" t="s">
        <v>2707</v>
      </c>
      <c r="H1012" s="66" t="str">
        <f>'BID IV'!B317</f>
        <v>Belanja Bendera/ Umbul-umbul/ Spanduk</v>
      </c>
      <c r="I1012" s="174">
        <f>'BID IV'!F318</f>
        <v>90000</v>
      </c>
      <c r="J1012" s="66" t="s">
        <v>2627</v>
      </c>
      <c r="K1012" s="32" t="s">
        <v>2994</v>
      </c>
      <c r="L1012" s="32"/>
      <c r="M1012" s="497">
        <v>90000</v>
      </c>
      <c r="N1012" s="32"/>
      <c r="O1012" s="32"/>
      <c r="P1012" s="32"/>
      <c r="Q1012" s="32"/>
      <c r="R1012" s="32"/>
      <c r="S1012" s="32"/>
      <c r="T1012" s="32"/>
      <c r="U1012" s="32"/>
      <c r="V1012" s="32"/>
      <c r="W1012" s="32"/>
      <c r="X1012" s="1750">
        <f t="shared" si="32"/>
        <v>90000</v>
      </c>
      <c r="Y1012" s="175">
        <f t="shared" si="33"/>
        <v>0</v>
      </c>
    </row>
    <row r="1013" spans="1:25" ht="30" x14ac:dyDescent="0.25">
      <c r="A1013" s="32"/>
      <c r="B1013" s="32"/>
      <c r="C1013" s="32"/>
      <c r="D1013" s="32"/>
      <c r="E1013" s="32"/>
      <c r="F1013" s="32"/>
      <c r="G1013" s="32">
        <v>90</v>
      </c>
      <c r="H1013" s="66" t="str">
        <f>'BID IV'!B320</f>
        <v>Belanja Upakara, Upacara dan Aci</v>
      </c>
      <c r="I1013" s="174">
        <f>SUM('BID IV'!F321:F323)</f>
        <v>65000</v>
      </c>
      <c r="J1013" s="66" t="s">
        <v>2627</v>
      </c>
      <c r="K1013" s="32" t="s">
        <v>2994</v>
      </c>
      <c r="L1013" s="32"/>
      <c r="M1013" s="497">
        <v>65000</v>
      </c>
      <c r="N1013" s="32"/>
      <c r="O1013" s="32"/>
      <c r="P1013" s="32"/>
      <c r="Q1013" s="32"/>
      <c r="R1013" s="32"/>
      <c r="S1013" s="32"/>
      <c r="T1013" s="32"/>
      <c r="U1013" s="32"/>
      <c r="V1013" s="32"/>
      <c r="W1013" s="32"/>
      <c r="X1013" s="1750">
        <f t="shared" si="32"/>
        <v>65000</v>
      </c>
      <c r="Y1013" s="175">
        <f t="shared" si="33"/>
        <v>0</v>
      </c>
    </row>
    <row r="1014" spans="1:25" x14ac:dyDescent="0.25">
      <c r="A1014" s="32"/>
      <c r="B1014" s="32"/>
      <c r="C1014" s="32"/>
      <c r="D1014" s="32">
        <v>5</v>
      </c>
      <c r="E1014" s="32">
        <v>2</v>
      </c>
      <c r="F1014" s="32">
        <v>2</v>
      </c>
      <c r="G1014" s="32"/>
      <c r="H1014" s="66" t="str">
        <f>'BID IV'!B325</f>
        <v>Belanja  Jasa Honorarium</v>
      </c>
      <c r="I1014" s="32"/>
      <c r="J1014" s="66"/>
      <c r="K1014" s="32" t="s">
        <v>2994</v>
      </c>
      <c r="L1014" s="32"/>
      <c r="M1014" s="497"/>
      <c r="N1014" s="32"/>
      <c r="O1014" s="32"/>
      <c r="P1014" s="32"/>
      <c r="Q1014" s="32"/>
      <c r="R1014" s="32"/>
      <c r="S1014" s="32"/>
      <c r="T1014" s="32"/>
      <c r="U1014" s="32"/>
      <c r="V1014" s="32"/>
      <c r="W1014" s="32"/>
      <c r="X1014" s="1750">
        <f t="shared" si="32"/>
        <v>0</v>
      </c>
      <c r="Y1014" s="175">
        <f t="shared" si="33"/>
        <v>0</v>
      </c>
    </row>
    <row r="1015" spans="1:25" ht="45" x14ac:dyDescent="0.25">
      <c r="A1015" s="32"/>
      <c r="B1015" s="32"/>
      <c r="C1015" s="32"/>
      <c r="D1015" s="32"/>
      <c r="E1015" s="32"/>
      <c r="F1015" s="32"/>
      <c r="G1015" s="1340" t="s">
        <v>2704</v>
      </c>
      <c r="H1015" s="66" t="str">
        <f>'BID IV'!B326</f>
        <v>Belanja Jasa Honorarium Ahli/Profesi/Konsultan/Narasumber</v>
      </c>
      <c r="I1015" s="174">
        <f>'BID IV'!F327</f>
        <v>600000</v>
      </c>
      <c r="J1015" s="66" t="s">
        <v>2627</v>
      </c>
      <c r="K1015" s="32" t="s">
        <v>2994</v>
      </c>
      <c r="L1015" s="32"/>
      <c r="M1015" s="497">
        <v>600000</v>
      </c>
      <c r="N1015" s="32"/>
      <c r="O1015" s="32"/>
      <c r="P1015" s="32"/>
      <c r="Q1015" s="32"/>
      <c r="R1015" s="32"/>
      <c r="S1015" s="32"/>
      <c r="T1015" s="32"/>
      <c r="U1015" s="32"/>
      <c r="V1015" s="32"/>
      <c r="W1015" s="32"/>
      <c r="X1015" s="1750">
        <f t="shared" si="32"/>
        <v>600000</v>
      </c>
      <c r="Y1015" s="175">
        <f t="shared" si="33"/>
        <v>0</v>
      </c>
    </row>
    <row r="1016" spans="1:25" ht="60" x14ac:dyDescent="0.25">
      <c r="A1016" s="1344">
        <v>4</v>
      </c>
      <c r="B1016" s="1344">
        <v>4</v>
      </c>
      <c r="C1016" s="1346" t="s">
        <v>2688</v>
      </c>
      <c r="D1016" s="1344"/>
      <c r="E1016" s="1344"/>
      <c r="F1016" s="1344"/>
      <c r="G1016" s="1344"/>
      <c r="H1016" s="1345" t="str">
        <f>'BID IV'!B344</f>
        <v>:Pelatihan/Penyuluhan Pemberdayaan Perempuan (Pembinaan Kelompok P2WKSS)</v>
      </c>
      <c r="I1016" s="1347">
        <f>SUM(I1017:I1024)</f>
        <v>1227000</v>
      </c>
      <c r="J1016" s="1345" t="s">
        <v>2625</v>
      </c>
      <c r="K1016" s="1347" t="s">
        <v>3031</v>
      </c>
      <c r="L1016" s="1349"/>
      <c r="M1016" s="1344"/>
      <c r="N1016" s="1344"/>
      <c r="O1016" s="1344"/>
      <c r="P1016" s="1344"/>
      <c r="Q1016" s="1344"/>
      <c r="R1016" s="1344"/>
      <c r="S1016" s="1344"/>
      <c r="T1016" s="1344"/>
      <c r="U1016" s="1344"/>
      <c r="V1016" s="1344"/>
      <c r="W1016" s="1344"/>
      <c r="X1016" s="1353">
        <f t="shared" si="32"/>
        <v>0</v>
      </c>
      <c r="Y1016" s="175">
        <f t="shared" si="33"/>
        <v>-1227000</v>
      </c>
    </row>
    <row r="1017" spans="1:25" x14ac:dyDescent="0.25">
      <c r="A1017" s="32"/>
      <c r="B1017" s="32"/>
      <c r="C1017" s="32"/>
      <c r="D1017" s="32">
        <v>5</v>
      </c>
      <c r="E1017" s="32">
        <v>2</v>
      </c>
      <c r="F1017" s="32"/>
      <c r="G1017" s="32"/>
      <c r="H1017" s="66" t="str">
        <f>'BID IV'!B350</f>
        <v>Belanja Barang Jasa</v>
      </c>
      <c r="I1017" s="32"/>
      <c r="J1017" s="66"/>
      <c r="K1017" s="497" t="s">
        <v>3031</v>
      </c>
      <c r="L1017" s="32"/>
      <c r="M1017" s="32"/>
      <c r="N1017" s="32"/>
      <c r="O1017" s="32"/>
      <c r="P1017" s="32"/>
      <c r="Q1017" s="32"/>
      <c r="R1017" s="32"/>
      <c r="S1017" s="32"/>
      <c r="T1017" s="32"/>
      <c r="U1017" s="32"/>
      <c r="V1017" s="32"/>
      <c r="W1017" s="32"/>
      <c r="X1017" s="1750">
        <f t="shared" si="32"/>
        <v>0</v>
      </c>
      <c r="Y1017" s="175">
        <f t="shared" si="33"/>
        <v>0</v>
      </c>
    </row>
    <row r="1018" spans="1:25" ht="30" x14ac:dyDescent="0.25">
      <c r="A1018" s="32"/>
      <c r="B1018" s="32"/>
      <c r="C1018" s="32"/>
      <c r="D1018" s="32"/>
      <c r="E1018" s="32"/>
      <c r="F1018" s="32">
        <v>1</v>
      </c>
      <c r="G1018" s="32"/>
      <c r="H1018" s="66" t="str">
        <f>'BID IV'!B351</f>
        <v>Belanja Barang Perlengkapan</v>
      </c>
      <c r="I1018" s="32"/>
      <c r="J1018" s="66"/>
      <c r="K1018" s="497" t="s">
        <v>3031</v>
      </c>
      <c r="L1018" s="32"/>
      <c r="M1018" s="32"/>
      <c r="N1018" s="32"/>
      <c r="O1018" s="32"/>
      <c r="P1018" s="32"/>
      <c r="Q1018" s="32"/>
      <c r="R1018" s="32"/>
      <c r="S1018" s="32"/>
      <c r="T1018" s="32"/>
      <c r="U1018" s="32"/>
      <c r="V1018" s="32"/>
      <c r="W1018" s="32"/>
      <c r="X1018" s="1750">
        <f t="shared" si="32"/>
        <v>0</v>
      </c>
      <c r="Y1018" s="175">
        <f t="shared" si="33"/>
        <v>0</v>
      </c>
    </row>
    <row r="1019" spans="1:25" ht="30" x14ac:dyDescent="0.25">
      <c r="A1019" s="32"/>
      <c r="B1019" s="32"/>
      <c r="C1019" s="32"/>
      <c r="D1019" s="32"/>
      <c r="E1019" s="32"/>
      <c r="F1019" s="32"/>
      <c r="G1019" s="1340" t="s">
        <v>2688</v>
      </c>
      <c r="H1019" s="66" t="str">
        <f>'BID IV'!B352</f>
        <v>Belanja Alat Tulis Kantor dan Benda Pos</v>
      </c>
      <c r="I1019" s="174">
        <f>SUM('BID IV'!F353:F356)</f>
        <v>87000</v>
      </c>
      <c r="J1019" s="66" t="s">
        <v>2625</v>
      </c>
      <c r="K1019" s="497" t="s">
        <v>3031</v>
      </c>
      <c r="L1019" s="32"/>
      <c r="M1019" s="32"/>
      <c r="N1019" s="32"/>
      <c r="O1019" s="32"/>
      <c r="P1019" s="32"/>
      <c r="Q1019" s="32"/>
      <c r="R1019" s="32"/>
      <c r="S1019" s="32"/>
      <c r="T1019" s="497">
        <v>87000</v>
      </c>
      <c r="U1019" s="32"/>
      <c r="V1019" s="32"/>
      <c r="W1019" s="32"/>
      <c r="X1019" s="1750">
        <f t="shared" si="32"/>
        <v>87000</v>
      </c>
      <c r="Y1019" s="175">
        <f t="shared" si="33"/>
        <v>0</v>
      </c>
    </row>
    <row r="1020" spans="1:25" ht="30" x14ac:dyDescent="0.25">
      <c r="A1020" s="32"/>
      <c r="B1020" s="32"/>
      <c r="C1020" s="32"/>
      <c r="D1020" s="32"/>
      <c r="E1020" s="32"/>
      <c r="F1020" s="32"/>
      <c r="G1020" s="1340" t="s">
        <v>2705</v>
      </c>
      <c r="H1020" s="66" t="str">
        <f>'BID IV'!B357</f>
        <v>Belanja Perlengkapan Barang Konsumsi</v>
      </c>
      <c r="I1020" s="513">
        <f>SUM('BID IV'!F358)</f>
        <v>450000</v>
      </c>
      <c r="J1020" s="66" t="s">
        <v>2625</v>
      </c>
      <c r="K1020" s="497" t="s">
        <v>3031</v>
      </c>
      <c r="L1020" s="32"/>
      <c r="M1020" s="32"/>
      <c r="N1020" s="32"/>
      <c r="O1020" s="32"/>
      <c r="P1020" s="32"/>
      <c r="Q1020" s="32"/>
      <c r="R1020" s="32"/>
      <c r="S1020" s="32"/>
      <c r="T1020" s="497">
        <v>450000</v>
      </c>
      <c r="U1020" s="32"/>
      <c r="V1020" s="32"/>
      <c r="W1020" s="32"/>
      <c r="X1020" s="1750">
        <f t="shared" si="32"/>
        <v>450000</v>
      </c>
      <c r="Y1020" s="175">
        <f t="shared" si="33"/>
        <v>0</v>
      </c>
    </row>
    <row r="1021" spans="1:25" x14ac:dyDescent="0.25">
      <c r="A1021" s="32"/>
      <c r="B1021" s="32"/>
      <c r="C1021" s="32"/>
      <c r="D1021" s="32"/>
      <c r="E1021" s="32"/>
      <c r="F1021" s="32"/>
      <c r="G1021" s="1340" t="s">
        <v>2708</v>
      </c>
      <c r="H1021" s="66" t="str">
        <f>'BID IV'!B359</f>
        <v>Belanaja Bahan/Material</v>
      </c>
      <c r="I1021" s="32"/>
      <c r="J1021" s="66"/>
      <c r="K1021" s="497" t="s">
        <v>3031</v>
      </c>
      <c r="L1021" s="32"/>
      <c r="M1021" s="32"/>
      <c r="N1021" s="32"/>
      <c r="O1021" s="32"/>
      <c r="P1021" s="32"/>
      <c r="Q1021" s="32"/>
      <c r="R1021" s="32"/>
      <c r="S1021" s="32"/>
      <c r="T1021" s="497"/>
      <c r="U1021" s="32"/>
      <c r="V1021" s="32"/>
      <c r="W1021" s="32"/>
      <c r="X1021" s="1750">
        <f t="shared" si="32"/>
        <v>0</v>
      </c>
      <c r="Y1021" s="175">
        <f t="shared" si="33"/>
        <v>0</v>
      </c>
    </row>
    <row r="1022" spans="1:25" ht="30" x14ac:dyDescent="0.25">
      <c r="A1022" s="32"/>
      <c r="B1022" s="32"/>
      <c r="C1022" s="32"/>
      <c r="D1022" s="32"/>
      <c r="E1022" s="32"/>
      <c r="F1022" s="32"/>
      <c r="G1022" s="1340" t="s">
        <v>2707</v>
      </c>
      <c r="H1022" s="66" t="str">
        <f>'BID IV'!B360</f>
        <v>Belanja Bendera/ Umbul-umbul/ Spanduk</v>
      </c>
      <c r="I1022" s="513">
        <f>'BID IV'!F361</f>
        <v>90000</v>
      </c>
      <c r="J1022" s="66" t="s">
        <v>2625</v>
      </c>
      <c r="K1022" s="497" t="s">
        <v>3031</v>
      </c>
      <c r="L1022" s="32"/>
      <c r="M1022" s="32"/>
      <c r="N1022" s="32"/>
      <c r="O1022" s="32"/>
      <c r="P1022" s="32"/>
      <c r="Q1022" s="32"/>
      <c r="R1022" s="32"/>
      <c r="S1022" s="32"/>
      <c r="T1022" s="497">
        <v>90000</v>
      </c>
      <c r="U1022" s="32"/>
      <c r="V1022" s="32"/>
      <c r="W1022" s="32"/>
      <c r="X1022" s="1750">
        <f t="shared" si="32"/>
        <v>90000</v>
      </c>
      <c r="Y1022" s="175">
        <f t="shared" si="33"/>
        <v>0</v>
      </c>
    </row>
    <row r="1023" spans="1:25" x14ac:dyDescent="0.25">
      <c r="A1023" s="32"/>
      <c r="B1023" s="32"/>
      <c r="C1023" s="32"/>
      <c r="D1023" s="32">
        <v>5</v>
      </c>
      <c r="E1023" s="32">
        <v>2</v>
      </c>
      <c r="F1023" s="32">
        <v>2</v>
      </c>
      <c r="G1023" s="32"/>
      <c r="H1023" s="32" t="str">
        <f>'BID IV'!B362</f>
        <v>Belanja Jasa Honorarium</v>
      </c>
      <c r="I1023" s="32"/>
      <c r="J1023" s="66"/>
      <c r="K1023" s="497" t="s">
        <v>3031</v>
      </c>
      <c r="L1023" s="32"/>
      <c r="M1023" s="32"/>
      <c r="N1023" s="32"/>
      <c r="O1023" s="32"/>
      <c r="P1023" s="32"/>
      <c r="Q1023" s="32"/>
      <c r="R1023" s="32"/>
      <c r="S1023" s="32"/>
      <c r="T1023" s="497"/>
      <c r="U1023" s="32"/>
      <c r="V1023" s="32"/>
      <c r="W1023" s="32"/>
      <c r="X1023" s="1750">
        <f t="shared" si="32"/>
        <v>0</v>
      </c>
      <c r="Y1023" s="175">
        <f t="shared" si="33"/>
        <v>0</v>
      </c>
    </row>
    <row r="1024" spans="1:25" ht="60" x14ac:dyDescent="0.25">
      <c r="A1024" s="32"/>
      <c r="B1024" s="32"/>
      <c r="C1024" s="32"/>
      <c r="D1024" s="32"/>
      <c r="E1024" s="32"/>
      <c r="F1024" s="32"/>
      <c r="G1024" s="1340" t="s">
        <v>2704</v>
      </c>
      <c r="H1024" s="66" t="str">
        <f>'BID IV'!B363</f>
        <v>Belanja Jasa Honorarium Ahli/ Profesi/Konsultan/Narasumber</v>
      </c>
      <c r="I1024" s="513">
        <f>SUM('BID IV'!F364)</f>
        <v>600000</v>
      </c>
      <c r="J1024" s="66" t="s">
        <v>2625</v>
      </c>
      <c r="K1024" s="497" t="s">
        <v>3031</v>
      </c>
      <c r="L1024" s="32"/>
      <c r="M1024" s="32"/>
      <c r="N1024" s="32"/>
      <c r="O1024" s="32"/>
      <c r="P1024" s="32"/>
      <c r="Q1024" s="32"/>
      <c r="R1024" s="32"/>
      <c r="S1024" s="32"/>
      <c r="T1024" s="497">
        <v>600000</v>
      </c>
      <c r="U1024" s="32"/>
      <c r="V1024" s="32"/>
      <c r="W1024" s="32"/>
      <c r="X1024" s="1750">
        <f t="shared" si="32"/>
        <v>600000</v>
      </c>
      <c r="Y1024" s="175">
        <f t="shared" si="33"/>
        <v>0</v>
      </c>
    </row>
    <row r="1025" spans="1:25" ht="90" x14ac:dyDescent="0.25">
      <c r="A1025" s="1344">
        <v>4</v>
      </c>
      <c r="B1025" s="1344">
        <v>6</v>
      </c>
      <c r="C1025" s="1346" t="s">
        <v>2702</v>
      </c>
      <c r="D1025" s="1344"/>
      <c r="E1025" s="1344"/>
      <c r="F1025" s="1344"/>
      <c r="G1025" s="1344"/>
      <c r="H1025" s="1345" t="str">
        <f>'BID IV'!B381</f>
        <v>: Pengembangan sarana dan prasarana usaha mikro, kecil dan menengah serta koprasi  (Pelatihan Management BUMDes)</v>
      </c>
      <c r="I1025" s="1347">
        <f>SUM(I1026:I1032)</f>
        <v>1205000</v>
      </c>
      <c r="J1025" s="1345" t="s">
        <v>1682</v>
      </c>
      <c r="K1025" s="1796" t="s">
        <v>3030</v>
      </c>
      <c r="L1025" s="1344"/>
      <c r="M1025" s="1344"/>
      <c r="N1025" s="1344"/>
      <c r="O1025" s="1344"/>
      <c r="P1025" s="1344"/>
      <c r="Q1025" s="1344"/>
      <c r="R1025" s="1344"/>
      <c r="S1025" s="1344"/>
      <c r="T1025" s="1344"/>
      <c r="U1025" s="1344"/>
      <c r="V1025" s="1344"/>
      <c r="W1025" s="1344"/>
      <c r="X1025" s="1353">
        <f t="shared" si="32"/>
        <v>0</v>
      </c>
      <c r="Y1025" s="175">
        <f t="shared" si="33"/>
        <v>-1205000</v>
      </c>
    </row>
    <row r="1026" spans="1:25" ht="30" x14ac:dyDescent="0.25">
      <c r="A1026" s="32"/>
      <c r="B1026" s="32"/>
      <c r="C1026" s="32"/>
      <c r="D1026" s="32">
        <v>5</v>
      </c>
      <c r="E1026" s="32">
        <v>2</v>
      </c>
      <c r="F1026" s="32"/>
      <c r="G1026" s="32"/>
      <c r="H1026" s="66" t="str">
        <f>'BID IV'!B387</f>
        <v>Belanja Barang Dan Jasa</v>
      </c>
      <c r="I1026" s="32"/>
      <c r="J1026" s="66"/>
      <c r="K1026" s="1797" t="s">
        <v>3030</v>
      </c>
      <c r="L1026" s="32"/>
      <c r="M1026" s="32"/>
      <c r="N1026" s="32"/>
      <c r="O1026" s="32"/>
      <c r="P1026" s="32"/>
      <c r="Q1026" s="32"/>
      <c r="R1026" s="32"/>
      <c r="S1026" s="32"/>
      <c r="T1026" s="32"/>
      <c r="U1026" s="32"/>
      <c r="V1026" s="32"/>
      <c r="W1026" s="32"/>
      <c r="X1026" s="1750">
        <f t="shared" si="32"/>
        <v>0</v>
      </c>
      <c r="Y1026" s="175">
        <f t="shared" si="33"/>
        <v>0</v>
      </c>
    </row>
    <row r="1027" spans="1:25" ht="30" x14ac:dyDescent="0.25">
      <c r="A1027" s="32"/>
      <c r="B1027" s="32"/>
      <c r="C1027" s="32"/>
      <c r="D1027" s="32"/>
      <c r="E1027" s="32"/>
      <c r="F1027" s="32">
        <v>1</v>
      </c>
      <c r="G1027" s="32"/>
      <c r="H1027" s="66" t="str">
        <f>'BID IV'!B388</f>
        <v>Belanja Barang Perlengkapan</v>
      </c>
      <c r="I1027" s="32"/>
      <c r="J1027" s="66"/>
      <c r="K1027" s="1797" t="s">
        <v>3030</v>
      </c>
      <c r="L1027" s="32"/>
      <c r="M1027" s="32"/>
      <c r="N1027" s="32"/>
      <c r="O1027" s="32"/>
      <c r="P1027" s="32"/>
      <c r="Q1027" s="32"/>
      <c r="R1027" s="32"/>
      <c r="S1027" s="32"/>
      <c r="T1027" s="32"/>
      <c r="U1027" s="32"/>
      <c r="V1027" s="32"/>
      <c r="W1027" s="32"/>
      <c r="X1027" s="1750">
        <f t="shared" si="32"/>
        <v>0</v>
      </c>
      <c r="Y1027" s="175">
        <f t="shared" si="33"/>
        <v>0</v>
      </c>
    </row>
    <row r="1028" spans="1:25" ht="30" x14ac:dyDescent="0.25">
      <c r="A1028" s="32"/>
      <c r="B1028" s="32"/>
      <c r="C1028" s="32"/>
      <c r="D1028" s="32"/>
      <c r="E1028" s="32"/>
      <c r="F1028" s="32"/>
      <c r="G1028" s="1340" t="s">
        <v>2705</v>
      </c>
      <c r="H1028" s="66" t="str">
        <f>'BID IV'!B389</f>
        <v>Belanja Perlengkapan Barang Konsumsi</v>
      </c>
      <c r="I1028" s="174">
        <f>SUM('BID IV'!F390)</f>
        <v>450000</v>
      </c>
      <c r="J1028" s="66" t="s">
        <v>1682</v>
      </c>
      <c r="K1028" s="1797" t="s">
        <v>3030</v>
      </c>
      <c r="L1028" s="32"/>
      <c r="M1028" s="32"/>
      <c r="N1028" s="32"/>
      <c r="O1028" s="32"/>
      <c r="P1028" s="32"/>
      <c r="Q1028" s="32"/>
      <c r="R1028" s="32"/>
      <c r="S1028" s="32"/>
      <c r="T1028" s="32"/>
      <c r="U1028" s="497">
        <v>450000</v>
      </c>
      <c r="V1028" s="32"/>
      <c r="W1028" s="32"/>
      <c r="X1028" s="1750">
        <f t="shared" si="32"/>
        <v>450000</v>
      </c>
      <c r="Y1028" s="175">
        <f t="shared" si="33"/>
        <v>0</v>
      </c>
    </row>
    <row r="1029" spans="1:25" ht="30" x14ac:dyDescent="0.25">
      <c r="A1029" s="32"/>
      <c r="B1029" s="32"/>
      <c r="C1029" s="32"/>
      <c r="D1029" s="32"/>
      <c r="E1029" s="32"/>
      <c r="F1029" s="32"/>
      <c r="G1029" s="1340" t="s">
        <v>2707</v>
      </c>
      <c r="H1029" s="66" t="str">
        <f>'BID IV'!B392</f>
        <v>Belanja Bendera/ Umbul-umbul/ Spanduk</v>
      </c>
      <c r="I1029" s="174">
        <f>'BID IV'!F393</f>
        <v>90000</v>
      </c>
      <c r="J1029" s="66" t="s">
        <v>1682</v>
      </c>
      <c r="K1029" s="1797" t="s">
        <v>3030</v>
      </c>
      <c r="L1029" s="32"/>
      <c r="M1029" s="32"/>
      <c r="N1029" s="32"/>
      <c r="O1029" s="32"/>
      <c r="P1029" s="32"/>
      <c r="Q1029" s="32"/>
      <c r="R1029" s="32"/>
      <c r="S1029" s="32"/>
      <c r="T1029" s="32"/>
      <c r="U1029" s="497">
        <v>90000</v>
      </c>
      <c r="V1029" s="32"/>
      <c r="W1029" s="32"/>
      <c r="X1029" s="1750">
        <f t="shared" si="32"/>
        <v>90000</v>
      </c>
      <c r="Y1029" s="175">
        <f t="shared" si="33"/>
        <v>0</v>
      </c>
    </row>
    <row r="1030" spans="1:25" ht="30" x14ac:dyDescent="0.25">
      <c r="A1030" s="32"/>
      <c r="B1030" s="32"/>
      <c r="C1030" s="32"/>
      <c r="D1030" s="32"/>
      <c r="E1030" s="32"/>
      <c r="F1030" s="32"/>
      <c r="G1030" s="32">
        <v>90</v>
      </c>
      <c r="H1030" s="66" t="str">
        <f>'BID IV'!B395</f>
        <v>Belanja Upakara, Upacara dan Aci</v>
      </c>
      <c r="I1030" s="174">
        <f>SUM('BID IV'!F396:F397)</f>
        <v>65000</v>
      </c>
      <c r="J1030" s="66" t="s">
        <v>1682</v>
      </c>
      <c r="K1030" s="1797" t="s">
        <v>3030</v>
      </c>
      <c r="L1030" s="32"/>
      <c r="M1030" s="32"/>
      <c r="N1030" s="32"/>
      <c r="O1030" s="32"/>
      <c r="P1030" s="32"/>
      <c r="Q1030" s="32"/>
      <c r="R1030" s="32"/>
      <c r="S1030" s="32"/>
      <c r="T1030" s="32"/>
      <c r="U1030" s="497">
        <v>65000</v>
      </c>
      <c r="V1030" s="32"/>
      <c r="W1030" s="32"/>
      <c r="X1030" s="1750">
        <f t="shared" si="32"/>
        <v>65000</v>
      </c>
      <c r="Y1030" s="175">
        <f t="shared" si="33"/>
        <v>0</v>
      </c>
    </row>
    <row r="1031" spans="1:25" ht="30" x14ac:dyDescent="0.25">
      <c r="A1031" s="32"/>
      <c r="B1031" s="32"/>
      <c r="C1031" s="32"/>
      <c r="D1031" s="32">
        <v>5</v>
      </c>
      <c r="E1031" s="32">
        <v>2</v>
      </c>
      <c r="F1031" s="32">
        <v>2</v>
      </c>
      <c r="G1031" s="32"/>
      <c r="H1031" s="66" t="str">
        <f>'BID IV'!B399</f>
        <v>Belanja Honorarium</v>
      </c>
      <c r="I1031" s="32"/>
      <c r="J1031" s="66"/>
      <c r="K1031" s="1797" t="s">
        <v>3030</v>
      </c>
      <c r="L1031" s="32"/>
      <c r="M1031" s="32"/>
      <c r="N1031" s="32"/>
      <c r="O1031" s="32"/>
      <c r="P1031" s="32"/>
      <c r="Q1031" s="32"/>
      <c r="R1031" s="32"/>
      <c r="S1031" s="32"/>
      <c r="T1031" s="32"/>
      <c r="U1031" s="497"/>
      <c r="V1031" s="32"/>
      <c r="W1031" s="32"/>
      <c r="X1031" s="1750">
        <f t="shared" si="32"/>
        <v>0</v>
      </c>
      <c r="Y1031" s="175">
        <f t="shared" si="33"/>
        <v>0</v>
      </c>
    </row>
    <row r="1032" spans="1:25" ht="45" x14ac:dyDescent="0.25">
      <c r="A1032" s="32"/>
      <c r="B1032" s="32"/>
      <c r="C1032" s="32"/>
      <c r="D1032" s="32"/>
      <c r="E1032" s="32"/>
      <c r="F1032" s="32"/>
      <c r="G1032" s="1340" t="s">
        <v>2704</v>
      </c>
      <c r="H1032" s="66" t="str">
        <f>'BID IV'!B400</f>
        <v>Belanja Jasa Honorarium Ahli/Profesi/Konsultan/Narasumber</v>
      </c>
      <c r="I1032" s="174">
        <f>SUM('BID IV'!F401)</f>
        <v>600000</v>
      </c>
      <c r="J1032" s="66" t="s">
        <v>1682</v>
      </c>
      <c r="K1032" s="1797" t="s">
        <v>3030</v>
      </c>
      <c r="L1032" s="32"/>
      <c r="M1032" s="32"/>
      <c r="N1032" s="32"/>
      <c r="O1032" s="32"/>
      <c r="P1032" s="32"/>
      <c r="Q1032" s="32"/>
      <c r="R1032" s="32"/>
      <c r="S1032" s="32"/>
      <c r="T1032" s="32"/>
      <c r="U1032" s="497">
        <v>600000</v>
      </c>
      <c r="V1032" s="32"/>
      <c r="W1032" s="32"/>
      <c r="X1032" s="1750">
        <f t="shared" si="32"/>
        <v>600000</v>
      </c>
      <c r="Y1032" s="175">
        <f t="shared" si="33"/>
        <v>0</v>
      </c>
    </row>
    <row r="1033" spans="1:25" ht="90" x14ac:dyDescent="0.25">
      <c r="A1033" s="1344">
        <v>4</v>
      </c>
      <c r="B1033" s="1344">
        <v>7</v>
      </c>
      <c r="C1033" s="1346" t="s">
        <v>2704</v>
      </c>
      <c r="D1033" s="1344"/>
      <c r="E1033" s="1344"/>
      <c r="F1033" s="1344"/>
      <c r="G1033" s="1344"/>
      <c r="H1033" s="1345" t="str">
        <f>'BID IV'!B417</f>
        <v>: Pelatihan Kelompok Usahan Ekonomi Produktif (Kelompok Pengerajin Lampion "Dewata Janur Desa Penatih Dangin Puri)</v>
      </c>
      <c r="I1033" s="1347">
        <f>SUM(I1034:I1042)</f>
        <v>46276296</v>
      </c>
      <c r="J1033" s="1345" t="s">
        <v>2620</v>
      </c>
      <c r="K1033" s="1796" t="s">
        <v>3030</v>
      </c>
      <c r="L1033" s="1344"/>
      <c r="M1033" s="1344"/>
      <c r="N1033" s="1344"/>
      <c r="O1033" s="1344"/>
      <c r="P1033" s="1344"/>
      <c r="Q1033" s="1344"/>
      <c r="R1033" s="1344"/>
      <c r="S1033" s="1344"/>
      <c r="T1033" s="1344"/>
      <c r="U1033" s="1344"/>
      <c r="V1033" s="1344"/>
      <c r="W1033" s="1344"/>
      <c r="X1033" s="1353">
        <f t="shared" si="32"/>
        <v>0</v>
      </c>
      <c r="Y1033" s="175">
        <f t="shared" si="33"/>
        <v>-46276296</v>
      </c>
    </row>
    <row r="1034" spans="1:25" ht="30" x14ac:dyDescent="0.25">
      <c r="A1034" s="32"/>
      <c r="B1034" s="32"/>
      <c r="C1034" s="32"/>
      <c r="D1034" s="32">
        <v>5</v>
      </c>
      <c r="E1034" s="32">
        <v>2</v>
      </c>
      <c r="F1034" s="32"/>
      <c r="G1034" s="32"/>
      <c r="H1034" s="66" t="str">
        <f>'BID IV'!B423</f>
        <v>Belanja Barang Dan Jasa</v>
      </c>
      <c r="I1034" s="32"/>
      <c r="J1034" s="66"/>
      <c r="K1034" s="1797" t="s">
        <v>3030</v>
      </c>
      <c r="L1034" s="32"/>
      <c r="M1034" s="32"/>
      <c r="N1034" s="32"/>
      <c r="O1034" s="32"/>
      <c r="P1034" s="32"/>
      <c r="Q1034" s="32"/>
      <c r="R1034" s="32"/>
      <c r="S1034" s="32"/>
      <c r="T1034" s="32"/>
      <c r="U1034" s="32"/>
      <c r="V1034" s="32"/>
      <c r="W1034" s="32"/>
      <c r="X1034" s="1750">
        <f t="shared" si="32"/>
        <v>0</v>
      </c>
      <c r="Y1034" s="175">
        <f t="shared" si="33"/>
        <v>0</v>
      </c>
    </row>
    <row r="1035" spans="1:25" ht="30" x14ac:dyDescent="0.25">
      <c r="A1035" s="32"/>
      <c r="B1035" s="32"/>
      <c r="C1035" s="32"/>
      <c r="D1035" s="32"/>
      <c r="E1035" s="32"/>
      <c r="F1035" s="32">
        <v>1</v>
      </c>
      <c r="G1035" s="32"/>
      <c r="H1035" s="66" t="str">
        <f>'BID IV'!B424</f>
        <v>Belanja Barang Perlengkapan</v>
      </c>
      <c r="I1035" s="32"/>
      <c r="J1035" s="66"/>
      <c r="K1035" s="1797" t="s">
        <v>3030</v>
      </c>
      <c r="L1035" s="32"/>
      <c r="M1035" s="32"/>
      <c r="N1035" s="32"/>
      <c r="O1035" s="32"/>
      <c r="P1035" s="32"/>
      <c r="Q1035" s="32"/>
      <c r="R1035" s="32"/>
      <c r="S1035" s="32"/>
      <c r="T1035" s="32"/>
      <c r="U1035" s="32"/>
      <c r="V1035" s="32"/>
      <c r="W1035" s="32"/>
      <c r="X1035" s="1750">
        <f t="shared" si="32"/>
        <v>0</v>
      </c>
      <c r="Y1035" s="175">
        <f t="shared" si="33"/>
        <v>0</v>
      </c>
    </row>
    <row r="1036" spans="1:25" ht="30" x14ac:dyDescent="0.25">
      <c r="A1036" s="32"/>
      <c r="B1036" s="32"/>
      <c r="C1036" s="32"/>
      <c r="D1036" s="32"/>
      <c r="E1036" s="32"/>
      <c r="F1036" s="32"/>
      <c r="G1036" s="1340" t="s">
        <v>2705</v>
      </c>
      <c r="H1036" s="66" t="str">
        <f>'BID IV'!B425</f>
        <v>Belanja Perlengkapan Barang Konsumsi</v>
      </c>
      <c r="I1036" s="174">
        <f>SUM('BID IV'!F426)</f>
        <v>300000</v>
      </c>
      <c r="J1036" s="66" t="s">
        <v>2620</v>
      </c>
      <c r="K1036" s="1797" t="s">
        <v>3030</v>
      </c>
      <c r="L1036" s="32"/>
      <c r="M1036" s="32"/>
      <c r="N1036" s="32"/>
      <c r="O1036" s="32"/>
      <c r="P1036" s="32"/>
      <c r="Q1036" s="32"/>
      <c r="R1036" s="497">
        <v>300000</v>
      </c>
      <c r="S1036" s="32"/>
      <c r="T1036" s="32"/>
      <c r="U1036" s="32"/>
      <c r="V1036" s="32"/>
      <c r="W1036" s="32"/>
      <c r="X1036" s="1750">
        <f t="shared" si="32"/>
        <v>300000</v>
      </c>
      <c r="Y1036" s="175">
        <f t="shared" si="33"/>
        <v>0</v>
      </c>
    </row>
    <row r="1037" spans="1:25" ht="30" x14ac:dyDescent="0.25">
      <c r="A1037" s="32"/>
      <c r="B1037" s="32"/>
      <c r="C1037" s="32"/>
      <c r="D1037" s="32"/>
      <c r="E1037" s="32"/>
      <c r="F1037" s="32"/>
      <c r="G1037" s="1340" t="s">
        <v>2707</v>
      </c>
      <c r="H1037" s="66" t="str">
        <f>'BID IV'!B429</f>
        <v>Belanja Bendera/ Umbul-umbul/ Spanduk</v>
      </c>
      <c r="I1037" s="174">
        <f>'BID IV'!F430</f>
        <v>90000</v>
      </c>
      <c r="J1037" s="66" t="s">
        <v>2620</v>
      </c>
      <c r="K1037" s="1797" t="s">
        <v>3030</v>
      </c>
      <c r="L1037" s="32"/>
      <c r="M1037" s="32"/>
      <c r="N1037" s="32"/>
      <c r="O1037" s="32"/>
      <c r="P1037" s="32"/>
      <c r="Q1037" s="32"/>
      <c r="R1037" s="497">
        <v>90000</v>
      </c>
      <c r="S1037" s="32"/>
      <c r="T1037" s="32"/>
      <c r="U1037" s="32"/>
      <c r="V1037" s="32"/>
      <c r="W1037" s="32"/>
      <c r="X1037" s="1750">
        <f t="shared" si="32"/>
        <v>90000</v>
      </c>
      <c r="Y1037" s="175">
        <f t="shared" si="33"/>
        <v>0</v>
      </c>
    </row>
    <row r="1038" spans="1:25" ht="30" x14ac:dyDescent="0.25">
      <c r="A1038" s="32"/>
      <c r="B1038" s="32"/>
      <c r="C1038" s="32"/>
      <c r="D1038" s="32">
        <v>5</v>
      </c>
      <c r="E1038" s="32">
        <v>2</v>
      </c>
      <c r="F1038" s="32">
        <v>2</v>
      </c>
      <c r="G1038" s="32"/>
      <c r="H1038" s="66" t="str">
        <f>'BID IV'!B432</f>
        <v>Belanja Jasa Honorarium</v>
      </c>
      <c r="I1038" s="32"/>
      <c r="J1038" s="66"/>
      <c r="K1038" s="1797" t="s">
        <v>3030</v>
      </c>
      <c r="L1038" s="32"/>
      <c r="M1038" s="32"/>
      <c r="N1038" s="32"/>
      <c r="O1038" s="32"/>
      <c r="P1038" s="32"/>
      <c r="Q1038" s="32"/>
      <c r="R1038" s="497"/>
      <c r="S1038" s="32"/>
      <c r="T1038" s="32"/>
      <c r="U1038" s="32"/>
      <c r="V1038" s="32"/>
      <c r="W1038" s="32"/>
      <c r="X1038" s="1750">
        <f t="shared" si="32"/>
        <v>0</v>
      </c>
      <c r="Y1038" s="175">
        <f t="shared" si="33"/>
        <v>0</v>
      </c>
    </row>
    <row r="1039" spans="1:25" ht="45" x14ac:dyDescent="0.25">
      <c r="A1039" s="32"/>
      <c r="B1039" s="32"/>
      <c r="C1039" s="32"/>
      <c r="D1039" s="32"/>
      <c r="E1039" s="32"/>
      <c r="F1039" s="32"/>
      <c r="G1039" s="1340" t="s">
        <v>2688</v>
      </c>
      <c r="H1039" s="66" t="str">
        <f>'BID IV'!B433</f>
        <v>Belanja Jasa Honorarium Tim Yang Melaksanakan Kegiatan</v>
      </c>
      <c r="I1039" s="174">
        <f>SUM('BID IV'!F434:F436)</f>
        <v>1150000</v>
      </c>
      <c r="J1039" s="66" t="s">
        <v>2620</v>
      </c>
      <c r="K1039" s="1797" t="s">
        <v>3030</v>
      </c>
      <c r="L1039" s="32"/>
      <c r="M1039" s="32"/>
      <c r="N1039" s="32"/>
      <c r="O1039" s="32"/>
      <c r="P1039" s="32"/>
      <c r="Q1039" s="32"/>
      <c r="R1039" s="497">
        <v>1150000</v>
      </c>
      <c r="S1039" s="32"/>
      <c r="T1039" s="32"/>
      <c r="U1039" s="32"/>
      <c r="V1039" s="32"/>
      <c r="W1039" s="32"/>
      <c r="X1039" s="1750">
        <f t="shared" si="32"/>
        <v>1150000</v>
      </c>
      <c r="Y1039" s="175">
        <f t="shared" si="33"/>
        <v>0</v>
      </c>
    </row>
    <row r="1040" spans="1:25" ht="30" x14ac:dyDescent="0.25">
      <c r="A1040" s="32"/>
      <c r="B1040" s="32"/>
      <c r="C1040" s="32"/>
      <c r="D1040" s="32"/>
      <c r="E1040" s="32"/>
      <c r="F1040" s="32"/>
      <c r="G1040" s="1340" t="s">
        <v>2704</v>
      </c>
      <c r="H1040" s="66" t="str">
        <f>'BID IV'!B438</f>
        <v>Honorium Narasumber / intruktur 2 or x 1kali</v>
      </c>
      <c r="I1040" s="174">
        <f>'BID IV'!F438</f>
        <v>600000</v>
      </c>
      <c r="J1040" s="66" t="s">
        <v>2620</v>
      </c>
      <c r="K1040" s="1797" t="s">
        <v>3030</v>
      </c>
      <c r="L1040" s="32"/>
      <c r="M1040" s="32"/>
      <c r="N1040" s="32"/>
      <c r="O1040" s="32"/>
      <c r="P1040" s="32"/>
      <c r="Q1040" s="32"/>
      <c r="R1040" s="497">
        <v>600000</v>
      </c>
      <c r="S1040" s="32"/>
      <c r="T1040" s="32"/>
      <c r="U1040" s="32"/>
      <c r="V1040" s="32"/>
      <c r="W1040" s="32"/>
      <c r="X1040" s="1750">
        <f t="shared" si="32"/>
        <v>600000</v>
      </c>
      <c r="Y1040" s="175">
        <f t="shared" si="33"/>
        <v>0</v>
      </c>
    </row>
    <row r="1041" spans="1:25" ht="45" x14ac:dyDescent="0.25">
      <c r="A1041" s="32"/>
      <c r="B1041" s="32"/>
      <c r="C1041" s="32"/>
      <c r="D1041" s="32">
        <v>5</v>
      </c>
      <c r="E1041" s="32">
        <v>2</v>
      </c>
      <c r="F1041" s="32">
        <v>7</v>
      </c>
      <c r="G1041" s="32"/>
      <c r="H1041" s="66" t="str">
        <f>'BID IV'!B440</f>
        <v>Belanja Barang Dan jasa Yang Diserahkan Kepada Masyarakat</v>
      </c>
      <c r="I1041" s="32"/>
      <c r="J1041" s="66"/>
      <c r="K1041" s="1797" t="s">
        <v>3030</v>
      </c>
      <c r="L1041" s="32"/>
      <c r="M1041" s="32"/>
      <c r="N1041" s="32"/>
      <c r="O1041" s="32"/>
      <c r="P1041" s="32"/>
      <c r="Q1041" s="32"/>
      <c r="R1041" s="497"/>
      <c r="S1041" s="32"/>
      <c r="T1041" s="32"/>
      <c r="U1041" s="32"/>
      <c r="V1041" s="32"/>
      <c r="W1041" s="32"/>
      <c r="X1041" s="1750">
        <f t="shared" si="32"/>
        <v>0</v>
      </c>
      <c r="Y1041" s="175">
        <f t="shared" si="33"/>
        <v>0</v>
      </c>
    </row>
    <row r="1042" spans="1:25" ht="60" x14ac:dyDescent="0.25">
      <c r="A1042" s="32"/>
      <c r="B1042" s="32"/>
      <c r="C1042" s="32"/>
      <c r="D1042" s="32"/>
      <c r="E1042" s="32"/>
      <c r="F1042" s="32"/>
      <c r="G1042" s="1340" t="s">
        <v>2688</v>
      </c>
      <c r="H1042" s="66" t="str">
        <f>'BID IV'!B441</f>
        <v>Belanja Bahan Perlengkapan Yang Diserahkan Ke Masyarakat</v>
      </c>
      <c r="I1042" s="174">
        <f>SUM('BID IV'!F442:F461)</f>
        <v>44136296</v>
      </c>
      <c r="J1042" s="66" t="s">
        <v>2620</v>
      </c>
      <c r="K1042" s="1797" t="s">
        <v>3030</v>
      </c>
      <c r="L1042" s="32"/>
      <c r="M1042" s="32"/>
      <c r="N1042" s="32"/>
      <c r="O1042" s="32"/>
      <c r="P1042" s="32"/>
      <c r="Q1042" s="32"/>
      <c r="R1042" s="497">
        <v>44136296</v>
      </c>
      <c r="S1042" s="32"/>
      <c r="T1042" s="32"/>
      <c r="U1042" s="32"/>
      <c r="V1042" s="32"/>
      <c r="W1042" s="32"/>
      <c r="X1042" s="1750">
        <f t="shared" si="32"/>
        <v>44136296</v>
      </c>
      <c r="Y1042" s="175">
        <f t="shared" si="33"/>
        <v>0</v>
      </c>
    </row>
    <row r="1043" spans="1:25" x14ac:dyDescent="0.25">
      <c r="A1043" s="1342">
        <v>5</v>
      </c>
      <c r="B1043" s="1342"/>
      <c r="C1043" s="1342"/>
      <c r="D1043" s="1342"/>
      <c r="E1043" s="1342"/>
      <c r="F1043" s="1342"/>
      <c r="G1043" s="1342"/>
      <c r="H1043" s="1342" t="str">
        <f>'BID V'!B5</f>
        <v>: Tanggap Darurat Bencana</v>
      </c>
      <c r="I1043" s="1351">
        <f>I1045</f>
        <v>151200000</v>
      </c>
      <c r="J1043" s="1343"/>
      <c r="K1043" s="1342"/>
      <c r="L1043" s="1342"/>
      <c r="M1043" s="1342"/>
      <c r="N1043" s="1342"/>
      <c r="O1043" s="1342"/>
      <c r="P1043" s="1342"/>
      <c r="Q1043" s="1342"/>
      <c r="R1043" s="1342"/>
      <c r="S1043" s="1342"/>
      <c r="T1043" s="1342"/>
      <c r="U1043" s="1342"/>
      <c r="V1043" s="1342"/>
      <c r="W1043" s="1342"/>
      <c r="X1043" s="1799">
        <f t="shared" si="32"/>
        <v>0</v>
      </c>
      <c r="Y1043" s="175">
        <f t="shared" si="33"/>
        <v>-151200000</v>
      </c>
    </row>
    <row r="1044" spans="1:25" x14ac:dyDescent="0.25">
      <c r="A1044" s="1344">
        <v>5</v>
      </c>
      <c r="B1044" s="1344">
        <v>3</v>
      </c>
      <c r="C1044" s="1344"/>
      <c r="D1044" s="1344"/>
      <c r="E1044" s="1344"/>
      <c r="F1044" s="1344"/>
      <c r="G1044" s="1344"/>
      <c r="H1044" s="1345" t="str">
        <f>'BID V'!B6</f>
        <v>: Keadaan Mendesak</v>
      </c>
      <c r="I1044" s="1344"/>
      <c r="J1044" s="1345"/>
      <c r="K1044" s="1344"/>
      <c r="L1044" s="1344"/>
      <c r="M1044" s="1344"/>
      <c r="N1044" s="1344"/>
      <c r="O1044" s="1344"/>
      <c r="P1044" s="1344"/>
      <c r="Q1044" s="1344"/>
      <c r="R1044" s="1344"/>
      <c r="S1044" s="1344"/>
      <c r="T1044" s="1344"/>
      <c r="U1044" s="1344"/>
      <c r="V1044" s="1344"/>
      <c r="W1044" s="1344"/>
      <c r="X1044" s="1353">
        <f t="shared" si="32"/>
        <v>0</v>
      </c>
      <c r="Y1044" s="175">
        <f t="shared" si="33"/>
        <v>0</v>
      </c>
    </row>
    <row r="1045" spans="1:25" ht="45" x14ac:dyDescent="0.25">
      <c r="A1045" s="1344">
        <v>5</v>
      </c>
      <c r="B1045" s="1344">
        <v>3</v>
      </c>
      <c r="C1045" s="1346" t="s">
        <v>2721</v>
      </c>
      <c r="D1045" s="1344"/>
      <c r="E1045" s="1344"/>
      <c r="F1045" s="1344"/>
      <c r="G1045" s="1344"/>
      <c r="H1045" s="1345" t="str">
        <f>'BID V'!B7</f>
        <v xml:space="preserve"> Penanggulangan Keadaan Mendesak Pemberian BLT</v>
      </c>
      <c r="I1045" s="1349">
        <f>I1048</f>
        <v>151200000</v>
      </c>
      <c r="J1045" s="1345" t="s">
        <v>2387</v>
      </c>
      <c r="K1045" s="1796" t="s">
        <v>3030</v>
      </c>
      <c r="L1045" s="1344"/>
      <c r="M1045" s="1344"/>
      <c r="N1045" s="1344"/>
      <c r="O1045" s="1344"/>
      <c r="P1045" s="1344"/>
      <c r="Q1045" s="1344"/>
      <c r="R1045" s="1344"/>
      <c r="S1045" s="1344"/>
      <c r="T1045" s="1344"/>
      <c r="U1045" s="1344"/>
      <c r="V1045" s="1344"/>
      <c r="W1045" s="1344"/>
      <c r="X1045" s="1353">
        <f t="shared" si="32"/>
        <v>0</v>
      </c>
      <c r="Y1045" s="175">
        <f t="shared" si="33"/>
        <v>-151200000</v>
      </c>
    </row>
    <row r="1046" spans="1:25" ht="30" x14ac:dyDescent="0.25">
      <c r="A1046" s="32"/>
      <c r="B1046" s="32"/>
      <c r="C1046" s="32"/>
      <c r="D1046" s="32">
        <v>5</v>
      </c>
      <c r="E1046" s="32">
        <v>4</v>
      </c>
      <c r="F1046" s="32"/>
      <c r="G1046" s="32"/>
      <c r="H1046" s="32" t="str">
        <f>'BID V'!B13</f>
        <v>Belanja Tak Terduga</v>
      </c>
      <c r="I1046" s="32"/>
      <c r="J1046" s="66"/>
      <c r="K1046" s="1797" t="s">
        <v>3030</v>
      </c>
      <c r="L1046" s="32"/>
      <c r="M1046" s="32"/>
      <c r="N1046" s="32"/>
      <c r="O1046" s="32"/>
      <c r="P1046" s="32"/>
      <c r="Q1046" s="32"/>
      <c r="R1046" s="32"/>
      <c r="S1046" s="32"/>
      <c r="T1046" s="32"/>
      <c r="U1046" s="32"/>
      <c r="V1046" s="32"/>
      <c r="W1046" s="32"/>
      <c r="X1046" s="1750">
        <f t="shared" si="32"/>
        <v>0</v>
      </c>
      <c r="Y1046" s="175">
        <f t="shared" si="33"/>
        <v>0</v>
      </c>
    </row>
    <row r="1047" spans="1:25" ht="30" x14ac:dyDescent="0.25">
      <c r="A1047" s="32"/>
      <c r="B1047" s="32"/>
      <c r="C1047" s="32"/>
      <c r="D1047" s="32"/>
      <c r="E1047" s="32"/>
      <c r="F1047" s="32">
        <v>1</v>
      </c>
      <c r="G1047" s="32"/>
      <c r="H1047" s="32" t="str">
        <f>'BID V'!B14</f>
        <v>Belanja Tak Terduga</v>
      </c>
      <c r="I1047" s="32"/>
      <c r="J1047" s="66"/>
      <c r="K1047" s="1797" t="s">
        <v>3030</v>
      </c>
      <c r="L1047" s="32"/>
      <c r="M1047" s="32"/>
      <c r="N1047" s="32"/>
      <c r="O1047" s="32"/>
      <c r="P1047" s="32"/>
      <c r="Q1047" s="32"/>
      <c r="R1047" s="32"/>
      <c r="S1047" s="32"/>
      <c r="T1047" s="32"/>
      <c r="U1047" s="32"/>
      <c r="V1047" s="32"/>
      <c r="W1047" s="32"/>
      <c r="X1047" s="1750">
        <f t="shared" si="32"/>
        <v>0</v>
      </c>
      <c r="Y1047" s="175">
        <f t="shared" si="33"/>
        <v>0</v>
      </c>
    </row>
    <row r="1048" spans="1:25" ht="30" x14ac:dyDescent="0.25">
      <c r="A1048" s="32"/>
      <c r="B1048" s="32"/>
      <c r="C1048" s="32"/>
      <c r="D1048" s="32"/>
      <c r="E1048" s="32"/>
      <c r="F1048" s="32"/>
      <c r="G1048" s="1340" t="s">
        <v>2688</v>
      </c>
      <c r="H1048" s="32" t="str">
        <f>'BID V'!B15</f>
        <v>Belanja Tak Terduga</v>
      </c>
      <c r="I1048" s="174">
        <f>'BID V'!F16</f>
        <v>151200000</v>
      </c>
      <c r="J1048" s="66" t="s">
        <v>2387</v>
      </c>
      <c r="K1048" s="1797" t="s">
        <v>3030</v>
      </c>
      <c r="L1048" s="497">
        <v>12600000</v>
      </c>
      <c r="M1048" s="497">
        <v>12600000</v>
      </c>
      <c r="N1048" s="497">
        <v>12600000</v>
      </c>
      <c r="O1048" s="497">
        <v>12600000</v>
      </c>
      <c r="P1048" s="497">
        <v>12600000</v>
      </c>
      <c r="Q1048" s="497">
        <v>12600000</v>
      </c>
      <c r="R1048" s="497">
        <v>12600000</v>
      </c>
      <c r="S1048" s="497">
        <v>12600000</v>
      </c>
      <c r="T1048" s="497">
        <v>12600000</v>
      </c>
      <c r="U1048" s="497">
        <v>12600000</v>
      </c>
      <c r="V1048" s="497">
        <v>12600000</v>
      </c>
      <c r="W1048" s="497">
        <v>12600000</v>
      </c>
      <c r="X1048" s="1750">
        <f t="shared" si="32"/>
        <v>151200000</v>
      </c>
      <c r="Y1048" s="175">
        <f t="shared" si="33"/>
        <v>0</v>
      </c>
    </row>
    <row r="1049" spans="1:25" x14ac:dyDescent="0.25">
      <c r="A1049" s="32"/>
      <c r="B1049" s="32"/>
      <c r="C1049" s="32"/>
      <c r="D1049" s="32"/>
      <c r="E1049" s="32"/>
      <c r="F1049" s="32"/>
      <c r="G1049" s="32"/>
      <c r="H1049" s="32"/>
      <c r="I1049" s="32"/>
      <c r="J1049" s="66"/>
      <c r="K1049" s="32"/>
      <c r="L1049" s="32"/>
      <c r="M1049" s="32"/>
      <c r="N1049" s="32"/>
      <c r="O1049" s="32"/>
      <c r="P1049" s="32"/>
      <c r="Q1049" s="32"/>
      <c r="R1049" s="32"/>
      <c r="S1049" s="32"/>
      <c r="T1049" s="32"/>
      <c r="U1049" s="32"/>
      <c r="V1049" s="32"/>
      <c r="W1049" s="32"/>
      <c r="X1049" s="1750">
        <f t="shared" si="32"/>
        <v>0</v>
      </c>
    </row>
    <row r="1050" spans="1:25" x14ac:dyDescent="0.25">
      <c r="A1050" s="32"/>
      <c r="B1050" s="32"/>
      <c r="C1050" s="32"/>
      <c r="D1050" s="32"/>
      <c r="E1050" s="32"/>
      <c r="F1050" s="32"/>
      <c r="G1050" s="32"/>
      <c r="H1050" s="32"/>
      <c r="I1050" s="32"/>
      <c r="J1050" s="66"/>
      <c r="K1050" s="32"/>
      <c r="L1050" s="32"/>
      <c r="M1050" s="32"/>
      <c r="N1050" s="32"/>
      <c r="O1050" s="32"/>
      <c r="P1050" s="32"/>
      <c r="Q1050" s="32"/>
      <c r="R1050" s="32"/>
      <c r="S1050" s="32"/>
      <c r="T1050" s="32"/>
      <c r="U1050" s="32"/>
      <c r="V1050" s="32"/>
      <c r="W1050" s="32"/>
      <c r="X1050" s="1750">
        <f t="shared" si="32"/>
        <v>0</v>
      </c>
    </row>
    <row r="1051" spans="1:25" x14ac:dyDescent="0.25">
      <c r="A1051" s="32"/>
      <c r="B1051" s="32"/>
      <c r="C1051" s="32"/>
      <c r="D1051" s="32"/>
      <c r="E1051" s="32"/>
      <c r="F1051" s="32"/>
      <c r="G1051" s="32"/>
      <c r="H1051" s="32"/>
      <c r="I1051" s="32"/>
      <c r="J1051" s="66"/>
      <c r="K1051" s="32"/>
      <c r="L1051" s="32"/>
      <c r="M1051" s="32"/>
      <c r="N1051" s="32"/>
      <c r="O1051" s="32"/>
      <c r="P1051" s="32"/>
      <c r="Q1051" s="32"/>
      <c r="R1051" s="32"/>
      <c r="S1051" s="32"/>
      <c r="T1051" s="32"/>
      <c r="U1051" s="32"/>
      <c r="V1051" s="32"/>
      <c r="W1051" s="32"/>
      <c r="X1051" s="1750">
        <f t="shared" si="32"/>
        <v>0</v>
      </c>
    </row>
    <row r="1052" spans="1:25" x14ac:dyDescent="0.25">
      <c r="A1052" s="1342"/>
      <c r="B1052" s="1342"/>
      <c r="C1052" s="1342"/>
      <c r="D1052" s="1342"/>
      <c r="E1052" s="1342"/>
      <c r="F1052" s="1342"/>
      <c r="G1052" s="1641"/>
      <c r="H1052" s="1342" t="s">
        <v>2722</v>
      </c>
      <c r="I1052" s="1351">
        <f>I1043+I950+I737+I282+I36</f>
        <v>8952901364.9300003</v>
      </c>
      <c r="J1052" s="1343"/>
      <c r="K1052" s="1356"/>
      <c r="L1052" s="1351"/>
      <c r="M1052" s="1342"/>
      <c r="N1052" s="1342"/>
      <c r="O1052" s="1342"/>
      <c r="P1052" s="1342"/>
      <c r="Q1052" s="1342"/>
      <c r="R1052" s="1342"/>
      <c r="S1052" s="1342"/>
      <c r="T1052" s="1342"/>
      <c r="U1052" s="1342"/>
      <c r="V1052" s="1342"/>
      <c r="W1052" s="1342"/>
      <c r="X1052" s="1799">
        <f t="shared" si="32"/>
        <v>0</v>
      </c>
    </row>
    <row r="1053" spans="1:25" x14ac:dyDescent="0.25">
      <c r="A1053" s="1342"/>
      <c r="B1053" s="1342"/>
      <c r="C1053" s="1342"/>
      <c r="D1053" s="1342"/>
      <c r="E1053" s="1342"/>
      <c r="F1053" s="1342"/>
      <c r="G1053" s="1641"/>
      <c r="H1053" s="1342" t="s">
        <v>2723</v>
      </c>
      <c r="I1053" s="1351">
        <f>I33-I1052</f>
        <v>-1519256532.9300003</v>
      </c>
      <c r="J1053" s="1343"/>
      <c r="K1053" s="1342"/>
      <c r="L1053" s="1342"/>
      <c r="M1053" s="1342"/>
      <c r="N1053" s="1342"/>
      <c r="O1053" s="1342"/>
      <c r="P1053" s="1342"/>
      <c r="Q1053" s="1342"/>
      <c r="R1053" s="1342"/>
      <c r="S1053" s="1342"/>
      <c r="T1053" s="1342"/>
      <c r="U1053" s="1342"/>
      <c r="V1053" s="1342"/>
      <c r="W1053" s="1342"/>
      <c r="X1053" s="1799">
        <f t="shared" si="32"/>
        <v>0</v>
      </c>
    </row>
    <row r="1054" spans="1:25" x14ac:dyDescent="0.25">
      <c r="A1054" s="32"/>
      <c r="B1054" s="32"/>
      <c r="C1054" s="32"/>
      <c r="D1054" s="32"/>
      <c r="E1054" s="32"/>
      <c r="F1054" s="32"/>
      <c r="G1054" s="32"/>
      <c r="H1054" s="850"/>
      <c r="I1054" s="32"/>
      <c r="J1054" s="66"/>
      <c r="K1054" s="32"/>
      <c r="L1054" s="32"/>
      <c r="M1054" s="32"/>
      <c r="N1054" s="32"/>
      <c r="O1054" s="32"/>
      <c r="P1054" s="32"/>
      <c r="Q1054" s="32"/>
      <c r="R1054" s="32"/>
      <c r="S1054" s="32"/>
      <c r="T1054" s="32"/>
      <c r="U1054" s="32"/>
      <c r="V1054" s="32"/>
      <c r="W1054" s="32"/>
      <c r="X1054" s="1750">
        <f t="shared" si="32"/>
        <v>0</v>
      </c>
    </row>
    <row r="1055" spans="1:25" x14ac:dyDescent="0.25">
      <c r="A1055" s="32"/>
      <c r="B1055" s="32"/>
      <c r="C1055" s="32"/>
      <c r="D1055" s="32"/>
      <c r="E1055" s="32"/>
      <c r="F1055" s="32"/>
      <c r="G1055" s="916"/>
      <c r="H1055" s="66"/>
      <c r="I1055" s="32"/>
      <c r="J1055" s="66"/>
      <c r="K1055" s="32"/>
      <c r="L1055" s="32"/>
      <c r="M1055" s="32"/>
      <c r="N1055" s="32"/>
      <c r="O1055" s="32"/>
      <c r="P1055" s="32"/>
      <c r="Q1055" s="32"/>
      <c r="R1055" s="32"/>
      <c r="S1055" s="32"/>
      <c r="T1055" s="32"/>
      <c r="U1055" s="32"/>
      <c r="V1055" s="32"/>
      <c r="W1055" s="32"/>
      <c r="X1055" s="1750">
        <f t="shared" si="32"/>
        <v>0</v>
      </c>
    </row>
    <row r="1056" spans="1:25" x14ac:dyDescent="0.25">
      <c r="A1056" s="32"/>
      <c r="B1056" s="32"/>
      <c r="C1056" s="32"/>
      <c r="D1056" s="32">
        <v>6</v>
      </c>
      <c r="E1056" s="32"/>
      <c r="F1056" s="32"/>
      <c r="G1056" s="916"/>
      <c r="H1056" s="66" t="s">
        <v>2724</v>
      </c>
      <c r="I1056" s="32"/>
      <c r="J1056" s="66"/>
      <c r="K1056" s="32"/>
      <c r="L1056" s="32"/>
      <c r="M1056" s="32"/>
      <c r="N1056" s="32"/>
      <c r="O1056" s="32"/>
      <c r="P1056" s="32"/>
      <c r="Q1056" s="32"/>
      <c r="R1056" s="32"/>
      <c r="S1056" s="32"/>
      <c r="T1056" s="32"/>
      <c r="U1056" s="32"/>
      <c r="V1056" s="32"/>
      <c r="W1056" s="32"/>
      <c r="X1056" s="1750">
        <f t="shared" ref="X1056:X1066" si="34">SUM(L1056:W1056)</f>
        <v>0</v>
      </c>
    </row>
    <row r="1057" spans="1:24" x14ac:dyDescent="0.25">
      <c r="A1057" s="32"/>
      <c r="B1057" s="32"/>
      <c r="C1057" s="32"/>
      <c r="D1057" s="32">
        <v>6</v>
      </c>
      <c r="E1057" s="32">
        <v>1</v>
      </c>
      <c r="F1057" s="32"/>
      <c r="G1057" s="916"/>
      <c r="H1057" s="66" t="s">
        <v>2725</v>
      </c>
      <c r="I1057" s="32"/>
      <c r="J1057" s="66"/>
      <c r="K1057" s="32"/>
      <c r="L1057" s="32"/>
      <c r="M1057" s="32"/>
      <c r="N1057" s="32"/>
      <c r="O1057" s="32"/>
      <c r="P1057" s="32"/>
      <c r="Q1057" s="32"/>
      <c r="R1057" s="32"/>
      <c r="S1057" s="32"/>
      <c r="T1057" s="32"/>
      <c r="U1057" s="32"/>
      <c r="V1057" s="32"/>
      <c r="W1057" s="32"/>
      <c r="X1057" s="1750">
        <f t="shared" si="34"/>
        <v>0</v>
      </c>
    </row>
    <row r="1058" spans="1:24" x14ac:dyDescent="0.25">
      <c r="A1058" s="32"/>
      <c r="B1058" s="32"/>
      <c r="C1058" s="32"/>
      <c r="D1058" s="32">
        <v>6</v>
      </c>
      <c r="E1058" s="32">
        <v>1</v>
      </c>
      <c r="F1058" s="32">
        <v>1</v>
      </c>
      <c r="G1058" s="916"/>
      <c r="H1058" s="66" t="s">
        <v>2726</v>
      </c>
      <c r="I1058" s="32"/>
      <c r="J1058" s="66"/>
      <c r="K1058" s="32"/>
      <c r="L1058" s="32"/>
      <c r="M1058" s="32"/>
      <c r="N1058" s="32"/>
      <c r="O1058" s="32"/>
      <c r="P1058" s="32"/>
      <c r="Q1058" s="32"/>
      <c r="R1058" s="32"/>
      <c r="S1058" s="32"/>
      <c r="T1058" s="32"/>
      <c r="U1058" s="32"/>
      <c r="V1058" s="32"/>
      <c r="W1058" s="32"/>
      <c r="X1058" s="1750">
        <f t="shared" si="34"/>
        <v>0</v>
      </c>
    </row>
    <row r="1059" spans="1:24" x14ac:dyDescent="0.25">
      <c r="A1059" s="1342"/>
      <c r="B1059" s="1342"/>
      <c r="C1059" s="1342"/>
      <c r="D1059" s="1342">
        <v>6</v>
      </c>
      <c r="E1059" s="1342">
        <v>1</v>
      </c>
      <c r="F1059" s="1342">
        <v>1</v>
      </c>
      <c r="G1059" s="1641">
        <v>1</v>
      </c>
      <c r="H1059" s="1343" t="s">
        <v>2726</v>
      </c>
      <c r="I1059" s="1356">
        <f>Hitungan!N3+Hitungan!O3+Hitungan!P3+Hitungan!Q3+Hitungan!R3+Hitungan!S3+Hitungan!T3</f>
        <v>1519256532.9300001</v>
      </c>
      <c r="J1059" s="1343"/>
      <c r="K1059" s="1356"/>
      <c r="L1059" s="1342"/>
      <c r="M1059" s="1342"/>
      <c r="N1059" s="1342"/>
      <c r="O1059" s="1342"/>
      <c r="P1059" s="1342"/>
      <c r="Q1059" s="1342"/>
      <c r="R1059" s="1342"/>
      <c r="S1059" s="1342"/>
      <c r="T1059" s="1342"/>
      <c r="U1059" s="1342"/>
      <c r="V1059" s="1342"/>
      <c r="W1059" s="1342"/>
      <c r="X1059" s="1799">
        <f t="shared" si="34"/>
        <v>0</v>
      </c>
    </row>
    <row r="1060" spans="1:24" x14ac:dyDescent="0.25">
      <c r="A1060" s="32"/>
      <c r="B1060" s="32"/>
      <c r="C1060" s="32"/>
      <c r="D1060" s="32"/>
      <c r="E1060" s="32"/>
      <c r="F1060" s="32"/>
      <c r="G1060" s="916"/>
      <c r="H1060" s="66"/>
      <c r="I1060" s="32"/>
      <c r="J1060" s="66"/>
      <c r="K1060" s="174"/>
      <c r="L1060" s="32"/>
      <c r="M1060" s="32"/>
      <c r="N1060" s="32"/>
      <c r="O1060" s="32"/>
      <c r="P1060" s="32"/>
      <c r="Q1060" s="32"/>
      <c r="R1060" s="32"/>
      <c r="S1060" s="32"/>
      <c r="T1060" s="32"/>
      <c r="U1060" s="32"/>
      <c r="V1060" s="32"/>
      <c r="W1060" s="32"/>
      <c r="X1060" s="1750">
        <f t="shared" si="34"/>
        <v>0</v>
      </c>
    </row>
    <row r="1061" spans="1:24" x14ac:dyDescent="0.25">
      <c r="A1061" s="32"/>
      <c r="B1061" s="32"/>
      <c r="C1061" s="32"/>
      <c r="D1061" s="32">
        <v>6</v>
      </c>
      <c r="E1061" s="32">
        <v>2</v>
      </c>
      <c r="F1061" s="32"/>
      <c r="G1061" s="916"/>
      <c r="H1061" s="66" t="s">
        <v>2727</v>
      </c>
      <c r="I1061" s="32"/>
      <c r="J1061" s="66"/>
      <c r="K1061" s="32"/>
      <c r="L1061" s="32"/>
      <c r="M1061" s="32"/>
      <c r="N1061" s="32"/>
      <c r="O1061" s="32"/>
      <c r="P1061" s="32"/>
      <c r="Q1061" s="32"/>
      <c r="R1061" s="32"/>
      <c r="S1061" s="32"/>
      <c r="T1061" s="32"/>
      <c r="U1061" s="32"/>
      <c r="V1061" s="32"/>
      <c r="W1061" s="32"/>
      <c r="X1061" s="1750">
        <f t="shared" si="34"/>
        <v>0</v>
      </c>
    </row>
    <row r="1062" spans="1:24" x14ac:dyDescent="0.25">
      <c r="A1062" s="32"/>
      <c r="B1062" s="32"/>
      <c r="C1062" s="32"/>
      <c r="D1062" s="32">
        <v>6</v>
      </c>
      <c r="E1062" s="32">
        <v>2</v>
      </c>
      <c r="F1062" s="32">
        <v>2</v>
      </c>
      <c r="G1062" s="916"/>
      <c r="H1062" s="66" t="s">
        <v>2728</v>
      </c>
      <c r="I1062" s="32"/>
      <c r="J1062" s="66"/>
      <c r="K1062" s="32"/>
      <c r="L1062" s="32"/>
      <c r="M1062" s="32"/>
      <c r="N1062" s="32"/>
      <c r="O1062" s="32"/>
      <c r="P1062" s="32"/>
      <c r="Q1062" s="32"/>
      <c r="R1062" s="32"/>
      <c r="S1062" s="32"/>
      <c r="T1062" s="32"/>
      <c r="U1062" s="32"/>
      <c r="V1062" s="32"/>
      <c r="W1062" s="32"/>
      <c r="X1062" s="1750">
        <f t="shared" si="34"/>
        <v>0</v>
      </c>
    </row>
    <row r="1063" spans="1:24" x14ac:dyDescent="0.25">
      <c r="A1063" s="32"/>
      <c r="B1063" s="32"/>
      <c r="C1063" s="32"/>
      <c r="D1063" s="32">
        <v>6</v>
      </c>
      <c r="E1063" s="32">
        <v>2</v>
      </c>
      <c r="F1063" s="32">
        <v>2</v>
      </c>
      <c r="G1063" s="916">
        <v>1</v>
      </c>
      <c r="H1063" s="66" t="s">
        <v>2728</v>
      </c>
      <c r="I1063" s="174">
        <f>'[1]BID IV'!F708</f>
        <v>0</v>
      </c>
      <c r="J1063" s="66"/>
      <c r="K1063" s="32"/>
      <c r="L1063" s="32"/>
      <c r="M1063" s="32"/>
      <c r="N1063" s="32"/>
      <c r="O1063" s="32"/>
      <c r="P1063" s="32"/>
      <c r="Q1063" s="32"/>
      <c r="R1063" s="32"/>
      <c r="S1063" s="32"/>
      <c r="T1063" s="32"/>
      <c r="U1063" s="32"/>
      <c r="V1063" s="32"/>
      <c r="W1063" s="32"/>
      <c r="X1063" s="1750">
        <f t="shared" si="34"/>
        <v>0</v>
      </c>
    </row>
    <row r="1064" spans="1:24" x14ac:dyDescent="0.25">
      <c r="A1064" s="32"/>
      <c r="B1064" s="32"/>
      <c r="C1064" s="32"/>
      <c r="D1064" s="32"/>
      <c r="E1064" s="32"/>
      <c r="F1064" s="32"/>
      <c r="G1064" s="916"/>
      <c r="H1064" s="66"/>
      <c r="I1064" s="32"/>
      <c r="J1064" s="66"/>
      <c r="K1064" s="32"/>
      <c r="L1064" s="32"/>
      <c r="M1064" s="32"/>
      <c r="N1064" s="32"/>
      <c r="O1064" s="32"/>
      <c r="P1064" s="32"/>
      <c r="Q1064" s="32"/>
      <c r="R1064" s="32"/>
      <c r="S1064" s="32"/>
      <c r="T1064" s="32"/>
      <c r="U1064" s="32"/>
      <c r="V1064" s="32"/>
      <c r="W1064" s="32"/>
      <c r="X1064" s="1750">
        <f t="shared" si="34"/>
        <v>0</v>
      </c>
    </row>
    <row r="1065" spans="1:24" ht="15.75" thickBot="1" x14ac:dyDescent="0.3">
      <c r="A1065" s="32"/>
      <c r="B1065" s="32"/>
      <c r="C1065" s="32" t="s">
        <v>2729</v>
      </c>
      <c r="D1065" s="32"/>
      <c r="E1065" s="32"/>
      <c r="F1065" s="32"/>
      <c r="G1065" s="916"/>
      <c r="H1065" s="848"/>
      <c r="I1065" s="32"/>
      <c r="J1065" s="66"/>
      <c r="K1065" s="32"/>
      <c r="L1065" s="32"/>
      <c r="M1065" s="32"/>
      <c r="N1065" s="32"/>
      <c r="O1065" s="32"/>
      <c r="P1065" s="32"/>
      <c r="Q1065" s="32"/>
      <c r="R1065" s="32"/>
      <c r="S1065" s="32"/>
      <c r="T1065" s="32"/>
      <c r="U1065" s="32"/>
      <c r="V1065" s="32"/>
      <c r="W1065" s="32"/>
      <c r="X1065" s="1750">
        <f t="shared" si="34"/>
        <v>0</v>
      </c>
    </row>
    <row r="1066" spans="1:24" ht="15.75" thickBot="1" x14ac:dyDescent="0.3">
      <c r="A1066" s="1342"/>
      <c r="B1066" s="1342"/>
      <c r="C1066" s="1342"/>
      <c r="D1066" s="1342"/>
      <c r="E1066" s="1342"/>
      <c r="F1066" s="1342"/>
      <c r="G1066" s="1641"/>
      <c r="H1066" s="1642" t="s">
        <v>2730</v>
      </c>
      <c r="I1066" s="1351">
        <f>I1059-I1063</f>
        <v>1519256532.9300001</v>
      </c>
      <c r="J1066" s="1343"/>
      <c r="K1066" s="1342"/>
      <c r="L1066" s="1342"/>
      <c r="M1066" s="1342"/>
      <c r="N1066" s="1342"/>
      <c r="O1066" s="1342"/>
      <c r="P1066" s="1342"/>
      <c r="Q1066" s="1342"/>
      <c r="R1066" s="1342"/>
      <c r="S1066" s="1342"/>
      <c r="T1066" s="1342"/>
      <c r="U1066" s="1342"/>
      <c r="V1066" s="1342"/>
      <c r="W1066" s="1342"/>
      <c r="X1066" s="1799">
        <f t="shared" si="34"/>
        <v>0</v>
      </c>
    </row>
    <row r="1069" spans="1:24" x14ac:dyDescent="0.25">
      <c r="I1069" s="2053" t="s">
        <v>3036</v>
      </c>
      <c r="J1069" s="2053"/>
      <c r="M1069" s="2053" t="s">
        <v>3038</v>
      </c>
      <c r="N1069" s="2053"/>
    </row>
    <row r="1070" spans="1:24" x14ac:dyDescent="0.25">
      <c r="I1070" s="2053" t="s">
        <v>3037</v>
      </c>
      <c r="J1070" s="2053"/>
      <c r="M1070" s="2053" t="s">
        <v>2771</v>
      </c>
      <c r="N1070" s="2053"/>
      <c r="Q1070" s="2053" t="s">
        <v>3039</v>
      </c>
      <c r="R1070" s="2053"/>
    </row>
    <row r="1074" spans="9:18" x14ac:dyDescent="0.25">
      <c r="I1074" s="2053" t="s">
        <v>615</v>
      </c>
      <c r="J1074" s="2053"/>
      <c r="M1074" s="2053" t="s">
        <v>30</v>
      </c>
      <c r="N1074" s="2053"/>
      <c r="Q1074" s="2053" t="s">
        <v>3040</v>
      </c>
      <c r="R1074" s="2053"/>
    </row>
  </sheetData>
  <autoFilter ref="A12:X1066" xr:uid="{A6C4B763-FDD9-4BD1-829A-B1DA6113AA9D}"/>
  <mergeCells count="19">
    <mergeCell ref="A1:X1"/>
    <mergeCell ref="A2:X2"/>
    <mergeCell ref="I1069:J1069"/>
    <mergeCell ref="I1070:J1070"/>
    <mergeCell ref="I1074:J1074"/>
    <mergeCell ref="M1069:N1069"/>
    <mergeCell ref="M1070:N1070"/>
    <mergeCell ref="M1074:N1074"/>
    <mergeCell ref="Q1074:R1074"/>
    <mergeCell ref="Q1070:R1070"/>
    <mergeCell ref="X9:X10"/>
    <mergeCell ref="A11:C11"/>
    <mergeCell ref="D11:G11"/>
    <mergeCell ref="J11:W11"/>
    <mergeCell ref="A9:G10"/>
    <mergeCell ref="H9:H10"/>
    <mergeCell ref="I9:I10"/>
    <mergeCell ref="J9:J10"/>
    <mergeCell ref="L9:W9"/>
  </mergeCells>
  <pageMargins left="0.7" right="1.45" top="0.75" bottom="0.75" header="0.3" footer="0.3"/>
  <pageSetup paperSize="5" scale="50" orientation="landscape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294"/>
  <sheetViews>
    <sheetView topLeftCell="A173" zoomScale="200" zoomScaleNormal="200" workbookViewId="0">
      <selection activeCell="F173" sqref="F173"/>
    </sheetView>
  </sheetViews>
  <sheetFormatPr defaultRowHeight="15" x14ac:dyDescent="0.25"/>
  <cols>
    <col min="1" max="3" width="3.28515625" customWidth="1"/>
    <col min="4" max="4" width="2.5703125" customWidth="1"/>
    <col min="5" max="5" width="3.28515625" customWidth="1"/>
    <col min="6" max="6" width="24.28515625" style="86" customWidth="1"/>
    <col min="7" max="7" width="6.85546875" customWidth="1"/>
    <col min="8" max="8" width="7.28515625" customWidth="1"/>
    <col min="9" max="9" width="18.140625" customWidth="1"/>
    <col min="10" max="10" width="7" customWidth="1"/>
    <col min="11" max="11" width="41.5703125" customWidth="1"/>
  </cols>
  <sheetData>
    <row r="1" spans="1:10" x14ac:dyDescent="0.25">
      <c r="F1" s="1338"/>
      <c r="G1" s="1337"/>
      <c r="H1" s="1338"/>
      <c r="J1" s="86"/>
    </row>
    <row r="2" spans="1:10" x14ac:dyDescent="0.25">
      <c r="F2" s="1338"/>
      <c r="G2" s="1337"/>
      <c r="H2" s="1338"/>
      <c r="J2" s="86"/>
    </row>
    <row r="3" spans="1:10" x14ac:dyDescent="0.25">
      <c r="F3" s="1338"/>
      <c r="G3" s="1337"/>
      <c r="H3" s="1338"/>
      <c r="J3" s="86"/>
    </row>
    <row r="4" spans="1:10" x14ac:dyDescent="0.25">
      <c r="F4" s="1338"/>
      <c r="G4" s="1337"/>
      <c r="H4" s="1338"/>
      <c r="J4" s="86"/>
    </row>
    <row r="5" spans="1:10" x14ac:dyDescent="0.25">
      <c r="F5" s="1338"/>
      <c r="G5" s="1337"/>
      <c r="H5" s="1338"/>
      <c r="J5" s="86"/>
    </row>
    <row r="6" spans="1:10" x14ac:dyDescent="0.25">
      <c r="G6" s="451"/>
      <c r="H6" s="86"/>
      <c r="J6" s="86"/>
    </row>
    <row r="7" spans="1:10" x14ac:dyDescent="0.25">
      <c r="G7" s="451"/>
      <c r="H7" s="86"/>
      <c r="J7" s="86"/>
    </row>
    <row r="8" spans="1:10" x14ac:dyDescent="0.25">
      <c r="G8" s="451"/>
      <c r="H8" s="86"/>
      <c r="J8" s="86"/>
    </row>
    <row r="9" spans="1:10" x14ac:dyDescent="0.25">
      <c r="G9" s="451"/>
      <c r="H9" s="86"/>
      <c r="J9" s="86"/>
    </row>
    <row r="10" spans="1:10" x14ac:dyDescent="0.25">
      <c r="A10" s="2053"/>
      <c r="B10" s="2053"/>
      <c r="C10" s="2053"/>
      <c r="D10" s="2053"/>
      <c r="E10" s="2053"/>
      <c r="F10" s="2053"/>
      <c r="G10" s="2053"/>
      <c r="H10" s="2053"/>
      <c r="J10" s="86"/>
    </row>
    <row r="11" spans="1:10" x14ac:dyDescent="0.25">
      <c r="G11" s="1336" t="s">
        <v>2677</v>
      </c>
      <c r="H11" s="1336"/>
      <c r="I11" s="1337"/>
      <c r="J11" s="1338"/>
    </row>
    <row r="12" spans="1:10" x14ac:dyDescent="0.25">
      <c r="G12" s="1336" t="s">
        <v>2684</v>
      </c>
      <c r="H12" s="1336"/>
      <c r="I12" s="1337"/>
      <c r="J12" s="1338"/>
    </row>
    <row r="13" spans="1:10" x14ac:dyDescent="0.25">
      <c r="G13" s="1336" t="s">
        <v>2701</v>
      </c>
      <c r="H13" s="1336"/>
      <c r="I13" s="1337"/>
      <c r="J13" s="1338"/>
    </row>
    <row r="14" spans="1:10" x14ac:dyDescent="0.25">
      <c r="G14" s="1336" t="s">
        <v>2685</v>
      </c>
      <c r="H14" s="1336"/>
      <c r="I14" s="1337"/>
      <c r="J14" s="1338"/>
    </row>
    <row r="15" spans="1:10" x14ac:dyDescent="0.25">
      <c r="G15" s="1336" t="s">
        <v>2678</v>
      </c>
      <c r="H15" s="1336"/>
      <c r="I15" s="1337"/>
      <c r="J15" s="1338"/>
    </row>
    <row r="16" spans="1:10" x14ac:dyDescent="0.25">
      <c r="I16" s="451"/>
      <c r="J16" s="86"/>
    </row>
    <row r="17" spans="1:10" x14ac:dyDescent="0.25">
      <c r="I17" s="451"/>
      <c r="J17" s="86"/>
    </row>
    <row r="18" spans="1:10" x14ac:dyDescent="0.25">
      <c r="I18" s="451"/>
      <c r="J18" s="86"/>
    </row>
    <row r="19" spans="1:10" x14ac:dyDescent="0.25">
      <c r="I19" s="451"/>
      <c r="J19" s="86"/>
    </row>
    <row r="20" spans="1:10" x14ac:dyDescent="0.25">
      <c r="A20" s="2053" t="s">
        <v>2686</v>
      </c>
      <c r="B20" s="2053"/>
      <c r="C20" s="2053"/>
      <c r="D20" s="2053"/>
      <c r="E20" s="2053"/>
      <c r="F20" s="2053"/>
      <c r="G20" s="2053"/>
      <c r="H20" s="2053"/>
      <c r="I20" s="2053"/>
      <c r="J20" s="2053"/>
    </row>
    <row r="21" spans="1:10" x14ac:dyDescent="0.25">
      <c r="A21" s="2053" t="s">
        <v>2679</v>
      </c>
      <c r="B21" s="2053"/>
      <c r="C21" s="2053"/>
      <c r="D21" s="2053"/>
      <c r="E21" s="2053"/>
      <c r="F21" s="2053"/>
      <c r="G21" s="2053"/>
      <c r="H21" s="2053"/>
      <c r="I21" s="2053"/>
      <c r="J21" s="2053"/>
    </row>
    <row r="22" spans="1:10" x14ac:dyDescent="0.25">
      <c r="A22" s="2053" t="s">
        <v>1697</v>
      </c>
      <c r="B22" s="2053"/>
      <c r="C22" s="2053"/>
      <c r="D22" s="2053"/>
      <c r="E22" s="2053"/>
      <c r="F22" s="2053"/>
      <c r="G22" s="2053"/>
      <c r="H22" s="2053"/>
      <c r="I22" s="2053"/>
      <c r="J22" s="2053"/>
    </row>
    <row r="23" spans="1:10" x14ac:dyDescent="0.25">
      <c r="I23" s="451"/>
      <c r="J23" s="86"/>
    </row>
    <row r="24" spans="1:10" x14ac:dyDescent="0.25">
      <c r="A24" s="2054" t="s">
        <v>2680</v>
      </c>
      <c r="B24" s="2054"/>
      <c r="C24" s="2054"/>
      <c r="D24" s="2054"/>
      <c r="E24" s="2054"/>
      <c r="F24" s="2057" t="s">
        <v>12</v>
      </c>
      <c r="G24" s="2055" t="s">
        <v>2681</v>
      </c>
      <c r="H24" s="2055"/>
      <c r="I24" s="2056" t="s">
        <v>2682</v>
      </c>
      <c r="J24" s="2057" t="s">
        <v>2683</v>
      </c>
    </row>
    <row r="25" spans="1:10" x14ac:dyDescent="0.25">
      <c r="A25" s="2054"/>
      <c r="B25" s="2054"/>
      <c r="C25" s="2054"/>
      <c r="D25" s="2054"/>
      <c r="E25" s="2054"/>
      <c r="F25" s="2057"/>
      <c r="G25" s="1339" t="s">
        <v>13</v>
      </c>
      <c r="H25" s="1339" t="s">
        <v>1947</v>
      </c>
      <c r="I25" s="2056"/>
      <c r="J25" s="2057"/>
    </row>
    <row r="26" spans="1:10" x14ac:dyDescent="0.25">
      <c r="A26" s="2054">
        <v>1</v>
      </c>
      <c r="B26" s="2054"/>
      <c r="C26" s="2054"/>
      <c r="D26" s="2054">
        <v>2</v>
      </c>
      <c r="E26" s="2054"/>
      <c r="F26" s="351">
        <v>3</v>
      </c>
      <c r="G26" s="267">
        <v>4</v>
      </c>
      <c r="H26" s="267">
        <v>5</v>
      </c>
      <c r="I26" s="267">
        <v>6</v>
      </c>
      <c r="J26" s="351">
        <v>7</v>
      </c>
    </row>
    <row r="27" spans="1:10" x14ac:dyDescent="0.25">
      <c r="A27" s="267" t="s">
        <v>1358</v>
      </c>
      <c r="B27" s="267" t="s">
        <v>1359</v>
      </c>
      <c r="C27" s="267" t="s">
        <v>1360</v>
      </c>
      <c r="D27" s="267" t="s">
        <v>1358</v>
      </c>
      <c r="E27" s="267" t="s">
        <v>1359</v>
      </c>
      <c r="F27" s="66"/>
      <c r="G27" s="32"/>
      <c r="H27" s="32"/>
      <c r="I27" s="470"/>
      <c r="J27" s="66"/>
    </row>
    <row r="28" spans="1:10" x14ac:dyDescent="0.25">
      <c r="A28" s="32"/>
      <c r="B28" s="32"/>
      <c r="C28" s="32"/>
      <c r="D28" s="32">
        <v>4</v>
      </c>
      <c r="E28" s="32"/>
      <c r="F28" s="66" t="s">
        <v>2687</v>
      </c>
      <c r="G28" s="32"/>
      <c r="H28" s="32"/>
      <c r="I28" s="470"/>
      <c r="J28" s="66"/>
    </row>
    <row r="29" spans="1:10" x14ac:dyDescent="0.25">
      <c r="A29" s="32"/>
      <c r="B29" s="32"/>
      <c r="C29" s="32"/>
      <c r="D29" s="32">
        <v>4</v>
      </c>
      <c r="E29" s="32">
        <v>1</v>
      </c>
      <c r="F29" s="66" t="s">
        <v>1665</v>
      </c>
      <c r="G29" s="32"/>
      <c r="H29" s="32"/>
      <c r="I29" s="470">
        <f>'Penjabaran APBDesa'!K25</f>
        <v>174437800</v>
      </c>
      <c r="J29" s="66"/>
    </row>
    <row r="30" spans="1:10" x14ac:dyDescent="0.25">
      <c r="A30" s="32"/>
      <c r="B30" s="32"/>
      <c r="C30" s="32"/>
      <c r="D30" s="32">
        <v>4</v>
      </c>
      <c r="E30" s="32">
        <v>2</v>
      </c>
      <c r="F30" s="66" t="s">
        <v>2690</v>
      </c>
      <c r="G30" s="32"/>
      <c r="H30" s="32"/>
      <c r="I30" s="470">
        <f>'Penjabaran APBDesa'!K30+'Penjabaran APBDesa'!K32+'Penjabaran APBDesa'!K34+'Penjabaran APBDesa'!K36+'Penjabaran APBDesa'!K38</f>
        <v>7161132932</v>
      </c>
      <c r="J30" s="66"/>
    </row>
    <row r="31" spans="1:10" x14ac:dyDescent="0.25">
      <c r="A31" s="32"/>
      <c r="B31" s="32"/>
      <c r="C31" s="32"/>
      <c r="D31" s="32">
        <v>4</v>
      </c>
      <c r="E31" s="32">
        <v>3</v>
      </c>
      <c r="F31" s="66" t="s">
        <v>2699</v>
      </c>
      <c r="G31" s="32"/>
      <c r="H31" s="32"/>
      <c r="I31" s="470">
        <f>'Penjabaran APBDesa'!K40</f>
        <v>0</v>
      </c>
      <c r="J31" s="66"/>
    </row>
    <row r="32" spans="1:10" x14ac:dyDescent="0.25">
      <c r="A32" s="32"/>
      <c r="B32" s="32"/>
      <c r="C32" s="32"/>
      <c r="D32" s="32"/>
      <c r="E32" s="32"/>
      <c r="F32" s="66"/>
      <c r="G32" s="32"/>
      <c r="H32" s="32"/>
      <c r="I32" s="470"/>
      <c r="J32" s="66"/>
    </row>
    <row r="33" spans="1:11" x14ac:dyDescent="0.25">
      <c r="A33" s="32"/>
      <c r="B33" s="32"/>
      <c r="C33" s="32"/>
      <c r="D33" s="32"/>
      <c r="E33" s="32"/>
      <c r="F33" s="66" t="s">
        <v>2700</v>
      </c>
      <c r="G33" s="32"/>
      <c r="H33" s="32"/>
      <c r="I33" s="1341">
        <f>SUM(I29:I32)</f>
        <v>7335570732</v>
      </c>
      <c r="J33" s="66"/>
      <c r="K33" s="451">
        <f>'Penjabaran APBDesa'!K43</f>
        <v>7433644832</v>
      </c>
    </row>
    <row r="34" spans="1:11" x14ac:dyDescent="0.25">
      <c r="A34" s="32"/>
      <c r="B34" s="32"/>
      <c r="C34" s="32"/>
      <c r="D34" s="32"/>
      <c r="E34" s="32"/>
      <c r="F34" s="66"/>
      <c r="G34" s="32"/>
      <c r="H34" s="32"/>
      <c r="I34" s="470"/>
      <c r="J34" s="66"/>
      <c r="K34" s="175">
        <f>I33-K33</f>
        <v>-98074100</v>
      </c>
    </row>
    <row r="35" spans="1:11" x14ac:dyDescent="0.25">
      <c r="A35" s="32"/>
      <c r="B35" s="32"/>
      <c r="C35" s="32"/>
      <c r="D35" s="32">
        <v>5</v>
      </c>
      <c r="E35" s="32"/>
      <c r="F35" s="66" t="s">
        <v>2006</v>
      </c>
      <c r="G35" s="32"/>
      <c r="H35" s="32"/>
      <c r="I35" s="470"/>
      <c r="J35" s="66"/>
    </row>
    <row r="36" spans="1:11" ht="30" x14ac:dyDescent="0.25">
      <c r="A36" s="1342">
        <v>1</v>
      </c>
      <c r="B36" s="1342"/>
      <c r="C36" s="1342"/>
      <c r="D36" s="1342"/>
      <c r="E36" s="1342"/>
      <c r="F36" s="1343" t="str">
        <f>'BID I'!B5</f>
        <v>: Penyelenggaraan Pemerintahan Desa</v>
      </c>
      <c r="G36" s="1342"/>
      <c r="H36" s="1342"/>
      <c r="I36" s="1351">
        <f>I38+I40+I42+I44+I46+I48+I50+I52+I54+I56+I58+I60++I62+I64+I66+I68+I70+I73+I75+I77+I79+I81+I83+I85+I87+I89+I91+I93+I95+I97+I99+I101+I103</f>
        <v>3380479444.6599998</v>
      </c>
      <c r="J36" s="1343"/>
      <c r="K36" s="451">
        <f>Hitungan!X5</f>
        <v>3380479444.6599998</v>
      </c>
    </row>
    <row r="37" spans="1:11" ht="75" x14ac:dyDescent="0.25">
      <c r="A37" s="1344">
        <v>1</v>
      </c>
      <c r="B37" s="1344">
        <v>1</v>
      </c>
      <c r="C37" s="1344"/>
      <c r="D37" s="1344"/>
      <c r="E37" s="1344"/>
      <c r="F37" s="1345" t="str">
        <f>'BID I'!B6</f>
        <v>: Penyelenggaraan Belanja Penghasilan Tetap, Tunjangan dan Operasional Pemerintah Desa ( Maksimal 30% )</v>
      </c>
      <c r="G37" s="1344"/>
      <c r="H37" s="1344"/>
      <c r="I37" s="1344"/>
      <c r="J37" s="1345"/>
    </row>
    <row r="38" spans="1:11" ht="45" x14ac:dyDescent="0.25">
      <c r="A38" s="1344">
        <v>1</v>
      </c>
      <c r="B38" s="1344">
        <v>1</v>
      </c>
      <c r="C38" s="1346" t="s">
        <v>2688</v>
      </c>
      <c r="D38" s="1344"/>
      <c r="E38" s="1344"/>
      <c r="F38" s="1345" t="str">
        <f>'BID I'!B7</f>
        <v>: Penyediaan Penghasilan tetap dan Tunjangan Perbekel</v>
      </c>
      <c r="G38" s="1344"/>
      <c r="H38" s="1344"/>
      <c r="I38" s="1347">
        <f>'Penjabaran APBDesa'!K48</f>
        <v>159920000</v>
      </c>
      <c r="J38" s="1345"/>
    </row>
    <row r="39" spans="1:11" x14ac:dyDescent="0.25">
      <c r="A39" s="32"/>
      <c r="B39" s="32"/>
      <c r="C39" s="32"/>
      <c r="D39" s="32">
        <v>5</v>
      </c>
      <c r="E39" s="32">
        <v>1</v>
      </c>
      <c r="F39" s="66" t="str">
        <f>'BID I'!B13</f>
        <v xml:space="preserve">Belanja Pegawai </v>
      </c>
      <c r="G39" s="32"/>
      <c r="H39" s="32"/>
      <c r="I39" s="497">
        <f>I38</f>
        <v>159920000</v>
      </c>
      <c r="J39" s="66"/>
    </row>
    <row r="40" spans="1:11" ht="45" x14ac:dyDescent="0.25">
      <c r="A40" s="1344">
        <v>1</v>
      </c>
      <c r="B40" s="1344">
        <v>1</v>
      </c>
      <c r="C40" s="1346" t="s">
        <v>2702</v>
      </c>
      <c r="D40" s="1344"/>
      <c r="E40" s="1344"/>
      <c r="F40" s="1345" t="str">
        <f>'BID I'!B35</f>
        <v>: Penyediaan Penghasilan tetap dan Tunjangan Perangkat Desa</v>
      </c>
      <c r="G40" s="1344"/>
      <c r="H40" s="1344"/>
      <c r="I40" s="1347">
        <f>'Penjabaran APBDesa'!K55</f>
        <v>939625760</v>
      </c>
      <c r="J40" s="1345"/>
    </row>
    <row r="41" spans="1:11" x14ac:dyDescent="0.25">
      <c r="A41" s="32"/>
      <c r="B41" s="32"/>
      <c r="C41" s="32"/>
      <c r="D41" s="32">
        <v>5</v>
      </c>
      <c r="E41" s="32">
        <v>1</v>
      </c>
      <c r="F41" s="66" t="str">
        <f>'BID I'!B40</f>
        <v xml:space="preserve">Belanja Pegawai </v>
      </c>
      <c r="G41" s="32"/>
      <c r="H41" s="32"/>
      <c r="I41" s="497">
        <f>I40</f>
        <v>939625760</v>
      </c>
      <c r="J41" s="66"/>
    </row>
    <row r="42" spans="1:11" ht="60" x14ac:dyDescent="0.25">
      <c r="A42" s="1344">
        <v>1</v>
      </c>
      <c r="B42" s="1344">
        <v>1</v>
      </c>
      <c r="C42" s="1346" t="s">
        <v>2703</v>
      </c>
      <c r="D42" s="1344"/>
      <c r="E42" s="1344"/>
      <c r="F42" s="1345" t="str">
        <f>'BID I'!B76</f>
        <v>Penyediaan Jaminan Kesehatan dan Ketenaga Kerjaan Bagi Perbekel dan Perangkat Desa</v>
      </c>
      <c r="G42" s="1344"/>
      <c r="H42" s="1344"/>
      <c r="I42" s="1347">
        <f>'Penjabaran APBDesa'!K60</f>
        <v>70001760</v>
      </c>
      <c r="J42" s="1345" t="s">
        <v>2620</v>
      </c>
    </row>
    <row r="43" spans="1:11" x14ac:dyDescent="0.25">
      <c r="A43" s="32"/>
      <c r="B43" s="32"/>
      <c r="C43" s="32"/>
      <c r="D43" s="32">
        <v>5</v>
      </c>
      <c r="E43" s="32">
        <v>1</v>
      </c>
      <c r="F43" s="66" t="str">
        <f>'BID I'!B81</f>
        <v>Belanja Pegawai :</v>
      </c>
      <c r="G43" s="32"/>
      <c r="H43" s="32"/>
      <c r="I43" s="497">
        <f>I42</f>
        <v>70001760</v>
      </c>
      <c r="J43" s="66"/>
    </row>
    <row r="44" spans="1:11" ht="30" x14ac:dyDescent="0.25">
      <c r="A44" s="1344">
        <v>1</v>
      </c>
      <c r="B44" s="1344">
        <v>1</v>
      </c>
      <c r="C44" s="1346" t="s">
        <v>2704</v>
      </c>
      <c r="D44" s="1344"/>
      <c r="E44" s="1344"/>
      <c r="F44" s="1345" t="str">
        <f>'BID I'!B110</f>
        <v>: Penyediaan Operasional Pemerintah Desa</v>
      </c>
      <c r="G44" s="1344"/>
      <c r="H44" s="1344"/>
      <c r="I44" s="1347">
        <f>'Penjabaran APBDesa'!K67</f>
        <v>486652349</v>
      </c>
      <c r="J44" s="1345" t="s">
        <v>1682</v>
      </c>
    </row>
    <row r="45" spans="1:11" x14ac:dyDescent="0.25">
      <c r="A45" s="32"/>
      <c r="B45" s="32"/>
      <c r="C45" s="32"/>
      <c r="D45" s="32">
        <v>5</v>
      </c>
      <c r="E45" s="32">
        <v>2</v>
      </c>
      <c r="F45" s="66" t="str">
        <f>'BID I'!B115</f>
        <v>Belanja Barang Jasa :</v>
      </c>
      <c r="G45" s="32"/>
      <c r="H45" s="32"/>
      <c r="I45" s="497">
        <f>I44</f>
        <v>486652349</v>
      </c>
      <c r="J45" s="66"/>
    </row>
    <row r="46" spans="1:11" ht="45" x14ac:dyDescent="0.25">
      <c r="A46" s="1344">
        <v>1</v>
      </c>
      <c r="B46" s="1344">
        <v>1</v>
      </c>
      <c r="C46" s="1346" t="s">
        <v>2704</v>
      </c>
      <c r="D46" s="1344"/>
      <c r="E46" s="1344"/>
      <c r="F46" s="1345" t="str">
        <f>'BID I'!B293</f>
        <v>: Penyediaan Oprasional Pemerinthanan Desa ( Kegiatan Rapat - Rapat)</v>
      </c>
      <c r="G46" s="1344"/>
      <c r="H46" s="1344"/>
      <c r="I46" s="1347">
        <f>'Penjabaran APBDesa'!K98</f>
        <v>25560000</v>
      </c>
      <c r="J46" s="1345" t="s">
        <v>2620</v>
      </c>
    </row>
    <row r="47" spans="1:11" x14ac:dyDescent="0.25">
      <c r="A47" s="32"/>
      <c r="B47" s="32"/>
      <c r="C47" s="32"/>
      <c r="D47" s="32">
        <v>5</v>
      </c>
      <c r="E47" s="32">
        <v>2</v>
      </c>
      <c r="F47" s="66" t="str">
        <f>'BID I'!B298</f>
        <v>Belanja Barang Jasa :</v>
      </c>
      <c r="G47" s="32"/>
      <c r="H47" s="32"/>
      <c r="I47" s="497">
        <f>I46</f>
        <v>25560000</v>
      </c>
      <c r="J47" s="66"/>
    </row>
    <row r="48" spans="1:11" ht="30" x14ac:dyDescent="0.25">
      <c r="A48" s="1344">
        <v>1</v>
      </c>
      <c r="B48" s="1344">
        <v>1</v>
      </c>
      <c r="C48" s="1346" t="s">
        <v>2706</v>
      </c>
      <c r="D48" s="1344"/>
      <c r="E48" s="1344"/>
      <c r="F48" s="1345" t="str">
        <f>'BID I'!B323</f>
        <v>: Penyediaan tunjangan BPD</v>
      </c>
      <c r="G48" s="1344"/>
      <c r="H48" s="1344"/>
      <c r="I48" s="1347">
        <f>'Penjabaran APBDesa'!K103</f>
        <v>410200000</v>
      </c>
      <c r="J48" s="1345" t="s">
        <v>2710</v>
      </c>
    </row>
    <row r="49" spans="1:10" x14ac:dyDescent="0.25">
      <c r="A49" s="32"/>
      <c r="B49" s="32"/>
      <c r="C49" s="32"/>
      <c r="D49" s="32">
        <v>5</v>
      </c>
      <c r="E49" s="32">
        <v>1</v>
      </c>
      <c r="F49" s="66" t="str">
        <f>'BID I'!B329</f>
        <v>Belanja Pegawai</v>
      </c>
      <c r="G49" s="32"/>
      <c r="H49" s="32"/>
      <c r="I49" s="497">
        <f>I48</f>
        <v>410200000</v>
      </c>
      <c r="J49" s="66"/>
    </row>
    <row r="50" spans="1:10" ht="30" x14ac:dyDescent="0.25">
      <c r="A50" s="1344">
        <v>1</v>
      </c>
      <c r="B50" s="1344">
        <v>1</v>
      </c>
      <c r="C50" s="1346" t="s">
        <v>2705</v>
      </c>
      <c r="D50" s="1344"/>
      <c r="E50" s="1344"/>
      <c r="F50" s="1345" t="str">
        <f>'BID I'!B365</f>
        <v>: Penyediaan Operasional BPD</v>
      </c>
      <c r="G50" s="1344"/>
      <c r="H50" s="1344"/>
      <c r="I50" s="1347">
        <f>'Penjabaran APBDesa'!K107</f>
        <v>15999000</v>
      </c>
      <c r="J50" s="1345" t="s">
        <v>1682</v>
      </c>
    </row>
    <row r="51" spans="1:10" x14ac:dyDescent="0.25">
      <c r="A51" s="32"/>
      <c r="B51" s="32"/>
      <c r="C51" s="32"/>
      <c r="D51" s="32">
        <v>5</v>
      </c>
      <c r="E51" s="32">
        <v>2</v>
      </c>
      <c r="F51" s="66" t="str">
        <f>'BID I'!B371</f>
        <v>Belanja Barang Jasa :</v>
      </c>
      <c r="G51" s="32"/>
      <c r="H51" s="32"/>
      <c r="I51" s="497">
        <f>I50</f>
        <v>15999000</v>
      </c>
      <c r="J51" s="66"/>
    </row>
    <row r="52" spans="1:10" ht="30" x14ac:dyDescent="0.25">
      <c r="A52" s="1344">
        <v>1</v>
      </c>
      <c r="B52" s="1344">
        <v>1</v>
      </c>
      <c r="C52" s="1346" t="s">
        <v>2705</v>
      </c>
      <c r="D52" s="1344"/>
      <c r="E52" s="1344"/>
      <c r="F52" s="1345" t="str">
        <f>'BID I'!B406</f>
        <v>: Penyediaan Operasional BPD (Musyawarah BPD)</v>
      </c>
      <c r="G52" s="1344"/>
      <c r="H52" s="1344"/>
      <c r="I52" s="1347">
        <f>'Penjabaran APBDesa'!K114</f>
        <v>12400000</v>
      </c>
      <c r="J52" s="1345" t="s">
        <v>2620</v>
      </c>
    </row>
    <row r="53" spans="1:10" x14ac:dyDescent="0.25">
      <c r="A53" s="32"/>
      <c r="B53" s="32"/>
      <c r="C53" s="32"/>
      <c r="D53" s="32">
        <v>5</v>
      </c>
      <c r="E53" s="32">
        <v>2</v>
      </c>
      <c r="F53" s="66" t="str">
        <f>'BID I'!B412</f>
        <v>Belanja Barang Jasa</v>
      </c>
      <c r="G53" s="32"/>
      <c r="H53" s="32"/>
      <c r="I53" s="497">
        <f>I52</f>
        <v>12400000</v>
      </c>
      <c r="J53" s="66"/>
    </row>
    <row r="54" spans="1:10" ht="30" x14ac:dyDescent="0.25">
      <c r="A54" s="1344">
        <v>1</v>
      </c>
      <c r="B54" s="1344">
        <v>1</v>
      </c>
      <c r="C54" s="1346" t="s">
        <v>2705</v>
      </c>
      <c r="D54" s="1344"/>
      <c r="E54" s="1344"/>
      <c r="F54" s="1345" t="str">
        <f>'BID I'!B444</f>
        <v>: Penyediaan Operasional BPD (Rapat FKAKD)</v>
      </c>
      <c r="G54" s="1344"/>
      <c r="H54" s="1344"/>
      <c r="I54" s="1347">
        <f>'Penjabaran APBDesa'!K120</f>
        <v>6685000</v>
      </c>
      <c r="J54" s="1345" t="s">
        <v>1682</v>
      </c>
    </row>
    <row r="55" spans="1:10" x14ac:dyDescent="0.25">
      <c r="A55" s="32"/>
      <c r="B55" s="32"/>
      <c r="C55" s="32"/>
      <c r="D55" s="32">
        <v>5</v>
      </c>
      <c r="E55" s="32">
        <v>2</v>
      </c>
      <c r="F55" s="66" t="str">
        <f>'BID I'!B450</f>
        <v>Belanja Barang Jasa</v>
      </c>
      <c r="G55" s="32"/>
      <c r="H55" s="32"/>
      <c r="I55" s="497">
        <f>I54</f>
        <v>6685000</v>
      </c>
      <c r="J55" s="66"/>
    </row>
    <row r="56" spans="1:10" ht="30" x14ac:dyDescent="0.25">
      <c r="A56" s="1344">
        <v>1</v>
      </c>
      <c r="B56" s="1344">
        <v>1</v>
      </c>
      <c r="C56" s="1344">
        <v>91</v>
      </c>
      <c r="D56" s="1344"/>
      <c r="E56" s="1344"/>
      <c r="F56" s="1345" t="str">
        <f>'BID I'!B479</f>
        <v xml:space="preserve">: Penyediaan Penghasilan Staf Desa </v>
      </c>
      <c r="G56" s="1344"/>
      <c r="H56" s="1344"/>
      <c r="I56" s="1347">
        <f>'Penjabaran APBDesa'!K126</f>
        <v>482054400</v>
      </c>
      <c r="J56" s="1345" t="s">
        <v>2710</v>
      </c>
    </row>
    <row r="57" spans="1:10" x14ac:dyDescent="0.25">
      <c r="A57" s="32"/>
      <c r="B57" s="32"/>
      <c r="C57" s="32"/>
      <c r="D57" s="32">
        <v>5</v>
      </c>
      <c r="E57" s="32">
        <v>2</v>
      </c>
      <c r="F57" s="66" t="str">
        <f>'BID I'!B485</f>
        <v>Belanja Barang Jasa</v>
      </c>
      <c r="G57" s="32"/>
      <c r="H57" s="32"/>
      <c r="I57" s="497">
        <f>I56</f>
        <v>482054400</v>
      </c>
      <c r="J57" s="66"/>
    </row>
    <row r="58" spans="1:10" ht="45" x14ac:dyDescent="0.25">
      <c r="A58" s="1344">
        <v>1</v>
      </c>
      <c r="B58" s="1344">
        <v>1</v>
      </c>
      <c r="C58" s="1344">
        <v>93</v>
      </c>
      <c r="D58" s="1344"/>
      <c r="E58" s="1344"/>
      <c r="F58" s="1345" t="str">
        <f>'BID I'!B510</f>
        <v>Penjaringan dan Penyaringan Perangkat Desa/Staf</v>
      </c>
      <c r="G58" s="1344"/>
      <c r="H58" s="1344"/>
      <c r="I58" s="1347">
        <f>'Penjabaran APBDesa'!K130</f>
        <v>6699000</v>
      </c>
      <c r="J58" s="1345" t="s">
        <v>2626</v>
      </c>
    </row>
    <row r="59" spans="1:10" x14ac:dyDescent="0.25">
      <c r="A59" s="32"/>
      <c r="B59" s="32"/>
      <c r="C59" s="32"/>
      <c r="D59" s="32">
        <v>5</v>
      </c>
      <c r="E59" s="32">
        <v>2</v>
      </c>
      <c r="F59" s="66" t="str">
        <f>'BID I'!B516</f>
        <v>Belanja Barang Jasa :</v>
      </c>
      <c r="G59" s="32"/>
      <c r="H59" s="32"/>
      <c r="I59" s="497">
        <f>I58</f>
        <v>6699000</v>
      </c>
      <c r="J59" s="66"/>
    </row>
    <row r="60" spans="1:10" ht="45" x14ac:dyDescent="0.25">
      <c r="A60" s="1344">
        <v>1</v>
      </c>
      <c r="B60" s="1344">
        <v>1</v>
      </c>
      <c r="C60" s="1344">
        <v>93</v>
      </c>
      <c r="D60" s="1344"/>
      <c r="E60" s="1344"/>
      <c r="F60" s="1345" t="str">
        <f>'BID I'!B552</f>
        <v>Penyedian Jaminan Keshatan dan ketenagakerjaan BPD</v>
      </c>
      <c r="G60" s="1344"/>
      <c r="H60" s="1344"/>
      <c r="I60" s="1347">
        <f>'Penjabaran APBDesa'!K139</f>
        <v>36717720</v>
      </c>
      <c r="J60" s="1345" t="s">
        <v>2620</v>
      </c>
    </row>
    <row r="61" spans="1:10" x14ac:dyDescent="0.25">
      <c r="A61" s="32"/>
      <c r="B61" s="32"/>
      <c r="C61" s="32"/>
      <c r="D61" s="32">
        <v>5</v>
      </c>
      <c r="E61" s="32">
        <v>1</v>
      </c>
      <c r="F61" s="66" t="str">
        <f>'BID I'!B558</f>
        <v>Belanja Pegawai</v>
      </c>
      <c r="G61" s="32"/>
      <c r="H61" s="32"/>
      <c r="I61" s="497">
        <f>I60</f>
        <v>36717720</v>
      </c>
      <c r="J61" s="66"/>
    </row>
    <row r="62" spans="1:10" ht="60" x14ac:dyDescent="0.25">
      <c r="A62" s="1344">
        <v>1</v>
      </c>
      <c r="B62" s="1344">
        <v>1</v>
      </c>
      <c r="C62" s="1344">
        <v>93</v>
      </c>
      <c r="D62" s="1344"/>
      <c r="E62" s="1344"/>
      <c r="F62" s="1345" t="str">
        <f>'BID I'!B584</f>
        <v>Penyedian Jaminan Keshatan dan ketenagakerjaan Staf Desa</v>
      </c>
      <c r="G62" s="1344"/>
      <c r="H62" s="1344"/>
      <c r="I62" s="1347">
        <f>'Penjabaran APBDesa'!K144</f>
        <v>24226512</v>
      </c>
      <c r="J62" s="1345" t="s">
        <v>2620</v>
      </c>
    </row>
    <row r="63" spans="1:10" x14ac:dyDescent="0.25">
      <c r="A63" s="32"/>
      <c r="B63" s="32"/>
      <c r="C63" s="32"/>
      <c r="D63" s="32">
        <v>5</v>
      </c>
      <c r="E63" s="32">
        <v>1</v>
      </c>
      <c r="F63" s="66" t="str">
        <f>'BID I'!B590</f>
        <v>Belanja Pegawai</v>
      </c>
      <c r="G63" s="32"/>
      <c r="H63" s="32"/>
      <c r="I63" s="497">
        <f>I62</f>
        <v>24226512</v>
      </c>
      <c r="J63" s="66"/>
    </row>
    <row r="64" spans="1:10" ht="45" x14ac:dyDescent="0.25">
      <c r="A64" s="1344">
        <v>1</v>
      </c>
      <c r="B64" s="1344">
        <v>1</v>
      </c>
      <c r="C64" s="1344">
        <v>93</v>
      </c>
      <c r="D64" s="1344"/>
      <c r="E64" s="1344"/>
      <c r="F64" s="1345" t="str">
        <f>'BID I'!B620</f>
        <v>Penyedian Jaminan Ketenagakerjaan Ekosistem Desa</v>
      </c>
      <c r="G64" s="1344"/>
      <c r="H64" s="1344"/>
      <c r="I64" s="1347">
        <f>'Penjabaran APBDesa'!K149</f>
        <v>42537600</v>
      </c>
      <c r="J64" s="1345" t="s">
        <v>2620</v>
      </c>
    </row>
    <row r="65" spans="1:10" x14ac:dyDescent="0.25">
      <c r="A65" s="32"/>
      <c r="B65" s="32"/>
      <c r="C65" s="32"/>
      <c r="D65" s="32">
        <v>5</v>
      </c>
      <c r="E65" s="32">
        <v>1</v>
      </c>
      <c r="F65" s="66" t="str">
        <f>'BID I'!B626</f>
        <v>Belanja Pegawai</v>
      </c>
      <c r="G65" s="32"/>
      <c r="H65" s="32"/>
      <c r="I65" s="497">
        <f>I64</f>
        <v>42537600</v>
      </c>
      <c r="J65" s="66"/>
    </row>
    <row r="66" spans="1:10" ht="30" x14ac:dyDescent="0.25">
      <c r="A66" s="1344">
        <v>1</v>
      </c>
      <c r="B66" s="1344">
        <v>1</v>
      </c>
      <c r="C66" s="1344">
        <v>94</v>
      </c>
      <c r="D66" s="1344"/>
      <c r="E66" s="1344"/>
      <c r="F66" s="1345" t="str">
        <f>'BID I'!B657</f>
        <v>: Penyediaan Kegiatan Sosial Desa</v>
      </c>
      <c r="G66" s="1344"/>
      <c r="H66" s="1344"/>
      <c r="I66" s="1347">
        <f>'Penjabaran APBDesa'!K153</f>
        <v>34032000</v>
      </c>
      <c r="J66" s="1345" t="s">
        <v>1690</v>
      </c>
    </row>
    <row r="67" spans="1:10" x14ac:dyDescent="0.25">
      <c r="A67" s="32"/>
      <c r="B67" s="32"/>
      <c r="C67" s="32"/>
      <c r="D67" s="32">
        <v>5</v>
      </c>
      <c r="E67" s="32">
        <v>2</v>
      </c>
      <c r="F67" s="66" t="str">
        <f>'BID I'!B663</f>
        <v>Belanja Barang Jasa</v>
      </c>
      <c r="G67" s="32"/>
      <c r="H67" s="32"/>
      <c r="I67" s="497">
        <f>I66</f>
        <v>34032000</v>
      </c>
      <c r="J67" s="66"/>
    </row>
    <row r="68" spans="1:10" ht="30" x14ac:dyDescent="0.25">
      <c r="A68" s="1344">
        <v>1</v>
      </c>
      <c r="B68" s="1344">
        <v>1</v>
      </c>
      <c r="C68" s="1344">
        <v>96</v>
      </c>
      <c r="D68" s="1344"/>
      <c r="E68" s="1344"/>
      <c r="F68" s="1345" t="str">
        <f>'BID I'!B716</f>
        <v>: Tambahan  Penghasilan Perbekel dari BKK</v>
      </c>
      <c r="G68" s="1344"/>
      <c r="H68" s="1344"/>
      <c r="I68" s="1347">
        <f>'Penjabaran APBDesa'!K157</f>
        <v>22500000</v>
      </c>
      <c r="J68" s="1345" t="s">
        <v>2638</v>
      </c>
    </row>
    <row r="69" spans="1:10" x14ac:dyDescent="0.25">
      <c r="A69" s="32"/>
      <c r="B69" s="32"/>
      <c r="C69" s="32"/>
      <c r="D69" s="32">
        <v>5</v>
      </c>
      <c r="E69" s="32">
        <v>1</v>
      </c>
      <c r="F69" s="66" t="str">
        <f>'BID I'!B722</f>
        <v xml:space="preserve">Belanja Pegawai </v>
      </c>
      <c r="G69" s="32"/>
      <c r="H69" s="32"/>
      <c r="I69" s="497">
        <f>I68</f>
        <v>22500000</v>
      </c>
      <c r="J69" s="66"/>
    </row>
    <row r="70" spans="1:10" ht="30" x14ac:dyDescent="0.25">
      <c r="A70" s="1344">
        <v>1</v>
      </c>
      <c r="B70" s="1344">
        <v>1</v>
      </c>
      <c r="C70" s="1344">
        <v>97</v>
      </c>
      <c r="D70" s="1344"/>
      <c r="E70" s="1344"/>
      <c r="F70" s="1345" t="str">
        <f>'BID I'!B742</f>
        <v>: Tambahan  Penghasilan Perangkat Desa dari BKK</v>
      </c>
      <c r="G70" s="1344"/>
      <c r="H70" s="1344"/>
      <c r="I70" s="1347">
        <f>'Penjabaran APBDesa'!K162</f>
        <v>70500000</v>
      </c>
      <c r="J70" s="1345" t="s">
        <v>2638</v>
      </c>
    </row>
    <row r="71" spans="1:10" x14ac:dyDescent="0.25">
      <c r="A71" s="32"/>
      <c r="B71" s="32"/>
      <c r="C71" s="32"/>
      <c r="D71" s="32">
        <v>5</v>
      </c>
      <c r="E71" s="32">
        <v>1</v>
      </c>
      <c r="F71" s="66" t="str">
        <f>'BID I'!B748</f>
        <v xml:space="preserve">Belanja Pegawai </v>
      </c>
      <c r="G71" s="32"/>
      <c r="H71" s="32"/>
      <c r="I71" s="497">
        <f>I70</f>
        <v>70500000</v>
      </c>
      <c r="J71" s="66"/>
    </row>
    <row r="72" spans="1:10" ht="30" x14ac:dyDescent="0.25">
      <c r="A72" s="1344">
        <v>1</v>
      </c>
      <c r="B72" s="1344">
        <v>2</v>
      </c>
      <c r="C72" s="1344"/>
      <c r="D72" s="1344"/>
      <c r="E72" s="1344"/>
      <c r="F72" s="1345" t="str">
        <f>'BID I'!B777</f>
        <v>: Sarana dan Prasarana Pemerintah Desa</v>
      </c>
      <c r="G72" s="1344"/>
      <c r="H72" s="1344"/>
      <c r="I72" s="1347"/>
      <c r="J72" s="1345"/>
    </row>
    <row r="73" spans="1:10" ht="30" x14ac:dyDescent="0.25">
      <c r="A73" s="1344">
        <v>1</v>
      </c>
      <c r="B73" s="1344">
        <v>2</v>
      </c>
      <c r="C73" s="1344">
        <v>1</v>
      </c>
      <c r="D73" s="1344"/>
      <c r="E73" s="1344"/>
      <c r="F73" s="1345" t="str">
        <f>'BID I'!B778</f>
        <v>: Penyediaan Aset Tetap (Prasarana Kantor Desa)</v>
      </c>
      <c r="G73" s="1344"/>
      <c r="H73" s="1344"/>
      <c r="I73" s="1347">
        <f>'Penjabaran APBDesa'!K168</f>
        <v>84962003.659999996</v>
      </c>
      <c r="J73" s="1345"/>
    </row>
    <row r="74" spans="1:10" x14ac:dyDescent="0.25">
      <c r="A74" s="32"/>
      <c r="B74" s="32"/>
      <c r="C74" s="32"/>
      <c r="D74" s="32">
        <v>5</v>
      </c>
      <c r="E74" s="32">
        <v>3</v>
      </c>
      <c r="F74" s="66" t="str">
        <f>'BID I'!B783</f>
        <v>Belanja Modal</v>
      </c>
      <c r="G74" s="32"/>
      <c r="H74" s="32"/>
      <c r="I74" s="497">
        <f>I73</f>
        <v>84962003.659999996</v>
      </c>
      <c r="J74" s="66"/>
    </row>
    <row r="75" spans="1:10" ht="45" x14ac:dyDescent="0.25">
      <c r="A75" s="1344">
        <v>1</v>
      </c>
      <c r="B75" s="1344">
        <v>2</v>
      </c>
      <c r="C75" s="1346" t="s">
        <v>2702</v>
      </c>
      <c r="D75" s="1344"/>
      <c r="E75" s="1344"/>
      <c r="F75" s="1345" t="str">
        <f>'BID I'!B815</f>
        <v>Pemeliharaan Gedung/Prasarana Kantor Desa (Ruang Rapat)</v>
      </c>
      <c r="G75" s="1344">
        <v>34.43</v>
      </c>
      <c r="H75" s="1344" t="s">
        <v>1940</v>
      </c>
      <c r="I75" s="1347">
        <f>'Penjabaran APBDesa'!K180</f>
        <v>45676945</v>
      </c>
      <c r="J75" s="1345" t="s">
        <v>1682</v>
      </c>
    </row>
    <row r="76" spans="1:10" x14ac:dyDescent="0.25">
      <c r="A76" s="32"/>
      <c r="B76" s="32"/>
      <c r="C76" s="32"/>
      <c r="D76" s="32">
        <v>5</v>
      </c>
      <c r="E76" s="32">
        <v>3</v>
      </c>
      <c r="F76" s="66" t="str">
        <f>'BID I'!B822</f>
        <v>Belanja Modal</v>
      </c>
      <c r="G76" s="32"/>
      <c r="H76" s="32"/>
      <c r="I76" s="497">
        <f>I75</f>
        <v>45676945</v>
      </c>
      <c r="J76" s="66"/>
    </row>
    <row r="77" spans="1:10" ht="60" x14ac:dyDescent="0.25">
      <c r="A77" s="1344">
        <v>1</v>
      </c>
      <c r="B77" s="1344">
        <v>2</v>
      </c>
      <c r="C77" s="1346" t="s">
        <v>2702</v>
      </c>
      <c r="D77" s="1344"/>
      <c r="E77" s="1344"/>
      <c r="F77" s="1345" t="str">
        <f>'BID I'!B853:B853</f>
        <v xml:space="preserve">Pemeliharaan Gedung/Prasarana Kantor Desa (Pengelasan Atap Parkir) </v>
      </c>
      <c r="G77" s="1344">
        <v>62.1</v>
      </c>
      <c r="H77" s="1344" t="s">
        <v>1940</v>
      </c>
      <c r="I77" s="1347">
        <f>'Penjabaran APBDesa'!K185</f>
        <v>22899750</v>
      </c>
      <c r="J77" s="1345" t="s">
        <v>2623</v>
      </c>
    </row>
    <row r="78" spans="1:10" x14ac:dyDescent="0.25">
      <c r="A78" s="32"/>
      <c r="B78" s="32"/>
      <c r="C78" s="32"/>
      <c r="D78" s="32">
        <v>5</v>
      </c>
      <c r="E78" s="32">
        <v>3</v>
      </c>
      <c r="F78" s="66" t="str">
        <f>'BID I'!B860</f>
        <v>Belanja Modal</v>
      </c>
      <c r="G78" s="32"/>
      <c r="H78" s="32"/>
      <c r="I78" s="497">
        <f>I77</f>
        <v>22899750</v>
      </c>
      <c r="J78" s="66"/>
    </row>
    <row r="79" spans="1:10" ht="90" x14ac:dyDescent="0.25">
      <c r="A79" s="1344">
        <v>1</v>
      </c>
      <c r="B79" s="1344">
        <v>2</v>
      </c>
      <c r="C79" s="1346" t="s">
        <v>2702</v>
      </c>
      <c r="D79" s="1344"/>
      <c r="E79" s="1344"/>
      <c r="F79" s="1345" t="str">
        <f>'BID I'!B884</f>
        <v>Pemeliharaan/ Rehabilitasi/ Peningkatan Gedung/ Prasarana Kantor Desa (Penataan Kebun dan Vertical Garden)</v>
      </c>
      <c r="G79" s="1344">
        <v>126</v>
      </c>
      <c r="H79" s="1344" t="s">
        <v>1940</v>
      </c>
      <c r="I79" s="1347">
        <f>'Penjabaran APBDesa'!K190</f>
        <v>32007000</v>
      </c>
      <c r="J79" s="1345" t="s">
        <v>2624</v>
      </c>
    </row>
    <row r="80" spans="1:10" x14ac:dyDescent="0.25">
      <c r="A80" s="32"/>
      <c r="B80" s="32"/>
      <c r="C80" s="32"/>
      <c r="D80" s="32">
        <v>5</v>
      </c>
      <c r="E80" s="32">
        <v>3</v>
      </c>
      <c r="F80" s="66" t="str">
        <f>'BID I'!B891</f>
        <v>Belanja Modal</v>
      </c>
      <c r="G80" s="32"/>
      <c r="H80" s="32"/>
      <c r="I80" s="497">
        <f>I79</f>
        <v>32007000</v>
      </c>
      <c r="J80" s="66"/>
    </row>
    <row r="81" spans="1:10" ht="75" x14ac:dyDescent="0.25">
      <c r="A81" s="1344">
        <v>1</v>
      </c>
      <c r="B81" s="1344">
        <v>3</v>
      </c>
      <c r="C81" s="1346" t="s">
        <v>2702</v>
      </c>
      <c r="D81" s="1344"/>
      <c r="E81" s="1344"/>
      <c r="F81" s="1345" t="str">
        <f>'BID I'!B919</f>
        <v>: Penyusunan/ Pendataan/Pemuktahiran Profil Desa (Profil Kependudukan dan potensi Desa )</v>
      </c>
      <c r="G81" s="1344"/>
      <c r="H81" s="1344"/>
      <c r="I81" s="1347">
        <f>'Penjabaran APBDesa'!K196</f>
        <v>51506000</v>
      </c>
      <c r="J81" s="1345" t="s">
        <v>2620</v>
      </c>
    </row>
    <row r="82" spans="1:10" x14ac:dyDescent="0.25">
      <c r="A82" s="32"/>
      <c r="B82" s="32"/>
      <c r="C82" s="32"/>
      <c r="D82" s="32">
        <v>5</v>
      </c>
      <c r="E82" s="32">
        <v>2</v>
      </c>
      <c r="F82" s="66" t="str">
        <f>'BID I'!B927</f>
        <v>Belanja Barang Jasa</v>
      </c>
      <c r="G82" s="32"/>
      <c r="H82" s="32"/>
      <c r="I82" s="497">
        <f>I81</f>
        <v>51506000</v>
      </c>
      <c r="J82" s="66"/>
    </row>
    <row r="83" spans="1:10" ht="60" x14ac:dyDescent="0.25">
      <c r="A83" s="1344">
        <v>1</v>
      </c>
      <c r="B83" s="1344">
        <v>3</v>
      </c>
      <c r="C83" s="1344">
        <v>90</v>
      </c>
      <c r="D83" s="1344"/>
      <c r="E83" s="1344"/>
      <c r="F83" s="1345" t="str">
        <f>'BID I'!B975</f>
        <v>: Pengelolaan Administrasi dan Kearsipan pemerintahan Desa ( Pelatihan )</v>
      </c>
      <c r="G83" s="1344"/>
      <c r="H83" s="1344"/>
      <c r="I83" s="1347">
        <f>'Penjabaran APBDesa'!K209</f>
        <v>910000</v>
      </c>
      <c r="J83" s="1345" t="s">
        <v>2621</v>
      </c>
    </row>
    <row r="84" spans="1:10" x14ac:dyDescent="0.25">
      <c r="A84" s="32"/>
      <c r="B84" s="32"/>
      <c r="C84" s="32"/>
      <c r="D84" s="32">
        <v>5</v>
      </c>
      <c r="E84" s="32">
        <v>2</v>
      </c>
      <c r="F84" s="66" t="str">
        <f>'BID I'!B981</f>
        <v>Belanja Barang Jasa</v>
      </c>
      <c r="G84" s="32"/>
      <c r="H84" s="32"/>
      <c r="I84" s="497">
        <f>I83</f>
        <v>910000</v>
      </c>
      <c r="J84" s="66"/>
    </row>
    <row r="85" spans="1:10" ht="75" x14ac:dyDescent="0.25">
      <c r="A85" s="1344">
        <v>1</v>
      </c>
      <c r="B85" s="1344">
        <v>3</v>
      </c>
      <c r="C85" s="1344">
        <v>90</v>
      </c>
      <c r="D85" s="1344"/>
      <c r="E85" s="1344"/>
      <c r="F85" s="1345" t="str">
        <f>'BID I'!B1013</f>
        <v>: Pendataan Administrasi Penduduk Non Permanen (Penertiban Penduduk Pendatang dan Sidak Dialogis)</v>
      </c>
      <c r="G85" s="1344"/>
      <c r="H85" s="1344"/>
      <c r="I85" s="1347">
        <f>'Penjabaran APBDesa'!K217</f>
        <v>41205000</v>
      </c>
      <c r="J85" s="1345" t="s">
        <v>1682</v>
      </c>
    </row>
    <row r="86" spans="1:10" x14ac:dyDescent="0.25">
      <c r="A86" s="32"/>
      <c r="B86" s="32"/>
      <c r="C86" s="32"/>
      <c r="D86" s="32">
        <v>5</v>
      </c>
      <c r="E86" s="32">
        <v>2</v>
      </c>
      <c r="F86" s="66" t="str">
        <f>'BID I'!B1019</f>
        <v>Belanja Barang dan Jasa</v>
      </c>
      <c r="G86" s="32"/>
      <c r="H86" s="32"/>
      <c r="I86" s="497">
        <f>I85</f>
        <v>41205000</v>
      </c>
      <c r="J86" s="66"/>
    </row>
    <row r="87" spans="1:10" ht="60" x14ac:dyDescent="0.25">
      <c r="A87" s="1344">
        <v>1</v>
      </c>
      <c r="B87" s="1344">
        <v>4</v>
      </c>
      <c r="C87" s="1346" t="s">
        <v>2688</v>
      </c>
      <c r="D87" s="1344"/>
      <c r="E87" s="1344"/>
      <c r="F87" s="1345" t="str">
        <f>'BID I'!B1054</f>
        <v>Penyelenggaraan Musyawarah Desa/ Pembahasan APBDes (Musrenbangdes)</v>
      </c>
      <c r="G87" s="1344"/>
      <c r="H87" s="1344"/>
      <c r="I87" s="1347">
        <f>'Penjabaran APBDesa'!K225</f>
        <v>22595200</v>
      </c>
      <c r="J87" s="1345" t="s">
        <v>2620</v>
      </c>
    </row>
    <row r="88" spans="1:10" x14ac:dyDescent="0.25">
      <c r="A88" s="32"/>
      <c r="B88" s="32"/>
      <c r="C88" s="32"/>
      <c r="D88" s="32">
        <v>5</v>
      </c>
      <c r="E88" s="32">
        <v>2</v>
      </c>
      <c r="F88" s="66" t="str">
        <f>'BID I'!B1060</f>
        <v>Belanja Barang Jasa</v>
      </c>
      <c r="G88" s="32"/>
      <c r="H88" s="32"/>
      <c r="I88" s="497">
        <f>I87</f>
        <v>22595200</v>
      </c>
      <c r="J88" s="66"/>
    </row>
    <row r="89" spans="1:10" ht="105" x14ac:dyDescent="0.25">
      <c r="A89" s="1344">
        <v>1</v>
      </c>
      <c r="B89" s="1344">
        <v>4</v>
      </c>
      <c r="C89" s="1346" t="s">
        <v>2688</v>
      </c>
      <c r="D89" s="1344"/>
      <c r="E89" s="1344"/>
      <c r="F89" s="1345" t="str">
        <f>'BID I'!B1098</f>
        <v>Penyelenggaraan Musyawarah Desa/ Pembahasan APBDes (Musdes, Musrenbangdes/pra musrenbangdes, dll yang bersifat reguler )</v>
      </c>
      <c r="G89" s="1344"/>
      <c r="H89" s="1344"/>
      <c r="I89" s="1347">
        <f>'Penjabaran APBDesa'!K235</f>
        <v>41416000</v>
      </c>
      <c r="J89" s="1345" t="s">
        <v>1682</v>
      </c>
    </row>
    <row r="90" spans="1:10" x14ac:dyDescent="0.25">
      <c r="A90" s="32"/>
      <c r="B90" s="32"/>
      <c r="C90" s="32"/>
      <c r="D90" s="32">
        <v>5</v>
      </c>
      <c r="E90" s="32">
        <v>2</v>
      </c>
      <c r="F90" s="66" t="str">
        <f>'BID I'!B1104</f>
        <v>Belanja Barang Jasa</v>
      </c>
      <c r="G90" s="32"/>
      <c r="H90" s="32"/>
      <c r="I90" s="497">
        <f>I89</f>
        <v>41416000</v>
      </c>
      <c r="J90" s="66"/>
    </row>
    <row r="91" spans="1:10" ht="60" x14ac:dyDescent="0.25">
      <c r="A91" s="1344">
        <v>1</v>
      </c>
      <c r="B91" s="1344">
        <v>4</v>
      </c>
      <c r="C91" s="1346" t="s">
        <v>2702</v>
      </c>
      <c r="D91" s="1344"/>
      <c r="E91" s="1344"/>
      <c r="F91" s="1345" t="str">
        <f>'BID I'!B1143</f>
        <v>: Penyelenggaraan Musyawarah Desa lainya (yang bersifat non reguler )</v>
      </c>
      <c r="G91" s="1344"/>
      <c r="H91" s="1344"/>
      <c r="I91" s="1347">
        <f>'Penjabaran APBDesa'!K245</f>
        <v>41412000</v>
      </c>
      <c r="J91" s="1345" t="s">
        <v>1682</v>
      </c>
    </row>
    <row r="92" spans="1:10" x14ac:dyDescent="0.25">
      <c r="A92" s="32"/>
      <c r="B92" s="32"/>
      <c r="C92" s="32"/>
      <c r="D92" s="32">
        <v>5</v>
      </c>
      <c r="E92" s="32">
        <v>2</v>
      </c>
      <c r="F92" s="66" t="str">
        <f>'BID I'!B1149</f>
        <v>Belanja Barang Jasa</v>
      </c>
      <c r="G92" s="32"/>
      <c r="H92" s="32"/>
      <c r="I92" s="497">
        <f>I91</f>
        <v>41412000</v>
      </c>
      <c r="J92" s="66"/>
    </row>
    <row r="93" spans="1:10" ht="45" x14ac:dyDescent="0.25">
      <c r="A93" s="1344">
        <v>1</v>
      </c>
      <c r="B93" s="1344">
        <v>4</v>
      </c>
      <c r="C93" s="1346" t="s">
        <v>2703</v>
      </c>
      <c r="D93" s="1344"/>
      <c r="E93" s="1344"/>
      <c r="F93" s="1345" t="str">
        <f>'BID I'!B1219</f>
        <v>Penyusunan Dokumen Perencanaan Desa (RKP Desa 2025)</v>
      </c>
      <c r="G93" s="1344"/>
      <c r="H93" s="1344"/>
      <c r="I93" s="1347">
        <f>'Penjabaran APBDesa'!K255</f>
        <v>25930000</v>
      </c>
      <c r="J93" s="1345" t="s">
        <v>1682</v>
      </c>
    </row>
    <row r="94" spans="1:10" x14ac:dyDescent="0.25">
      <c r="A94" s="32"/>
      <c r="B94" s="32"/>
      <c r="C94" s="32"/>
      <c r="D94" s="32">
        <v>5</v>
      </c>
      <c r="E94" s="32">
        <v>2</v>
      </c>
      <c r="F94" s="66" t="str">
        <f>'BID I'!B1225</f>
        <v>Belanja Barang Jasa</v>
      </c>
      <c r="G94" s="32"/>
      <c r="H94" s="32"/>
      <c r="I94" s="497">
        <f>I93</f>
        <v>25930000</v>
      </c>
      <c r="J94" s="66"/>
    </row>
    <row r="95" spans="1:10" ht="45" x14ac:dyDescent="0.25">
      <c r="A95" s="1344">
        <v>1</v>
      </c>
      <c r="B95" s="1344">
        <v>4</v>
      </c>
      <c r="C95" s="1346" t="s">
        <v>2704</v>
      </c>
      <c r="D95" s="1344"/>
      <c r="E95" s="1344"/>
      <c r="F95" s="1345" t="str">
        <f>'BID I'!B1260</f>
        <v>: Penyusunan dokumen keuangan Desa (APBDesa 2025 )</v>
      </c>
      <c r="G95" s="1344"/>
      <c r="H95" s="1344"/>
      <c r="I95" s="1347">
        <f>'Penjabaran APBDesa'!K262</f>
        <v>5175000</v>
      </c>
      <c r="J95" s="1345" t="s">
        <v>1682</v>
      </c>
    </row>
    <row r="96" spans="1:10" x14ac:dyDescent="0.25">
      <c r="A96" s="32"/>
      <c r="B96" s="32"/>
      <c r="C96" s="32"/>
      <c r="D96" s="32">
        <v>5</v>
      </c>
      <c r="E96" s="32">
        <v>2</v>
      </c>
      <c r="F96" s="66" t="str">
        <f>'BID I'!B1266</f>
        <v>Belanja Barang Jasa :</v>
      </c>
      <c r="G96" s="32"/>
      <c r="H96" s="32"/>
      <c r="I96" s="497">
        <f>I95</f>
        <v>5175000</v>
      </c>
      <c r="J96" s="66"/>
    </row>
    <row r="97" spans="1:10" ht="45" x14ac:dyDescent="0.25">
      <c r="A97" s="1344">
        <v>1</v>
      </c>
      <c r="B97" s="1344">
        <v>4</v>
      </c>
      <c r="C97" s="1346" t="s">
        <v>2704</v>
      </c>
      <c r="D97" s="1344"/>
      <c r="E97" s="1344"/>
      <c r="F97" s="1345" t="str">
        <f>'BID I'!B1291</f>
        <v>: Penyusunan dokumen keuangan Desa (APBDesa Perubahan 2024)</v>
      </c>
      <c r="G97" s="1344"/>
      <c r="H97" s="1344"/>
      <c r="I97" s="1347">
        <f>'Penjabaran APBDesa'!K267</f>
        <v>4805000</v>
      </c>
      <c r="J97" s="1345" t="s">
        <v>1682</v>
      </c>
    </row>
    <row r="98" spans="1:10" x14ac:dyDescent="0.25">
      <c r="A98" s="32"/>
      <c r="B98" s="32"/>
      <c r="C98" s="32"/>
      <c r="D98" s="32">
        <v>5</v>
      </c>
      <c r="E98" s="32">
        <v>2</v>
      </c>
      <c r="F98" s="66" t="str">
        <f>'BID I'!B1297</f>
        <v>Belanja Barang Jasa :</v>
      </c>
      <c r="G98" s="32"/>
      <c r="H98" s="32"/>
      <c r="I98" s="497">
        <f>I97</f>
        <v>4805000</v>
      </c>
      <c r="J98" s="66"/>
    </row>
    <row r="99" spans="1:10" ht="45" x14ac:dyDescent="0.25">
      <c r="A99" s="1344">
        <v>1</v>
      </c>
      <c r="B99" s="1344">
        <v>4</v>
      </c>
      <c r="C99" s="1346" t="s">
        <v>2704</v>
      </c>
      <c r="D99" s="1344"/>
      <c r="E99" s="1344"/>
      <c r="F99" s="1345" t="str">
        <f>'BID I'!B1321</f>
        <v>: Penyusunan dokumen keuangan Desa ( LPJ APBDesa 2023)</v>
      </c>
      <c r="G99" s="1344"/>
      <c r="H99" s="1344"/>
      <c r="I99" s="1347">
        <f>'Penjabaran APBDesa'!K272</f>
        <v>1575000</v>
      </c>
      <c r="J99" s="1345" t="s">
        <v>1682</v>
      </c>
    </row>
    <row r="100" spans="1:10" x14ac:dyDescent="0.25">
      <c r="A100" s="32"/>
      <c r="B100" s="32"/>
      <c r="C100" s="32"/>
      <c r="D100" s="32">
        <v>5</v>
      </c>
      <c r="E100" s="32">
        <v>2</v>
      </c>
      <c r="F100" s="66" t="str">
        <f>'BID I'!B1327</f>
        <v>Belanja Barang Jasa :</v>
      </c>
      <c r="G100" s="32"/>
      <c r="H100" s="32"/>
      <c r="I100" s="497">
        <f>I99</f>
        <v>1575000</v>
      </c>
      <c r="J100" s="66"/>
    </row>
    <row r="101" spans="1:10" ht="90" x14ac:dyDescent="0.25">
      <c r="A101" s="1344">
        <v>1</v>
      </c>
      <c r="B101" s="1344">
        <v>4</v>
      </c>
      <c r="C101" s="1346" t="s">
        <v>2708</v>
      </c>
      <c r="D101" s="1344"/>
      <c r="E101" s="1344"/>
      <c r="F101" s="1345" t="str">
        <f>'BID I'!B1349</f>
        <v>: Penyusunan laporan Kepala Desa/ Penyelenggaraan Pemerintah Desa (Laporan akhir tahun anggaran )</v>
      </c>
      <c r="G101" s="1344"/>
      <c r="H101" s="1344"/>
      <c r="I101" s="1347">
        <f>'Penjabaran APBDesa'!K276</f>
        <v>1625000</v>
      </c>
      <c r="J101" s="1345" t="s">
        <v>1682</v>
      </c>
    </row>
    <row r="102" spans="1:10" x14ac:dyDescent="0.25">
      <c r="A102" s="32"/>
      <c r="B102" s="32"/>
      <c r="C102" s="32"/>
      <c r="D102" s="32">
        <v>5</v>
      </c>
      <c r="E102" s="32">
        <v>2</v>
      </c>
      <c r="F102" s="66" t="str">
        <f>'BID I'!B1355</f>
        <v>Belanja Barang Jasa :</v>
      </c>
      <c r="G102" s="32"/>
      <c r="H102" s="32"/>
      <c r="I102" s="497">
        <f>I101</f>
        <v>1625000</v>
      </c>
      <c r="J102" s="66"/>
    </row>
    <row r="103" spans="1:10" ht="75" x14ac:dyDescent="0.25">
      <c r="A103" s="1344">
        <v>1</v>
      </c>
      <c r="B103" s="1344">
        <v>4</v>
      </c>
      <c r="C103" s="1344">
        <v>11</v>
      </c>
      <c r="D103" s="1344"/>
      <c r="E103" s="1344"/>
      <c r="F103" s="1345" t="str">
        <f>'BID I'!B1377</f>
        <v xml:space="preserve">: Penyelenggaraan Lomba antar kewilayahan dan pengiriman kontingen dalam mengikuti Lomba Desa </v>
      </c>
      <c r="G103" s="1344"/>
      <c r="H103" s="1344"/>
      <c r="I103" s="1347">
        <f>'Penjabaran APBDesa'!K280</f>
        <v>110468445</v>
      </c>
      <c r="J103" s="1345" t="s">
        <v>1682</v>
      </c>
    </row>
    <row r="104" spans="1:10" x14ac:dyDescent="0.25">
      <c r="A104" s="32"/>
      <c r="B104" s="32"/>
      <c r="C104" s="32"/>
      <c r="D104" s="32">
        <v>5</v>
      </c>
      <c r="E104" s="32">
        <v>2</v>
      </c>
      <c r="F104" s="66" t="str">
        <f>'Penjabaran APBDesa'!H281</f>
        <v>Belanja Barang Jasa</v>
      </c>
      <c r="G104" s="32"/>
      <c r="H104" s="32"/>
      <c r="I104" s="497">
        <f>I103</f>
        <v>110468445</v>
      </c>
      <c r="J104" s="66"/>
    </row>
    <row r="105" spans="1:10" ht="30" x14ac:dyDescent="0.25">
      <c r="A105" s="1342"/>
      <c r="B105" s="1342"/>
      <c r="C105" s="1342"/>
      <c r="D105" s="1342"/>
      <c r="E105" s="1342"/>
      <c r="F105" s="1343" t="str">
        <f>'BID II'!B7</f>
        <v>Pelaksanaan Pembangunan Desa</v>
      </c>
      <c r="G105" s="1342"/>
      <c r="H105" s="1342"/>
      <c r="I105" s="1356">
        <f>'Penjabaran APBDesa'!K292</f>
        <v>3355644206.27</v>
      </c>
      <c r="J105" s="1343"/>
    </row>
    <row r="106" spans="1:10" x14ac:dyDescent="0.25">
      <c r="A106" s="1344"/>
      <c r="B106" s="1344"/>
      <c r="C106" s="1344"/>
      <c r="D106" s="1344"/>
      <c r="E106" s="1344"/>
      <c r="F106" s="1345" t="str">
        <f>'BID II'!B8</f>
        <v>Pendidikan</v>
      </c>
      <c r="G106" s="1344"/>
      <c r="H106" s="1344"/>
      <c r="I106" s="1347">
        <f>'Penjabaran APBDesa'!K293</f>
        <v>0</v>
      </c>
      <c r="J106" s="1345"/>
    </row>
    <row r="107" spans="1:10" ht="90" x14ac:dyDescent="0.25">
      <c r="A107" s="1344">
        <v>2</v>
      </c>
      <c r="B107" s="1344">
        <v>1</v>
      </c>
      <c r="C107" s="1346" t="s">
        <v>2688</v>
      </c>
      <c r="D107" s="1344"/>
      <c r="E107" s="1344"/>
      <c r="F107" s="1345" t="str">
        <f>'BID II'!B9</f>
        <v>Penyelenggaraan PAUD/TK/TKA/ Madrasah Non Formal Milik Desa (Pengelolaan Taman Kanak - kanak  TK Kumara Sari VI )</v>
      </c>
      <c r="G107" s="1344"/>
      <c r="H107" s="1344"/>
      <c r="I107" s="1347">
        <f>'Penjabaran APBDesa'!K294</f>
        <v>237334529.18000001</v>
      </c>
      <c r="J107" s="1345"/>
    </row>
    <row r="108" spans="1:10" x14ac:dyDescent="0.25">
      <c r="A108" s="32"/>
      <c r="B108" s="32"/>
      <c r="C108" s="32"/>
      <c r="D108" s="32">
        <v>5</v>
      </c>
      <c r="E108" s="32">
        <v>2</v>
      </c>
      <c r="F108" s="66" t="str">
        <f>'BID II'!B14</f>
        <v>Belanja Barang Jasa :</v>
      </c>
      <c r="G108" s="32"/>
      <c r="H108" s="32"/>
      <c r="I108" s="497">
        <f>I107</f>
        <v>237334529.18000001</v>
      </c>
      <c r="J108" s="66"/>
    </row>
    <row r="109" spans="1:10" ht="90" x14ac:dyDescent="0.25">
      <c r="A109" s="1344">
        <v>2</v>
      </c>
      <c r="B109" s="1344">
        <v>1</v>
      </c>
      <c r="C109" s="1346" t="s">
        <v>2703</v>
      </c>
      <c r="D109" s="1344"/>
      <c r="E109" s="1344"/>
      <c r="F109" s="1345" t="str">
        <f>'BID II'!B157</f>
        <v>: Penyuluhan dan Pelatihan Pendidikan Bagi Masyarakat ( Pelatihan Bahasa Bali Untuk Anak-Anak 7-12 Th )</v>
      </c>
      <c r="G109" s="1344"/>
      <c r="H109" s="1344"/>
      <c r="I109" s="1347">
        <f>'Penjabaran APBDesa'!K311</f>
        <v>9015000</v>
      </c>
      <c r="J109" s="1345" t="s">
        <v>2620</v>
      </c>
    </row>
    <row r="110" spans="1:10" x14ac:dyDescent="0.25">
      <c r="A110" s="32"/>
      <c r="B110" s="32"/>
      <c r="C110" s="32"/>
      <c r="D110" s="32">
        <v>5</v>
      </c>
      <c r="E110" s="32">
        <v>2</v>
      </c>
      <c r="F110" s="66" t="str">
        <f>'BID II'!B164</f>
        <v>Belanja Barang Jasa</v>
      </c>
      <c r="G110" s="32"/>
      <c r="H110" s="32"/>
      <c r="I110" s="497">
        <f>I109</f>
        <v>9015000</v>
      </c>
      <c r="J110" s="66"/>
    </row>
    <row r="111" spans="1:10" ht="90" x14ac:dyDescent="0.25">
      <c r="A111" s="1344">
        <v>2</v>
      </c>
      <c r="B111" s="1344">
        <v>1</v>
      </c>
      <c r="C111" s="1346" t="s">
        <v>2703</v>
      </c>
      <c r="D111" s="1344"/>
      <c r="E111" s="1344"/>
      <c r="F111" s="1345" t="str">
        <f>'BID II'!B189</f>
        <v>: Penyuluhan dan Pelatihan Pendidikan Bagi Masyarakat ( Pembinaan dan Penyelenggaraan Bunda Literasi )</v>
      </c>
      <c r="G111" s="1344"/>
      <c r="H111" s="1344"/>
      <c r="I111" s="1347">
        <f>'Penjabaran APBDesa'!K319</f>
        <v>14178000</v>
      </c>
      <c r="J111" s="1345" t="s">
        <v>2620</v>
      </c>
    </row>
    <row r="112" spans="1:10" x14ac:dyDescent="0.25">
      <c r="A112" s="32"/>
      <c r="B112" s="32"/>
      <c r="C112" s="32"/>
      <c r="D112" s="32">
        <v>5</v>
      </c>
      <c r="E112" s="32">
        <v>2</v>
      </c>
      <c r="F112" s="66" t="str">
        <f>'BID II'!B196</f>
        <v>Belanja Barang Jasa</v>
      </c>
      <c r="G112" s="32"/>
      <c r="H112" s="32"/>
      <c r="I112" s="497">
        <f>I111</f>
        <v>14178000</v>
      </c>
      <c r="J112" s="66"/>
    </row>
    <row r="113" spans="1:10" ht="45" x14ac:dyDescent="0.25">
      <c r="A113" s="1344">
        <v>2</v>
      </c>
      <c r="B113" s="1344">
        <v>1</v>
      </c>
      <c r="C113" s="1346" t="s">
        <v>2706</v>
      </c>
      <c r="D113" s="1344"/>
      <c r="E113" s="1344"/>
      <c r="F113" s="1345" t="str">
        <f>'BID II'!B226</f>
        <v>Pemeliharaan Sarana dan Prasarana TK Milik Desa (Pemagaran)</v>
      </c>
      <c r="G113" s="1344"/>
      <c r="H113" s="1344"/>
      <c r="I113" s="1347">
        <f>'Penjabaran APBDesa'!K328</f>
        <v>15269700</v>
      </c>
      <c r="J113" s="1345" t="s">
        <v>2625</v>
      </c>
    </row>
    <row r="114" spans="1:10" x14ac:dyDescent="0.25">
      <c r="A114" s="32"/>
      <c r="B114" s="32"/>
      <c r="C114" s="32"/>
      <c r="D114" s="32">
        <v>5</v>
      </c>
      <c r="E114" s="32">
        <v>3</v>
      </c>
      <c r="F114" s="66" t="str">
        <f>'BID II'!B233</f>
        <v>Belanja Modal</v>
      </c>
      <c r="G114" s="32"/>
      <c r="H114" s="32"/>
      <c r="I114" s="497">
        <f>I113</f>
        <v>15269700</v>
      </c>
      <c r="J114" s="66"/>
    </row>
    <row r="115" spans="1:10" ht="45" x14ac:dyDescent="0.25">
      <c r="A115" s="1344">
        <v>2</v>
      </c>
      <c r="B115" s="1344">
        <v>1</v>
      </c>
      <c r="C115" s="1346" t="s">
        <v>2706</v>
      </c>
      <c r="D115" s="1344"/>
      <c r="E115" s="1344"/>
      <c r="F115" s="1345" t="str">
        <f>'BID II'!B258</f>
        <v>Pemeliharaan Sarana dan Prasarana TK Milik Desa (Cat Tembok Dalam)</v>
      </c>
      <c r="G115" s="1344"/>
      <c r="H115" s="1344"/>
      <c r="I115" s="1347">
        <f>'Penjabaran APBDesa'!K333</f>
        <v>5532000</v>
      </c>
      <c r="J115" s="1345" t="s">
        <v>2625</v>
      </c>
    </row>
    <row r="116" spans="1:10" x14ac:dyDescent="0.25">
      <c r="A116" s="32"/>
      <c r="B116" s="32"/>
      <c r="C116" s="32"/>
      <c r="D116" s="32">
        <v>5</v>
      </c>
      <c r="E116" s="32">
        <v>3</v>
      </c>
      <c r="F116" s="66" t="str">
        <f>'BID II'!B265</f>
        <v>Belanja Modal</v>
      </c>
      <c r="G116" s="32"/>
      <c r="H116" s="32"/>
      <c r="I116" s="497">
        <f>I115</f>
        <v>5532000</v>
      </c>
      <c r="J116" s="66"/>
    </row>
    <row r="117" spans="1:10" ht="45" x14ac:dyDescent="0.25">
      <c r="A117" s="1344">
        <v>2</v>
      </c>
      <c r="B117" s="1344">
        <v>1</v>
      </c>
      <c r="C117" s="1346" t="s">
        <v>2706</v>
      </c>
      <c r="D117" s="1344"/>
      <c r="E117" s="1344"/>
      <c r="F117" s="1345" t="str">
        <f>'BID II'!B295</f>
        <v>Pemeliharaan Sarana dan Prasarana TK Milik Desa (Lapis Water Proofig)</v>
      </c>
      <c r="G117" s="1344"/>
      <c r="H117" s="1344"/>
      <c r="I117" s="1347">
        <f>'Penjabaran APBDesa'!K339</f>
        <v>21546000</v>
      </c>
      <c r="J117" s="1345" t="s">
        <v>2625</v>
      </c>
    </row>
    <row r="118" spans="1:10" x14ac:dyDescent="0.25">
      <c r="A118" s="32"/>
      <c r="B118" s="32"/>
      <c r="C118" s="32"/>
      <c r="D118" s="32">
        <v>5</v>
      </c>
      <c r="E118" s="32">
        <v>3</v>
      </c>
      <c r="F118" s="66" t="str">
        <f>'BID II'!B302</f>
        <v>Belanja Modal</v>
      </c>
      <c r="G118" s="32"/>
      <c r="H118" s="32"/>
      <c r="I118" s="497">
        <f>I117</f>
        <v>21546000</v>
      </c>
      <c r="J118" s="66"/>
    </row>
    <row r="119" spans="1:10" ht="45" x14ac:dyDescent="0.25">
      <c r="A119" s="1344">
        <v>2</v>
      </c>
      <c r="B119" s="1344">
        <v>1</v>
      </c>
      <c r="C119" s="1346" t="s">
        <v>2706</v>
      </c>
      <c r="D119" s="1344"/>
      <c r="E119" s="1344"/>
      <c r="F119" s="1345" t="str">
        <f>'BID II'!B331</f>
        <v>Pemeliharaan Sarana dan Prasarana TK Milik Desa (Cat Plafon)</v>
      </c>
      <c r="G119" s="1344"/>
      <c r="H119" s="1344"/>
      <c r="I119" s="1347">
        <f>'Penjabaran APBDesa'!K345</f>
        <v>11123000</v>
      </c>
      <c r="J119" s="1345" t="s">
        <v>2625</v>
      </c>
    </row>
    <row r="120" spans="1:10" x14ac:dyDescent="0.25">
      <c r="A120" s="32"/>
      <c r="B120" s="32"/>
      <c r="C120" s="32"/>
      <c r="D120" s="32">
        <v>5</v>
      </c>
      <c r="E120" s="32">
        <v>3</v>
      </c>
      <c r="F120" s="66" t="str">
        <f>'BID II'!B338</f>
        <v>Belanja Modal</v>
      </c>
      <c r="G120" s="32"/>
      <c r="H120" s="32"/>
      <c r="I120" s="497">
        <f>I119</f>
        <v>11123000</v>
      </c>
      <c r="J120" s="66"/>
    </row>
    <row r="121" spans="1:10" ht="45" x14ac:dyDescent="0.25">
      <c r="A121" s="1344">
        <v>2</v>
      </c>
      <c r="B121" s="1344">
        <v>1</v>
      </c>
      <c r="C121" s="1346" t="s">
        <v>2706</v>
      </c>
      <c r="D121" s="1344"/>
      <c r="E121" s="1344"/>
      <c r="F121" s="1345" t="str">
        <f>'BID II'!B370</f>
        <v>Pemeliharaan Sarana dan Prasarana TK Milik Desa (Mural)</v>
      </c>
      <c r="G121" s="1344"/>
      <c r="H121" s="1344"/>
      <c r="I121" s="1347">
        <f>'Penjabaran APBDesa'!K351</f>
        <v>80557200</v>
      </c>
      <c r="J121" s="1345" t="s">
        <v>2625</v>
      </c>
    </row>
    <row r="122" spans="1:10" x14ac:dyDescent="0.25">
      <c r="A122" s="32"/>
      <c r="B122" s="32"/>
      <c r="C122" s="32"/>
      <c r="D122" s="32">
        <v>5</v>
      </c>
      <c r="E122" s="32">
        <v>3</v>
      </c>
      <c r="F122" s="66" t="str">
        <f>'BID II'!B377</f>
        <v>Belanja Modal</v>
      </c>
      <c r="G122" s="32"/>
      <c r="H122" s="32"/>
      <c r="I122" s="497">
        <f>I121</f>
        <v>80557200</v>
      </c>
      <c r="J122" s="66"/>
    </row>
    <row r="123" spans="1:10" ht="45" x14ac:dyDescent="0.25">
      <c r="A123" s="1344">
        <v>2</v>
      </c>
      <c r="B123" s="1344">
        <v>2</v>
      </c>
      <c r="C123" s="1346" t="s">
        <v>2702</v>
      </c>
      <c r="D123" s="1344"/>
      <c r="E123" s="1344"/>
      <c r="F123" s="1345" t="str">
        <f>'BID II'!B444</f>
        <v>: Penyelenggaraan Posyandu (Pemberian PMT)</v>
      </c>
      <c r="G123" s="1344"/>
      <c r="H123" s="1344"/>
      <c r="I123" s="1347">
        <f>'Penjabaran APBDesa'!K370</f>
        <v>266295500</v>
      </c>
      <c r="J123" s="1345"/>
    </row>
    <row r="124" spans="1:10" x14ac:dyDescent="0.25">
      <c r="A124" s="32"/>
      <c r="B124" s="32"/>
      <c r="C124" s="32"/>
      <c r="D124" s="32">
        <v>5</v>
      </c>
      <c r="E124" s="32">
        <v>2</v>
      </c>
      <c r="F124" s="66" t="str">
        <f>'BID II'!B449</f>
        <v>Belanja Barang dan Jasa</v>
      </c>
      <c r="G124" s="32"/>
      <c r="H124" s="32"/>
      <c r="I124" s="497">
        <f>I123</f>
        <v>266295500</v>
      </c>
      <c r="J124" s="66"/>
    </row>
    <row r="125" spans="1:10" ht="45" x14ac:dyDescent="0.25">
      <c r="A125" s="1344">
        <v>2</v>
      </c>
      <c r="B125" s="1344">
        <v>2</v>
      </c>
      <c r="C125" s="1346" t="s">
        <v>2702</v>
      </c>
      <c r="D125" s="1344"/>
      <c r="E125" s="1344"/>
      <c r="F125" s="1345" t="str">
        <f>'BID II'!B496</f>
        <v>: Penyelenggaraan POSyandu (Pos Gizi dan Ibu Hamil)</v>
      </c>
      <c r="G125" s="1344"/>
      <c r="H125" s="1344"/>
      <c r="I125" s="1347">
        <f>'Penjabaran APBDesa'!K381</f>
        <v>4140000</v>
      </c>
      <c r="J125" s="1345" t="s">
        <v>1682</v>
      </c>
    </row>
    <row r="126" spans="1:10" x14ac:dyDescent="0.25">
      <c r="A126" s="32"/>
      <c r="B126" s="32"/>
      <c r="C126" s="32"/>
      <c r="D126" s="32">
        <v>5</v>
      </c>
      <c r="E126" s="32">
        <v>2</v>
      </c>
      <c r="F126" s="66" t="str">
        <f>'BID II'!B503</f>
        <v>Belanja Barang Jasa</v>
      </c>
      <c r="G126" s="32"/>
      <c r="H126" s="32"/>
      <c r="I126" s="497">
        <f>I125</f>
        <v>4140000</v>
      </c>
      <c r="J126" s="66"/>
    </row>
    <row r="127" spans="1:10" ht="60" x14ac:dyDescent="0.25">
      <c r="A127" s="1344">
        <v>2</v>
      </c>
      <c r="B127" s="1344">
        <v>2</v>
      </c>
      <c r="C127" s="1346" t="s">
        <v>2702</v>
      </c>
      <c r="D127" s="1344"/>
      <c r="E127" s="1344"/>
      <c r="F127" s="1345" t="str">
        <f>'BID II'!B531</f>
        <v>: Penyelenggaraan Posyandu Lansia (Pemberian tambahan nutrisi bagi lansia)</v>
      </c>
      <c r="G127" s="1344"/>
      <c r="H127" s="1344"/>
      <c r="I127" s="1347">
        <f>'Penjabaran APBDesa'!K388</f>
        <v>104580000</v>
      </c>
      <c r="J127" s="1345" t="s">
        <v>2626</v>
      </c>
    </row>
    <row r="128" spans="1:10" x14ac:dyDescent="0.25">
      <c r="A128" s="32"/>
      <c r="B128" s="32"/>
      <c r="C128" s="32"/>
      <c r="D128" s="32">
        <v>5</v>
      </c>
      <c r="E128" s="32">
        <v>2</v>
      </c>
      <c r="F128" s="66" t="str">
        <f>'BID II'!B536</f>
        <v xml:space="preserve">Belanja Barang dan Jasa </v>
      </c>
      <c r="G128" s="32"/>
      <c r="H128" s="32"/>
      <c r="I128" s="497">
        <f>I127</f>
        <v>104580000</v>
      </c>
      <c r="J128" s="66"/>
    </row>
    <row r="129" spans="1:10" ht="75" x14ac:dyDescent="0.25">
      <c r="A129" s="1344">
        <v>2</v>
      </c>
      <c r="B129" s="1344">
        <v>2</v>
      </c>
      <c r="C129" s="1346" t="s">
        <v>2703</v>
      </c>
      <c r="D129" s="1344"/>
      <c r="E129" s="1344"/>
      <c r="F129" s="1345" t="str">
        <f>'BID II'!B566</f>
        <v xml:space="preserve"> :Penyuluhan dan Pelatiah Bidang Kesehatan (Pendampingan calon pengantin Stunting)</v>
      </c>
      <c r="G129" s="1344"/>
      <c r="H129" s="1344"/>
      <c r="I129" s="1347">
        <f>'Penjabaran APBDesa'!K395</f>
        <v>6877440</v>
      </c>
      <c r="J129" s="1345"/>
    </row>
    <row r="130" spans="1:10" ht="30" x14ac:dyDescent="0.25">
      <c r="A130" s="32"/>
      <c r="B130" s="32"/>
      <c r="C130" s="32"/>
      <c r="D130" s="32"/>
      <c r="E130" s="32"/>
      <c r="F130" s="66" t="str">
        <f>'BID II'!B572</f>
        <v>Pendampingan Calon Pengantin</v>
      </c>
      <c r="G130" s="32"/>
      <c r="H130" s="32"/>
      <c r="I130" s="497"/>
      <c r="J130" s="66"/>
    </row>
    <row r="131" spans="1:10" x14ac:dyDescent="0.25">
      <c r="A131" s="32"/>
      <c r="B131" s="32"/>
      <c r="C131" s="32"/>
      <c r="D131" s="32">
        <v>5</v>
      </c>
      <c r="E131" s="32">
        <v>2</v>
      </c>
      <c r="F131" s="66" t="str">
        <f>'BID II'!B573</f>
        <v>Belanja Barang Jasa</v>
      </c>
      <c r="G131" s="32"/>
      <c r="H131" s="32"/>
      <c r="I131" s="497">
        <f>I129</f>
        <v>6877440</v>
      </c>
      <c r="J131" s="66"/>
    </row>
    <row r="132" spans="1:10" ht="60" x14ac:dyDescent="0.25">
      <c r="A132" s="1344">
        <v>2</v>
      </c>
      <c r="B132" s="1344">
        <v>2</v>
      </c>
      <c r="C132" s="1346" t="s">
        <v>2703</v>
      </c>
      <c r="D132" s="1344"/>
      <c r="E132" s="1344"/>
      <c r="F132" s="1345" t="str">
        <f>'BID II'!B650</f>
        <v>: Penyuluhan dan Pelatihan Bidang Kesehatan (Pembinaan Kader POSyandu)</v>
      </c>
      <c r="G132" s="1344"/>
      <c r="H132" s="1344"/>
      <c r="I132" s="1347">
        <f>'Penjabaran APBDesa'!K405</f>
        <v>31525000</v>
      </c>
      <c r="J132" s="1345" t="s">
        <v>1682</v>
      </c>
    </row>
    <row r="133" spans="1:10" x14ac:dyDescent="0.25">
      <c r="A133" s="32"/>
      <c r="B133" s="32"/>
      <c r="C133" s="32"/>
      <c r="D133" s="32">
        <v>5</v>
      </c>
      <c r="E133" s="32">
        <v>2</v>
      </c>
      <c r="F133" s="66" t="str">
        <f>'BID II'!B655</f>
        <v>Belanja Barang dan Jasa</v>
      </c>
      <c r="G133" s="32"/>
      <c r="H133" s="32"/>
      <c r="I133" s="497">
        <f>I132</f>
        <v>31525000</v>
      </c>
      <c r="J133" s="66"/>
    </row>
    <row r="134" spans="1:10" ht="60" x14ac:dyDescent="0.25">
      <c r="A134" s="1344">
        <v>2</v>
      </c>
      <c r="B134" s="1344">
        <v>2</v>
      </c>
      <c r="C134" s="1346" t="s">
        <v>2703</v>
      </c>
      <c r="D134" s="1344"/>
      <c r="E134" s="1344"/>
      <c r="F134" s="1345" t="str">
        <f>'BID II'!B697</f>
        <v>: Penyuluhan dan Pelatihan Bidang Kesehatan (Penyuluhan Narkoba dan HIV/AIDS)</v>
      </c>
      <c r="G134" s="1344"/>
      <c r="H134" s="1344"/>
      <c r="I134" s="1347">
        <f>'Penjabaran APBDesa'!K417</f>
        <v>18340000</v>
      </c>
      <c r="J134" s="1345" t="s">
        <v>2625</v>
      </c>
    </row>
    <row r="135" spans="1:10" x14ac:dyDescent="0.25">
      <c r="A135" s="32"/>
      <c r="B135" s="32"/>
      <c r="C135" s="32"/>
      <c r="D135" s="32">
        <v>5</v>
      </c>
      <c r="E135" s="32">
        <v>2</v>
      </c>
      <c r="F135" s="66" t="str">
        <f>'BID II'!B703</f>
        <v>Belanja Barang Jasa</v>
      </c>
      <c r="G135" s="32"/>
      <c r="H135" s="32"/>
      <c r="I135" s="497">
        <f>I134</f>
        <v>18340000</v>
      </c>
      <c r="J135" s="66"/>
    </row>
    <row r="136" spans="1:10" ht="45" x14ac:dyDescent="0.25">
      <c r="A136" s="1344">
        <v>2</v>
      </c>
      <c r="B136" s="1344">
        <v>2</v>
      </c>
      <c r="C136" s="1346" t="s">
        <v>2703</v>
      </c>
      <c r="D136" s="1344"/>
      <c r="E136" s="1344"/>
      <c r="F136" s="1345" t="str">
        <f>'BID II'!B744</f>
        <v>: Penyuluhan dan Pelatihan Bidang Kesehatan (Posbindu)</v>
      </c>
      <c r="G136" s="1344"/>
      <c r="H136" s="1344"/>
      <c r="I136" s="1347">
        <f>'Penjabaran APBDesa'!K428</f>
        <v>19924087.09</v>
      </c>
      <c r="J136" s="1345" t="s">
        <v>2644</v>
      </c>
    </row>
    <row r="137" spans="1:10" x14ac:dyDescent="0.25">
      <c r="A137" s="32"/>
      <c r="B137" s="32"/>
      <c r="C137" s="32"/>
      <c r="D137" s="32"/>
      <c r="E137" s="32"/>
      <c r="F137" s="66" t="str">
        <f>'BID II'!B749</f>
        <v>Pelatihan</v>
      </c>
      <c r="G137" s="32"/>
      <c r="H137" s="32"/>
      <c r="I137" s="497"/>
      <c r="J137" s="66"/>
    </row>
    <row r="138" spans="1:10" x14ac:dyDescent="0.25">
      <c r="A138" s="32"/>
      <c r="B138" s="32"/>
      <c r="C138" s="32"/>
      <c r="D138" s="32">
        <v>5</v>
      </c>
      <c r="E138" s="32">
        <v>2</v>
      </c>
      <c r="F138" s="66" t="str">
        <f>'BID II'!B750</f>
        <v>Belanja Barang dan Jasa</v>
      </c>
      <c r="G138" s="32"/>
      <c r="H138" s="32"/>
      <c r="I138" s="497">
        <f>I136</f>
        <v>19924087.09</v>
      </c>
      <c r="J138" s="66"/>
    </row>
    <row r="139" spans="1:10" ht="60" x14ac:dyDescent="0.25">
      <c r="A139" s="1344">
        <v>2</v>
      </c>
      <c r="B139" s="1344">
        <v>2</v>
      </c>
      <c r="C139" s="1346" t="s">
        <v>2703</v>
      </c>
      <c r="D139" s="1344"/>
      <c r="E139" s="1344"/>
      <c r="F139" s="1345" t="str">
        <f>'BID II'!B797</f>
        <v>: Penyuluhan dan Pelatihan Bidang Kesehatan (Penyuluhan KB)</v>
      </c>
      <c r="G139" s="1344"/>
      <c r="H139" s="1344"/>
      <c r="I139" s="1347">
        <f>'Penjabaran APBDesa'!K445</f>
        <v>17635000</v>
      </c>
      <c r="J139" s="1345" t="s">
        <v>2625</v>
      </c>
    </row>
    <row r="140" spans="1:10" x14ac:dyDescent="0.25">
      <c r="A140" s="32"/>
      <c r="B140" s="32"/>
      <c r="C140" s="32"/>
      <c r="D140" s="32">
        <v>5</v>
      </c>
      <c r="E140" s="32">
        <v>2</v>
      </c>
      <c r="F140" s="66" t="str">
        <f>'BID II'!B802</f>
        <v>Belanja Barang Jasa</v>
      </c>
      <c r="G140" s="32"/>
      <c r="H140" s="32"/>
      <c r="I140" s="497">
        <f>I139</f>
        <v>17635000</v>
      </c>
      <c r="J140" s="66"/>
    </row>
    <row r="141" spans="1:10" ht="60" x14ac:dyDescent="0.25">
      <c r="A141" s="1344">
        <v>2</v>
      </c>
      <c r="B141" s="1344">
        <v>2</v>
      </c>
      <c r="C141" s="1346" t="s">
        <v>2703</v>
      </c>
      <c r="D141" s="1344"/>
      <c r="E141" s="1344"/>
      <c r="F141" s="1345" t="str">
        <f>'BID II'!B852</f>
        <v>: Penyuluhan dan Pelatihan Bidang Kesehatan(Sosialisasi Germas)</v>
      </c>
      <c r="G141" s="1344"/>
      <c r="H141" s="1344"/>
      <c r="I141" s="1347">
        <f>'Penjabaran APBDesa'!K457</f>
        <v>2070000</v>
      </c>
      <c r="J141" s="1345" t="s">
        <v>2625</v>
      </c>
    </row>
    <row r="142" spans="1:10" x14ac:dyDescent="0.25">
      <c r="A142" s="32"/>
      <c r="B142" s="32"/>
      <c r="C142" s="32"/>
      <c r="D142" s="32">
        <v>5</v>
      </c>
      <c r="E142" s="32">
        <v>2</v>
      </c>
      <c r="F142" s="66" t="str">
        <f>'BID II'!B857</f>
        <v>Belanja Barang Jasa</v>
      </c>
      <c r="G142" s="32"/>
      <c r="H142" s="32"/>
      <c r="I142" s="497">
        <f>I141</f>
        <v>2070000</v>
      </c>
      <c r="J142" s="66"/>
    </row>
    <row r="143" spans="1:10" ht="60" x14ac:dyDescent="0.25">
      <c r="A143" s="1344">
        <v>2</v>
      </c>
      <c r="B143" s="1344">
        <v>2</v>
      </c>
      <c r="C143" s="1346" t="s">
        <v>2704</v>
      </c>
      <c r="D143" s="1344"/>
      <c r="E143" s="1344"/>
      <c r="F143" s="1345" t="str">
        <f>'BID II'!B882</f>
        <v>: Penyuluhan dan Pelatihan Bidang Kesehatan (Desa Siaga Kesehatan)</v>
      </c>
      <c r="G143" s="1344"/>
      <c r="H143" s="1344"/>
      <c r="I143" s="1347">
        <f>'Penjabaran APBDesa'!K463</f>
        <v>2592000</v>
      </c>
      <c r="J143" s="1345" t="s">
        <v>2625</v>
      </c>
    </row>
    <row r="144" spans="1:10" x14ac:dyDescent="0.25">
      <c r="A144" s="32"/>
      <c r="B144" s="32"/>
      <c r="C144" s="32"/>
      <c r="D144" s="32">
        <v>5</v>
      </c>
      <c r="E144" s="32">
        <v>2</v>
      </c>
      <c r="F144" s="66" t="str">
        <f>'BID II'!B887</f>
        <v>Belanja Barang Jasa</v>
      </c>
      <c r="G144" s="32"/>
      <c r="H144" s="32"/>
      <c r="I144" s="497">
        <f>I143</f>
        <v>2592000</v>
      </c>
      <c r="J144" s="66"/>
    </row>
    <row r="145" spans="1:10" ht="75" x14ac:dyDescent="0.25">
      <c r="A145" s="1344">
        <v>2</v>
      </c>
      <c r="B145" s="1344">
        <v>2</v>
      </c>
      <c r="C145" s="1346" t="s">
        <v>2704</v>
      </c>
      <c r="D145" s="1344"/>
      <c r="E145" s="1344"/>
      <c r="F145" s="1345" t="str">
        <f>'BID II'!B928</f>
        <v>: Penyuluhan dan Pelatihan Bidang Kesehatan (Pembinaan Penangulangan Rabies Desa)</v>
      </c>
      <c r="G145" s="1344"/>
      <c r="H145" s="1344"/>
      <c r="I145" s="1347">
        <f>'Penjabaran APBDesa'!K473</f>
        <v>26452500</v>
      </c>
      <c r="J145" s="1345" t="s">
        <v>1682</v>
      </c>
    </row>
    <row r="146" spans="1:10" x14ac:dyDescent="0.25">
      <c r="A146" s="32"/>
      <c r="B146" s="32"/>
      <c r="C146" s="32"/>
      <c r="D146" s="32">
        <v>5</v>
      </c>
      <c r="E146" s="32">
        <v>2</v>
      </c>
      <c r="F146" s="66" t="str">
        <f>'BID II'!B933</f>
        <v>Belanja Barang Jasa</v>
      </c>
      <c r="G146" s="32"/>
      <c r="H146" s="32"/>
      <c r="I146" s="497">
        <f>I145</f>
        <v>26452500</v>
      </c>
      <c r="J146" s="66"/>
    </row>
    <row r="147" spans="1:10" ht="60" x14ac:dyDescent="0.25">
      <c r="A147" s="1344">
        <v>2</v>
      </c>
      <c r="B147" s="1344">
        <v>2</v>
      </c>
      <c r="C147" s="1346" t="s">
        <v>2702</v>
      </c>
      <c r="D147" s="1344"/>
      <c r="E147" s="1344"/>
      <c r="F147" s="1345" t="str">
        <f>'BID II'!B982</f>
        <v xml:space="preserve"> :  Pengasuhan Bersama atau Bina Keluarga Balita (Pelaksanaan Kegiatan Bina keluarga Balita BKB )</v>
      </c>
      <c r="G147" s="1344"/>
      <c r="H147" s="1344"/>
      <c r="I147" s="1347">
        <f>'Penjabaran APBDesa'!K486</f>
        <v>50145500</v>
      </c>
      <c r="J147" s="1345"/>
    </row>
    <row r="148" spans="1:10" x14ac:dyDescent="0.25">
      <c r="A148" s="32"/>
      <c r="B148" s="32"/>
      <c r="C148" s="32"/>
      <c r="D148" s="32">
        <v>5</v>
      </c>
      <c r="E148" s="32">
        <v>2</v>
      </c>
      <c r="F148" s="66" t="str">
        <f>'BID II'!B987</f>
        <v>Belanja Barang dan Jasa</v>
      </c>
      <c r="G148" s="32"/>
      <c r="H148" s="32"/>
      <c r="I148" s="497">
        <f>I147</f>
        <v>50145500</v>
      </c>
      <c r="J148" s="66"/>
    </row>
    <row r="149" spans="1:10" ht="60" x14ac:dyDescent="0.25">
      <c r="A149" s="1344">
        <v>2</v>
      </c>
      <c r="B149" s="1344">
        <v>2</v>
      </c>
      <c r="C149" s="1346" t="s">
        <v>2705</v>
      </c>
      <c r="D149" s="1344"/>
      <c r="E149" s="1344"/>
      <c r="F149" s="1345" t="str">
        <f>'BID II'!B1021</f>
        <v xml:space="preserve"> :  Pengasuhan Bersama atau Bina Keluarga Lansia ( Pembinaan dan Penyelenggaraan BKL)</v>
      </c>
      <c r="G149" s="1344"/>
      <c r="H149" s="1344"/>
      <c r="I149" s="1347">
        <f>'Penjabaran APBDesa'!K495</f>
        <v>9990000</v>
      </c>
      <c r="J149" s="1345" t="s">
        <v>2625</v>
      </c>
    </row>
    <row r="150" spans="1:10" x14ac:dyDescent="0.25">
      <c r="A150" s="32"/>
      <c r="B150" s="32"/>
      <c r="C150" s="32"/>
      <c r="D150" s="32">
        <v>5</v>
      </c>
      <c r="E150" s="32">
        <v>2</v>
      </c>
      <c r="F150" s="66" t="str">
        <f>'BID II'!B1052</f>
        <v>Belanja Barang Jasa</v>
      </c>
      <c r="G150" s="32"/>
      <c r="H150" s="32"/>
      <c r="I150" s="497">
        <f>I149</f>
        <v>9990000</v>
      </c>
      <c r="J150" s="66"/>
    </row>
    <row r="151" spans="1:10" ht="45" x14ac:dyDescent="0.25">
      <c r="A151" s="1344">
        <v>2</v>
      </c>
      <c r="B151" s="1344">
        <v>2</v>
      </c>
      <c r="C151" s="1346" t="s">
        <v>2705</v>
      </c>
      <c r="D151" s="1344"/>
      <c r="E151" s="1344"/>
      <c r="F151" s="1345" t="str">
        <f>'BID II'!B1076</f>
        <v>: Pengasuhan Bersama atau Bina Keluarga Balita (Pembinaan Kader BKB)</v>
      </c>
      <c r="G151" s="1344"/>
      <c r="H151" s="1344"/>
      <c r="I151" s="1347">
        <f>'Penjabaran APBDesa'!K514</f>
        <v>18283000</v>
      </c>
      <c r="J151" s="1345" t="s">
        <v>2620</v>
      </c>
    </row>
    <row r="152" spans="1:10" x14ac:dyDescent="0.25">
      <c r="A152" s="32"/>
      <c r="B152" s="32"/>
      <c r="C152" s="32"/>
      <c r="D152" s="32"/>
      <c r="E152" s="32"/>
      <c r="F152" s="66" t="str">
        <f>'BID II'!B1082</f>
        <v>Pembinaan Kader BKB</v>
      </c>
      <c r="G152" s="32"/>
      <c r="H152" s="32"/>
      <c r="I152" s="497"/>
      <c r="J152" s="66"/>
    </row>
    <row r="153" spans="1:10" x14ac:dyDescent="0.25">
      <c r="A153" s="32"/>
      <c r="B153" s="32"/>
      <c r="C153" s="32"/>
      <c r="D153" s="32">
        <v>5</v>
      </c>
      <c r="E153" s="32">
        <v>2</v>
      </c>
      <c r="F153" s="66" t="str">
        <f>'BID II'!B1083</f>
        <v>Belanja Barang Jasa</v>
      </c>
      <c r="G153" s="32"/>
      <c r="H153" s="32"/>
      <c r="I153" s="497">
        <f>I151</f>
        <v>18283000</v>
      </c>
      <c r="J153" s="66"/>
    </row>
    <row r="154" spans="1:10" ht="75" x14ac:dyDescent="0.25">
      <c r="A154" s="1344">
        <v>2</v>
      </c>
      <c r="B154" s="1344">
        <v>2</v>
      </c>
      <c r="C154" s="1346" t="s">
        <v>2705</v>
      </c>
      <c r="D154" s="1344"/>
      <c r="E154" s="1344"/>
      <c r="F154" s="1345" t="str">
        <f>'BID II'!B1127</f>
        <v xml:space="preserve"> :  Pengasuhan Bersama atau Bina Keluarga Balita (Pembinaan Kegiatan Bina keluarga Remaja BKR )</v>
      </c>
      <c r="G154" s="1344"/>
      <c r="H154" s="1344"/>
      <c r="I154" s="1347">
        <f>'Penjabaran APBDesa'!K527</f>
        <v>4875000</v>
      </c>
      <c r="J154" s="1345" t="s">
        <v>2625</v>
      </c>
    </row>
    <row r="155" spans="1:10" x14ac:dyDescent="0.25">
      <c r="A155" s="32"/>
      <c r="B155" s="32"/>
      <c r="C155" s="32"/>
      <c r="D155" s="32"/>
      <c r="E155" s="32"/>
      <c r="F155" s="66" t="str">
        <f>'BID II'!B1133</f>
        <v>Pembinaan Kader BKR</v>
      </c>
      <c r="G155" s="32"/>
      <c r="H155" s="32"/>
      <c r="I155" s="497"/>
      <c r="J155" s="66"/>
    </row>
    <row r="156" spans="1:10" x14ac:dyDescent="0.25">
      <c r="A156" s="32"/>
      <c r="B156" s="32"/>
      <c r="C156" s="32"/>
      <c r="D156" s="32">
        <v>5</v>
      </c>
      <c r="E156" s="32">
        <v>2</v>
      </c>
      <c r="F156" s="66" t="str">
        <f>'BID II'!B1134</f>
        <v>Belanja Barang Jasa</v>
      </c>
      <c r="G156" s="32"/>
      <c r="H156" s="32"/>
      <c r="I156" s="497">
        <f>I154</f>
        <v>4875000</v>
      </c>
      <c r="J156" s="66"/>
    </row>
    <row r="157" spans="1:10" ht="60" x14ac:dyDescent="0.25">
      <c r="A157" s="1344">
        <v>2</v>
      </c>
      <c r="B157" s="1344">
        <v>2</v>
      </c>
      <c r="C157" s="1346" t="s">
        <v>2705</v>
      </c>
      <c r="D157" s="1344"/>
      <c r="E157" s="1344"/>
      <c r="F157" s="1345" t="str">
        <f>'BID II'!B1173</f>
        <v xml:space="preserve"> :  Pengasuhan Bersama atau Bina Keluarga Remaja (Penyelenggaraan BKR)</v>
      </c>
      <c r="G157" s="1344"/>
      <c r="H157" s="1344"/>
      <c r="I157" s="1347">
        <f>'Penjabaran APBDesa'!K540</f>
        <v>7471000</v>
      </c>
      <c r="J157" s="1345" t="s">
        <v>2625</v>
      </c>
    </row>
    <row r="158" spans="1:10" x14ac:dyDescent="0.25">
      <c r="A158" s="32"/>
      <c r="B158" s="32"/>
      <c r="C158" s="32"/>
      <c r="D158" s="32">
        <v>5</v>
      </c>
      <c r="E158" s="32">
        <v>2</v>
      </c>
      <c r="F158" s="66" t="str">
        <f>'BID II'!B1178</f>
        <v>Belanja Barang Jasa</v>
      </c>
      <c r="G158" s="32"/>
      <c r="H158" s="32"/>
      <c r="I158" s="497">
        <f>I157</f>
        <v>7471000</v>
      </c>
      <c r="J158" s="66"/>
    </row>
    <row r="159" spans="1:10" x14ac:dyDescent="0.25">
      <c r="A159" s="1344">
        <v>2</v>
      </c>
      <c r="B159" s="1344">
        <v>2</v>
      </c>
      <c r="C159" s="1344">
        <v>91</v>
      </c>
      <c r="D159" s="1344"/>
      <c r="E159" s="1344"/>
      <c r="F159" s="1345" t="str">
        <f>'BID II'!B1270</f>
        <v>:  Foging Fokus</v>
      </c>
      <c r="G159" s="1344"/>
      <c r="H159" s="1344"/>
      <c r="I159" s="1347">
        <f>'Penjabaran APBDesa'!K547</f>
        <v>42360000</v>
      </c>
      <c r="J159" s="1345" t="s">
        <v>1682</v>
      </c>
    </row>
    <row r="160" spans="1:10" x14ac:dyDescent="0.25">
      <c r="A160" s="32"/>
      <c r="B160" s="32"/>
      <c r="C160" s="32"/>
      <c r="D160" s="32">
        <v>5</v>
      </c>
      <c r="E160" s="32">
        <v>2</v>
      </c>
      <c r="F160" s="66" t="str">
        <f>'BID II'!B1277</f>
        <v xml:space="preserve">Belanja Barang dan Jasa </v>
      </c>
      <c r="G160" s="32"/>
      <c r="H160" s="32"/>
      <c r="I160" s="497">
        <f>I159</f>
        <v>42360000</v>
      </c>
      <c r="J160" s="66"/>
    </row>
    <row r="161" spans="1:10" ht="30" x14ac:dyDescent="0.25">
      <c r="A161" s="1344">
        <v>2</v>
      </c>
      <c r="B161" s="1344">
        <v>2</v>
      </c>
      <c r="C161" s="1344">
        <v>92</v>
      </c>
      <c r="D161" s="1344"/>
      <c r="E161" s="1344"/>
      <c r="F161" s="1345" t="str">
        <f>'BID II'!B1316</f>
        <v>: Gerakan Serentak PSN dan Lomba PSN</v>
      </c>
      <c r="G161" s="1344"/>
      <c r="H161" s="1344"/>
      <c r="I161" s="1347">
        <f>'Penjabaran APBDesa'!K557</f>
        <v>45123000</v>
      </c>
      <c r="J161" s="1345" t="s">
        <v>2620</v>
      </c>
    </row>
    <row r="162" spans="1:10" x14ac:dyDescent="0.25">
      <c r="A162" s="32"/>
      <c r="B162" s="32"/>
      <c r="C162" s="32"/>
      <c r="D162" s="32">
        <v>5</v>
      </c>
      <c r="E162" s="32">
        <v>2</v>
      </c>
      <c r="F162" s="66" t="str">
        <f>'BID II'!B1324</f>
        <v xml:space="preserve">Belanja Barang dan Jasa </v>
      </c>
      <c r="G162" s="32"/>
      <c r="H162" s="32"/>
      <c r="I162" s="497">
        <f>I161</f>
        <v>45123000</v>
      </c>
      <c r="J162" s="66"/>
    </row>
    <row r="163" spans="1:10" ht="30" x14ac:dyDescent="0.25">
      <c r="A163" s="1344">
        <v>2</v>
      </c>
      <c r="B163" s="1344">
        <v>2</v>
      </c>
      <c r="C163" s="1344">
        <v>93</v>
      </c>
      <c r="D163" s="1344"/>
      <c r="E163" s="1344"/>
      <c r="F163" s="1345" t="str">
        <f>'BID II'!B1384</f>
        <v xml:space="preserve">Penyelengggaraan TPPS Desa </v>
      </c>
      <c r="G163" s="1344"/>
      <c r="H163" s="1344"/>
      <c r="I163" s="1347">
        <f>'Penjabaran APBDesa'!K574</f>
        <v>6108500</v>
      </c>
      <c r="J163" s="1345" t="s">
        <v>2625</v>
      </c>
    </row>
    <row r="164" spans="1:10" x14ac:dyDescent="0.25">
      <c r="A164" s="32"/>
      <c r="B164" s="32"/>
      <c r="C164" s="32"/>
      <c r="D164" s="32">
        <v>5</v>
      </c>
      <c r="E164" s="32">
        <v>2</v>
      </c>
      <c r="F164" s="66" t="str">
        <f>'BID II'!B1389</f>
        <v>Belanja Barang Jasa :</v>
      </c>
      <c r="G164" s="32"/>
      <c r="H164" s="32"/>
      <c r="I164" s="497">
        <f>I163</f>
        <v>6108500</v>
      </c>
      <c r="J164" s="66"/>
    </row>
    <row r="165" spans="1:10" ht="30" x14ac:dyDescent="0.25">
      <c r="A165" s="1344">
        <v>2</v>
      </c>
      <c r="B165" s="1344">
        <v>2</v>
      </c>
      <c r="C165" s="1344">
        <v>93</v>
      </c>
      <c r="D165" s="1344"/>
      <c r="E165" s="1344"/>
      <c r="F165" s="1345" t="str">
        <f>'BID II'!B1425</f>
        <v>: Rembuk Stunting</v>
      </c>
      <c r="G165" s="1344"/>
      <c r="H165" s="1344"/>
      <c r="I165" s="1347">
        <f>'Penjabaran APBDesa'!K581</f>
        <v>3160000</v>
      </c>
      <c r="J165" s="1345" t="s">
        <v>2625</v>
      </c>
    </row>
    <row r="166" spans="1:10" x14ac:dyDescent="0.25">
      <c r="A166" s="32"/>
      <c r="B166" s="32"/>
      <c r="C166" s="32"/>
      <c r="D166" s="32">
        <v>5</v>
      </c>
      <c r="E166" s="32">
        <v>2</v>
      </c>
      <c r="F166" s="66" t="str">
        <f>'BID II'!B1428</f>
        <v>Belanja Barang Jasa</v>
      </c>
      <c r="G166" s="32"/>
      <c r="H166" s="32"/>
      <c r="I166" s="497">
        <f>I165</f>
        <v>3160000</v>
      </c>
      <c r="J166" s="66"/>
    </row>
    <row r="167" spans="1:10" ht="30" x14ac:dyDescent="0.25">
      <c r="A167" s="1344">
        <v>2</v>
      </c>
      <c r="B167" s="1344">
        <v>2</v>
      </c>
      <c r="C167" s="1346" t="s">
        <v>2702</v>
      </c>
      <c r="D167" s="1344"/>
      <c r="E167" s="1344"/>
      <c r="F167" s="1345" t="str">
        <f>'BID II'!B1467</f>
        <v>: Pembinaan Posyandu Remaja</v>
      </c>
      <c r="G167" s="1344"/>
      <c r="H167" s="1344"/>
      <c r="I167" s="1347">
        <f>'Penjabaran APBDesa'!K590</f>
        <v>3526500</v>
      </c>
      <c r="J167" s="1345" t="s">
        <v>2625</v>
      </c>
    </row>
    <row r="168" spans="1:10" x14ac:dyDescent="0.25">
      <c r="A168" s="32"/>
      <c r="B168" s="32"/>
      <c r="C168" s="32"/>
      <c r="D168" s="32">
        <v>5</v>
      </c>
      <c r="E168" s="32">
        <v>2</v>
      </c>
      <c r="F168" s="66" t="str">
        <f>'BID II'!B1473</f>
        <v>Belanja Barang dan Jasa</v>
      </c>
      <c r="G168" s="32"/>
      <c r="H168" s="32"/>
      <c r="I168" s="497">
        <f>I167</f>
        <v>3526500</v>
      </c>
      <c r="J168" s="66"/>
    </row>
    <row r="169" spans="1:10" ht="30" x14ac:dyDescent="0.25">
      <c r="A169" s="1344">
        <v>2</v>
      </c>
      <c r="B169" s="1344">
        <v>2</v>
      </c>
      <c r="C169" s="1346" t="s">
        <v>2705</v>
      </c>
      <c r="D169" s="1344"/>
      <c r="E169" s="1344"/>
      <c r="F169" s="1345" t="str">
        <f>'BID II'!B1505</f>
        <v>Penyelenggaraan Posyandu Remaja</v>
      </c>
      <c r="G169" s="1344"/>
      <c r="H169" s="1344"/>
      <c r="I169" s="1347">
        <f>'Penjabaran APBDesa'!K598</f>
        <v>35530000</v>
      </c>
      <c r="J169" s="1345" t="s">
        <v>2625</v>
      </c>
    </row>
    <row r="170" spans="1:10" x14ac:dyDescent="0.25">
      <c r="A170" s="32"/>
      <c r="B170" s="32"/>
      <c r="C170" s="32"/>
      <c r="D170" s="32">
        <v>5</v>
      </c>
      <c r="E170" s="32">
        <v>2</v>
      </c>
      <c r="F170" s="66" t="str">
        <f>'BID II'!B1510</f>
        <v>Belanja Barang Jasa</v>
      </c>
      <c r="G170" s="32"/>
      <c r="H170" s="32"/>
      <c r="I170" s="497">
        <f>I169</f>
        <v>35530000</v>
      </c>
      <c r="J170" s="66"/>
    </row>
    <row r="171" spans="1:10" ht="60" x14ac:dyDescent="0.25">
      <c r="A171" s="1344">
        <v>2</v>
      </c>
      <c r="B171" s="1344">
        <v>3</v>
      </c>
      <c r="C171" s="1346" t="s">
        <v>2702</v>
      </c>
      <c r="D171" s="1344"/>
      <c r="E171" s="1344"/>
      <c r="F171" s="1345" t="str">
        <f>'BID II'!B1545</f>
        <v>Pemeliharaan Jalan Lingkungan Permukiman/Gang Sekar Gunung</v>
      </c>
      <c r="G171" s="1344"/>
      <c r="H171" s="1344"/>
      <c r="I171" s="1347">
        <f>'Penjabaran APBDesa'!K606</f>
        <v>85218000</v>
      </c>
      <c r="J171" s="1345" t="s">
        <v>1682</v>
      </c>
    </row>
    <row r="172" spans="1:10" x14ac:dyDescent="0.25">
      <c r="A172" s="32"/>
      <c r="B172" s="32"/>
      <c r="C172" s="32"/>
      <c r="D172" s="32">
        <v>5</v>
      </c>
      <c r="E172" s="32">
        <v>3</v>
      </c>
      <c r="F172" s="66" t="str">
        <f>'BID II'!B1552</f>
        <v xml:space="preserve">Belanja Modal </v>
      </c>
      <c r="G172" s="32"/>
      <c r="H172" s="32"/>
      <c r="I172" s="497">
        <f>I171</f>
        <v>85218000</v>
      </c>
      <c r="J172" s="66"/>
    </row>
    <row r="173" spans="1:10" ht="75" x14ac:dyDescent="0.25">
      <c r="A173" s="1344">
        <v>2</v>
      </c>
      <c r="B173" s="1344">
        <v>3</v>
      </c>
      <c r="C173" s="1346" t="s">
        <v>2703</v>
      </c>
      <c r="D173" s="1344"/>
      <c r="E173" s="1344"/>
      <c r="F173" s="1345" t="str">
        <f>'BID II'!B1588</f>
        <v>: Pemeliharaan Jalan Usaha Tani (KETAHANAN PANGAN) (Subak Pohmanis Bongkar Paving)</v>
      </c>
      <c r="G173" s="1344"/>
      <c r="H173" s="1344"/>
      <c r="I173" s="1347" t="e">
        <f>'Penjabaran APBDesa'!#REF!</f>
        <v>#REF!</v>
      </c>
      <c r="J173" s="1345" t="s">
        <v>2625</v>
      </c>
    </row>
    <row r="174" spans="1:10" x14ac:dyDescent="0.25">
      <c r="A174" s="32"/>
      <c r="B174" s="32"/>
      <c r="C174" s="32"/>
      <c r="D174" s="32">
        <v>5</v>
      </c>
      <c r="E174" s="32">
        <v>3</v>
      </c>
      <c r="F174" s="66" t="str">
        <f>'BID II'!B1595</f>
        <v xml:space="preserve">Belanja Modal </v>
      </c>
      <c r="G174" s="32"/>
      <c r="H174" s="32"/>
      <c r="I174" s="497" t="e">
        <f>I173</f>
        <v>#REF!</v>
      </c>
      <c r="J174" s="66"/>
    </row>
    <row r="175" spans="1:10" ht="75" x14ac:dyDescent="0.25">
      <c r="A175" s="1344">
        <v>2</v>
      </c>
      <c r="B175" s="1344">
        <v>3</v>
      </c>
      <c r="C175" s="1346" t="s">
        <v>2703</v>
      </c>
      <c r="D175" s="1344"/>
      <c r="E175" s="1344"/>
      <c r="F175" s="1345" t="str">
        <f>'BID II'!B1622</f>
        <v>: Pemeliharaan Jalan Usaha Tani (KETAHANAN PANGAN) (Subak Pohmanis Urug Limestone)</v>
      </c>
      <c r="G175" s="1344"/>
      <c r="H175" s="1344"/>
      <c r="I175" s="1347" t="e">
        <f>'Penjabaran APBDesa'!#REF!</f>
        <v>#REF!</v>
      </c>
      <c r="J175" s="1345" t="s">
        <v>2625</v>
      </c>
    </row>
    <row r="176" spans="1:10" x14ac:dyDescent="0.25">
      <c r="A176" s="32"/>
      <c r="B176" s="32"/>
      <c r="C176" s="32"/>
      <c r="D176" s="32">
        <v>5</v>
      </c>
      <c r="E176" s="32">
        <v>3</v>
      </c>
      <c r="F176" s="66" t="str">
        <f>'BID II'!B1629</f>
        <v xml:space="preserve">Belanja Modal </v>
      </c>
      <c r="G176" s="32"/>
      <c r="H176" s="32"/>
      <c r="I176" s="497" t="e">
        <f>I175</f>
        <v>#REF!</v>
      </c>
      <c r="J176" s="66"/>
    </row>
    <row r="177" spans="1:10" ht="60" x14ac:dyDescent="0.25">
      <c r="A177" s="1344">
        <v>2</v>
      </c>
      <c r="B177" s="1344">
        <v>3</v>
      </c>
      <c r="C177" s="1346" t="s">
        <v>2703</v>
      </c>
      <c r="D177" s="1344"/>
      <c r="E177" s="1344"/>
      <c r="F177" s="1345" t="str">
        <f>'BID II'!B1661</f>
        <v>: Pemeliharaan Jalan Usaha Tani (KETAHANAN PAGAN) (Subak Pohmanis Urug Pasir)</v>
      </c>
      <c r="G177" s="1344"/>
      <c r="H177" s="1344"/>
      <c r="I177" s="1347" t="e">
        <f>'Penjabaran APBDesa'!#REF!</f>
        <v>#REF!</v>
      </c>
      <c r="J177" s="1345" t="s">
        <v>2625</v>
      </c>
    </row>
    <row r="178" spans="1:10" x14ac:dyDescent="0.25">
      <c r="A178" s="32"/>
      <c r="B178" s="32"/>
      <c r="C178" s="32"/>
      <c r="D178" s="32">
        <v>5</v>
      </c>
      <c r="E178" s="32">
        <v>3</v>
      </c>
      <c r="F178" s="66" t="str">
        <f>'BID II'!B1668</f>
        <v xml:space="preserve">Belanja Modal </v>
      </c>
      <c r="G178" s="32"/>
      <c r="H178" s="32"/>
      <c r="I178" s="497" t="e">
        <f>I177</f>
        <v>#REF!</v>
      </c>
      <c r="J178" s="66"/>
    </row>
    <row r="179" spans="1:10" ht="45" x14ac:dyDescent="0.25">
      <c r="A179" s="1344">
        <v>2</v>
      </c>
      <c r="B179" s="1344">
        <v>3</v>
      </c>
      <c r="C179" s="1346" t="s">
        <v>2703</v>
      </c>
      <c r="D179" s="1344"/>
      <c r="E179" s="1344"/>
      <c r="F179" s="1345" t="str">
        <f>'BID II'!B1694</f>
        <v>: Pemeliharaan Jalan Usaha Tani (Subak Pohmanis Pembesian)</v>
      </c>
      <c r="G179" s="1344"/>
      <c r="H179" s="1344"/>
      <c r="I179" s="1347" t="e">
        <f>'Penjabaran APBDesa'!#REF!</f>
        <v>#REF!</v>
      </c>
      <c r="J179" s="1345" t="s">
        <v>2625</v>
      </c>
    </row>
    <row r="180" spans="1:10" x14ac:dyDescent="0.25">
      <c r="A180" s="32"/>
      <c r="B180" s="32"/>
      <c r="C180" s="32"/>
      <c r="D180" s="32">
        <v>5</v>
      </c>
      <c r="E180" s="32">
        <v>3</v>
      </c>
      <c r="F180" s="66" t="str">
        <f>'BID II'!B1701</f>
        <v xml:space="preserve">Belanja Modal </v>
      </c>
      <c r="G180" s="32"/>
      <c r="H180" s="32"/>
      <c r="I180" s="497" t="e">
        <f>I179</f>
        <v>#REF!</v>
      </c>
      <c r="J180" s="66"/>
    </row>
    <row r="181" spans="1:10" ht="60" x14ac:dyDescent="0.25">
      <c r="A181" s="1344">
        <v>2</v>
      </c>
      <c r="B181" s="1344">
        <v>3</v>
      </c>
      <c r="C181" s="1346" t="s">
        <v>2703</v>
      </c>
      <c r="D181" s="1344"/>
      <c r="E181" s="1344"/>
      <c r="F181" s="1345" t="str">
        <f>'BID II'!B1729</f>
        <v>: Pemeliharaan Jalan Usaha Tani (Subak pohmanis Pengecoran Beton)</v>
      </c>
      <c r="G181" s="1344"/>
      <c r="H181" s="1344"/>
      <c r="I181" s="1347" t="e">
        <f>'Penjabaran APBDesa'!#REF!</f>
        <v>#REF!</v>
      </c>
      <c r="J181" s="1345" t="s">
        <v>2625</v>
      </c>
    </row>
    <row r="182" spans="1:10" x14ac:dyDescent="0.25">
      <c r="A182" s="32"/>
      <c r="B182" s="32"/>
      <c r="C182" s="32"/>
      <c r="D182" s="32">
        <v>5</v>
      </c>
      <c r="E182" s="32">
        <v>3</v>
      </c>
      <c r="F182" s="66" t="str">
        <f>'BID II'!B1736</f>
        <v xml:space="preserve">Belanja Modal </v>
      </c>
      <c r="G182" s="32"/>
      <c r="H182" s="32"/>
      <c r="I182" s="497" t="e">
        <f>I181</f>
        <v>#REF!</v>
      </c>
      <c r="J182" s="66"/>
    </row>
    <row r="183" spans="1:10" ht="45" x14ac:dyDescent="0.25">
      <c r="A183" s="1344">
        <v>2</v>
      </c>
      <c r="B183" s="1344">
        <v>3</v>
      </c>
      <c r="C183" s="1346" t="s">
        <v>2703</v>
      </c>
      <c r="D183" s="1344"/>
      <c r="E183" s="1344"/>
      <c r="F183" s="1345" t="str">
        <f>'BID II'!B1765</f>
        <v>: Pemeliharaan Jalan Usaha Tani (Subak Pohmanis Bekisting)</v>
      </c>
      <c r="G183" s="1344"/>
      <c r="H183" s="1344"/>
      <c r="I183" s="1347" t="e">
        <f>'Penjabaran APBDesa'!#REF!</f>
        <v>#REF!</v>
      </c>
      <c r="J183" s="1345" t="s">
        <v>2625</v>
      </c>
    </row>
    <row r="184" spans="1:10" x14ac:dyDescent="0.25">
      <c r="A184" s="32"/>
      <c r="B184" s="32"/>
      <c r="C184" s="32"/>
      <c r="D184" s="32">
        <v>5</v>
      </c>
      <c r="E184" s="32">
        <v>3</v>
      </c>
      <c r="F184" s="66" t="str">
        <f>'BID II'!B1772</f>
        <v xml:space="preserve">Belanja Modal </v>
      </c>
      <c r="G184" s="32"/>
      <c r="H184" s="32"/>
      <c r="I184" s="497" t="e">
        <f>I183</f>
        <v>#REF!</v>
      </c>
      <c r="J184" s="66"/>
    </row>
    <row r="185" spans="1:10" ht="60" x14ac:dyDescent="0.25">
      <c r="A185" s="1344">
        <v>2</v>
      </c>
      <c r="B185" s="1344">
        <v>3</v>
      </c>
      <c r="C185" s="1346" t="s">
        <v>2703</v>
      </c>
      <c r="D185" s="1344"/>
      <c r="E185" s="1344"/>
      <c r="F185" s="1345" t="str">
        <f>'BID II'!B1806</f>
        <v>: Pemeliharaan Jalan Usaha Tani (Subak Pohmanis Perbaikan Senderan Batu Kali)</v>
      </c>
      <c r="G185" s="1344"/>
      <c r="H185" s="1344"/>
      <c r="I185" s="1347" t="e">
        <f>'Penjabaran APBDesa'!#REF!</f>
        <v>#REF!</v>
      </c>
      <c r="J185" s="1345" t="s">
        <v>2625</v>
      </c>
    </row>
    <row r="186" spans="1:10" x14ac:dyDescent="0.25">
      <c r="A186" s="32"/>
      <c r="B186" s="32"/>
      <c r="C186" s="32"/>
      <c r="D186" s="32">
        <v>5</v>
      </c>
      <c r="E186" s="32">
        <v>3</v>
      </c>
      <c r="F186" s="66" t="str">
        <f>'BID II'!B1813</f>
        <v xml:space="preserve">Belanja Modal </v>
      </c>
      <c r="G186" s="32"/>
      <c r="H186" s="32"/>
      <c r="I186" s="497" t="e">
        <f>I185</f>
        <v>#REF!</v>
      </c>
      <c r="J186" s="66"/>
    </row>
    <row r="187" spans="1:10" ht="90" x14ac:dyDescent="0.25">
      <c r="A187" s="1344">
        <v>2</v>
      </c>
      <c r="B187" s="1344">
        <v>3</v>
      </c>
      <c r="C187" s="1346" t="s">
        <v>2703</v>
      </c>
      <c r="D187" s="1344"/>
      <c r="E187" s="1344"/>
      <c r="F187" s="1345" t="str">
        <f>'BID II'!B1871</f>
        <v>: Pembangunan Jalan Usaha Tani KETAHANAN PANGAN (Subak Temaga Munduk Ngancang Perbaikan Senderan Batu Kali)</v>
      </c>
      <c r="G187" s="1344"/>
      <c r="H187" s="1344"/>
      <c r="I187" s="1347">
        <f>'Penjabaran APBDesa'!K657</f>
        <v>385503000</v>
      </c>
      <c r="J187" s="1345" t="s">
        <v>2387</v>
      </c>
    </row>
    <row r="188" spans="1:10" x14ac:dyDescent="0.25">
      <c r="A188" s="32"/>
      <c r="B188" s="32"/>
      <c r="C188" s="32"/>
      <c r="D188" s="32">
        <v>5</v>
      </c>
      <c r="E188" s="32">
        <v>3</v>
      </c>
      <c r="F188" s="66" t="str">
        <f>'BID II'!B1878</f>
        <v xml:space="preserve">Belanja Modal </v>
      </c>
      <c r="G188" s="32"/>
      <c r="H188" s="32"/>
      <c r="I188" s="497">
        <f>I187</f>
        <v>385503000</v>
      </c>
      <c r="J188" s="66"/>
    </row>
    <row r="189" spans="1:10" ht="75" x14ac:dyDescent="0.25">
      <c r="A189" s="1344">
        <v>2</v>
      </c>
      <c r="B189" s="1344">
        <v>3</v>
      </c>
      <c r="C189" s="1346" t="s">
        <v>2703</v>
      </c>
      <c r="D189" s="1344"/>
      <c r="E189" s="1344"/>
      <c r="F189" s="1345" t="str">
        <f>'BID II'!B1908</f>
        <v>: Pembangunan Jalan Usaha Tani KETAHANAN PANGAN(Subak Temaga Munduk Ngancang Urug Limestone)</v>
      </c>
      <c r="G189" s="1344"/>
      <c r="H189" s="1344"/>
      <c r="I189" s="1347">
        <f>'Penjabaran APBDesa'!K663</f>
        <v>67743000</v>
      </c>
      <c r="J189" s="1345" t="s">
        <v>2387</v>
      </c>
    </row>
    <row r="190" spans="1:10" x14ac:dyDescent="0.25">
      <c r="A190" s="32"/>
      <c r="B190" s="32"/>
      <c r="C190" s="32"/>
      <c r="D190" s="32">
        <v>5</v>
      </c>
      <c r="E190" s="32">
        <v>3</v>
      </c>
      <c r="F190" s="66" t="str">
        <f>'BID II'!B1991</f>
        <v xml:space="preserve">Belanja Modal </v>
      </c>
      <c r="G190" s="32"/>
      <c r="H190" s="32"/>
      <c r="I190" s="497">
        <f>I189</f>
        <v>67743000</v>
      </c>
      <c r="J190" s="66"/>
    </row>
    <row r="191" spans="1:10" ht="75" x14ac:dyDescent="0.25">
      <c r="A191" s="1344">
        <v>2</v>
      </c>
      <c r="B191" s="1344">
        <v>3</v>
      </c>
      <c r="C191" s="1346" t="s">
        <v>2703</v>
      </c>
      <c r="D191" s="1344"/>
      <c r="E191" s="1344"/>
      <c r="F191" s="1345" t="str">
        <f>'BID II'!B1945</f>
        <v>: Pembangunan Jalan Usaha Tani KETAHANAN PANGAN(Subak Temaga Munduk Ngancang Pemavingan)</v>
      </c>
      <c r="G191" s="1344"/>
      <c r="H191" s="1344"/>
      <c r="I191" s="1347">
        <f>'Penjabaran APBDesa'!K670</f>
        <v>331798000</v>
      </c>
      <c r="J191" s="1345" t="s">
        <v>2387</v>
      </c>
    </row>
    <row r="192" spans="1:10" x14ac:dyDescent="0.25">
      <c r="A192" s="32"/>
      <c r="B192" s="32"/>
      <c r="C192" s="32"/>
      <c r="D192" s="32">
        <v>5</v>
      </c>
      <c r="E192" s="32">
        <v>3</v>
      </c>
      <c r="F192" s="66" t="str">
        <f>'BID II'!B1952</f>
        <v xml:space="preserve">Belanja Modal </v>
      </c>
      <c r="G192" s="32"/>
      <c r="H192" s="32"/>
      <c r="I192" s="497">
        <f>I191</f>
        <v>331798000</v>
      </c>
      <c r="J192" s="66"/>
    </row>
    <row r="193" spans="1:10" ht="75" x14ac:dyDescent="0.25">
      <c r="A193" s="1344">
        <v>2</v>
      </c>
      <c r="B193" s="1344">
        <v>3</v>
      </c>
      <c r="C193" s="1346" t="s">
        <v>2703</v>
      </c>
      <c r="D193" s="1344"/>
      <c r="E193" s="1344"/>
      <c r="F193" s="1345" t="str">
        <f>'BID II'!B1984</f>
        <v>: Pembangunan Jalan Usaha Tani (Subak Temaga Munduk Ngancang Perbaikan Senderan Batu Kali)</v>
      </c>
      <c r="G193" s="1344"/>
      <c r="H193" s="1344"/>
      <c r="I193" s="1347">
        <f>'Penjabaran APBDesa'!K676</f>
        <v>18184000</v>
      </c>
      <c r="J193" s="1345" t="s">
        <v>2625</v>
      </c>
    </row>
    <row r="194" spans="1:10" x14ac:dyDescent="0.25">
      <c r="A194" s="32"/>
      <c r="B194" s="32"/>
      <c r="C194" s="32"/>
      <c r="D194" s="32">
        <v>5</v>
      </c>
      <c r="E194" s="32">
        <v>3</v>
      </c>
      <c r="F194" s="66" t="str">
        <f>'BID II'!B1991</f>
        <v xml:space="preserve">Belanja Modal </v>
      </c>
      <c r="G194" s="32"/>
      <c r="H194" s="32"/>
      <c r="I194" s="497">
        <f>I193</f>
        <v>18184000</v>
      </c>
      <c r="J194" s="66"/>
    </row>
    <row r="195" spans="1:10" ht="30" x14ac:dyDescent="0.25">
      <c r="A195" s="1344">
        <v>2</v>
      </c>
      <c r="B195" s="1344">
        <v>4</v>
      </c>
      <c r="C195" s="1346" t="s">
        <v>2708</v>
      </c>
      <c r="D195" s="1344"/>
      <c r="E195" s="1344"/>
      <c r="F195" s="1345" t="str">
        <f>'BID II'!B2024</f>
        <v>: Kegiatan Pengelolaan Sampah Tingkat Desa</v>
      </c>
      <c r="G195" s="1344"/>
      <c r="H195" s="1344"/>
      <c r="I195" s="1347">
        <f>'Penjabaran APBDesa'!K682</f>
        <v>670230300</v>
      </c>
      <c r="J195" s="1345"/>
    </row>
    <row r="196" spans="1:10" x14ac:dyDescent="0.25">
      <c r="A196" s="32"/>
      <c r="B196" s="32"/>
      <c r="C196" s="32"/>
      <c r="D196" s="32">
        <v>5</v>
      </c>
      <c r="E196" s="32">
        <v>2</v>
      </c>
      <c r="F196" s="66" t="str">
        <f>'BID II'!B2029</f>
        <v xml:space="preserve">Belanja Barang dan Jasa </v>
      </c>
      <c r="G196" s="32"/>
      <c r="H196" s="32"/>
      <c r="I196" s="497">
        <f>I195</f>
        <v>670230300</v>
      </c>
      <c r="J196" s="66"/>
    </row>
    <row r="197" spans="1:10" ht="75" x14ac:dyDescent="0.25">
      <c r="A197" s="1344">
        <v>2</v>
      </c>
      <c r="B197" s="1344">
        <v>4</v>
      </c>
      <c r="C197" s="1346" t="s">
        <v>2708</v>
      </c>
      <c r="D197" s="1344"/>
      <c r="E197" s="1344"/>
      <c r="F197" s="1345" t="str">
        <f>'BID II'!B2162</f>
        <v>: Pemeiliharaan Fasilitas Pengelolaan Sampah Desa/ Pemukiman ( Operasional Kegiatan Bank Sampah Desa)</v>
      </c>
      <c r="G197" s="1344"/>
      <c r="H197" s="1344"/>
      <c r="I197" s="1347">
        <f>'Penjabaran APBDesa'!K717</f>
        <v>38177800</v>
      </c>
      <c r="J197" s="1345" t="s">
        <v>2639</v>
      </c>
    </row>
    <row r="198" spans="1:10" x14ac:dyDescent="0.25">
      <c r="A198" s="32"/>
      <c r="B198" s="32"/>
      <c r="C198" s="32"/>
      <c r="D198" s="32">
        <v>5</v>
      </c>
      <c r="E198" s="32">
        <v>2</v>
      </c>
      <c r="F198" s="66" t="str">
        <f>'BID II'!B2167</f>
        <v>Belanja Barang Jasa :</v>
      </c>
      <c r="G198" s="32"/>
      <c r="H198" s="32"/>
      <c r="I198" s="497">
        <f>I197</f>
        <v>38177800</v>
      </c>
      <c r="J198" s="66"/>
    </row>
    <row r="199" spans="1:10" ht="30" x14ac:dyDescent="0.25">
      <c r="A199" s="1344">
        <v>2</v>
      </c>
      <c r="B199" s="1344">
        <v>4</v>
      </c>
      <c r="C199" s="1346" t="s">
        <v>2708</v>
      </c>
      <c r="D199" s="1344"/>
      <c r="E199" s="1344"/>
      <c r="F199" s="1345" t="str">
        <f>'BID II'!B2209</f>
        <v>: Operasional Tim Kebersihan Lingkungan</v>
      </c>
      <c r="G199" s="1344"/>
      <c r="H199" s="1344"/>
      <c r="I199" s="1347">
        <f>'Penjabaran APBDesa'!K727</f>
        <v>110956000</v>
      </c>
      <c r="J199" s="1345" t="s">
        <v>2620</v>
      </c>
    </row>
    <row r="200" spans="1:10" x14ac:dyDescent="0.25">
      <c r="A200" s="32"/>
      <c r="B200" s="32"/>
      <c r="C200" s="32"/>
      <c r="D200" s="32">
        <v>5</v>
      </c>
      <c r="E200" s="32">
        <v>2</v>
      </c>
      <c r="F200" s="66" t="str">
        <f>'BID II'!B2214</f>
        <v>Belanja Barang dan Jasa :</v>
      </c>
      <c r="G200" s="32"/>
      <c r="H200" s="32"/>
      <c r="I200" s="497">
        <f>I199</f>
        <v>110956000</v>
      </c>
      <c r="J200" s="66"/>
    </row>
    <row r="201" spans="1:10" x14ac:dyDescent="0.25">
      <c r="A201" s="1344">
        <v>2</v>
      </c>
      <c r="B201" s="1344">
        <v>4</v>
      </c>
      <c r="C201" s="1346" t="s">
        <v>2708</v>
      </c>
      <c r="D201" s="1344"/>
      <c r="E201" s="1344"/>
      <c r="F201" s="1345" t="e">
        <f>'BID II'!#REF!</f>
        <v>#REF!</v>
      </c>
      <c r="G201" s="1344"/>
      <c r="H201" s="1344"/>
      <c r="I201" s="1347" t="e">
        <f>'Penjabaran APBDesa'!#REF!</f>
        <v>#REF!</v>
      </c>
      <c r="J201" s="1345" t="s">
        <v>1682</v>
      </c>
    </row>
    <row r="202" spans="1:10" x14ac:dyDescent="0.25">
      <c r="A202" s="32"/>
      <c r="B202" s="32"/>
      <c r="C202" s="1340"/>
      <c r="D202" s="32">
        <v>5</v>
      </c>
      <c r="E202" s="32">
        <v>2</v>
      </c>
      <c r="F202" s="66" t="str">
        <f>'BID II'!B2091</f>
        <v>Belanja Barang Jasa</v>
      </c>
      <c r="G202" s="32"/>
      <c r="H202" s="32"/>
      <c r="I202" s="497" t="e">
        <f>I201</f>
        <v>#REF!</v>
      </c>
      <c r="J202" s="66"/>
    </row>
    <row r="203" spans="1:10" ht="75" x14ac:dyDescent="0.25">
      <c r="A203" s="1344">
        <v>2</v>
      </c>
      <c r="B203" s="1344">
        <v>4</v>
      </c>
      <c r="C203" s="1346" t="s">
        <v>2709</v>
      </c>
      <c r="D203" s="1344"/>
      <c r="E203" s="1344"/>
      <c r="F203" s="1345" t="str">
        <f>'BID II'!B2257</f>
        <v>Pemeliharaan taman Milik Desa (Biopori dan Penataan Taman di Patung Petani, depan kertapala)</v>
      </c>
      <c r="G203" s="1344"/>
      <c r="H203" s="1344"/>
      <c r="I203" s="1347">
        <f>'Penjabaran APBDesa'!K737</f>
        <v>43645000</v>
      </c>
      <c r="J203" s="1345" t="s">
        <v>1682</v>
      </c>
    </row>
    <row r="204" spans="1:10" x14ac:dyDescent="0.25">
      <c r="A204" s="32"/>
      <c r="B204" s="32"/>
      <c r="C204" s="32"/>
      <c r="D204" s="32">
        <v>5</v>
      </c>
      <c r="E204" s="32">
        <v>3</v>
      </c>
      <c r="F204" s="66" t="str">
        <f>'BID II'!B2263</f>
        <v xml:space="preserve">Belanja Modal </v>
      </c>
      <c r="G204" s="32"/>
      <c r="H204" s="32"/>
      <c r="I204" s="497">
        <f>I203</f>
        <v>43645000</v>
      </c>
      <c r="J204" s="66"/>
    </row>
    <row r="205" spans="1:10" ht="75" x14ac:dyDescent="0.25">
      <c r="A205" s="1344">
        <v>2</v>
      </c>
      <c r="B205" s="1344">
        <v>6</v>
      </c>
      <c r="C205" s="1346" t="s">
        <v>2702</v>
      </c>
      <c r="D205" s="1344"/>
      <c r="E205" s="1344"/>
      <c r="F205" s="1345" t="str">
        <f>'BID II'!B2296</f>
        <v>: Penyelenggaraan Informasi Publik Desa ( Pembuatan dan Pemasangan Baliho APBDesa )</v>
      </c>
      <c r="G205" s="1344"/>
      <c r="H205" s="1344"/>
      <c r="I205" s="1347">
        <f>'Penjabaran APBDesa'!K743</f>
        <v>3000000</v>
      </c>
      <c r="J205" s="1345" t="s">
        <v>2626</v>
      </c>
    </row>
    <row r="206" spans="1:10" x14ac:dyDescent="0.25">
      <c r="A206" s="32"/>
      <c r="B206" s="32"/>
      <c r="C206" s="32"/>
      <c r="D206" s="32">
        <v>5</v>
      </c>
      <c r="E206" s="32">
        <v>2</v>
      </c>
      <c r="F206" s="66" t="str">
        <f>'BID II'!B2302</f>
        <v>Belanja Barang Jasa</v>
      </c>
      <c r="G206" s="32"/>
      <c r="H206" s="32"/>
      <c r="I206" s="497">
        <f>I205</f>
        <v>3000000</v>
      </c>
      <c r="J206" s="66"/>
    </row>
    <row r="207" spans="1:10" ht="30" x14ac:dyDescent="0.25">
      <c r="A207" s="1342">
        <v>3</v>
      </c>
      <c r="B207" s="1342"/>
      <c r="C207" s="1342"/>
      <c r="D207" s="1342"/>
      <c r="E207" s="1342"/>
      <c r="F207" s="1343" t="str">
        <f>'BID III'!B27</f>
        <v>: Pembinaan Kemasyarakatan Desa</v>
      </c>
      <c r="G207" s="1342"/>
      <c r="H207" s="1342"/>
      <c r="I207" s="1356">
        <f>'Penjabaran APBDesa'!K747</f>
        <v>1865337418</v>
      </c>
      <c r="J207" s="1343"/>
    </row>
    <row r="208" spans="1:10" ht="45" x14ac:dyDescent="0.25">
      <c r="A208" s="1344"/>
      <c r="B208" s="1344"/>
      <c r="C208" s="1344"/>
      <c r="D208" s="1344"/>
      <c r="E208" s="1344"/>
      <c r="F208" s="1345" t="str">
        <f>'BID III'!B28</f>
        <v>: Ketentraman, Ketertiban Umum, dan Perlindungan Masyarakat</v>
      </c>
      <c r="G208" s="1344"/>
      <c r="H208" s="1344"/>
      <c r="I208" s="1347">
        <f>'Penjabaran APBDesa'!K748</f>
        <v>0</v>
      </c>
      <c r="J208" s="1345"/>
    </row>
    <row r="209" spans="1:10" ht="75" x14ac:dyDescent="0.25">
      <c r="A209" s="1344">
        <v>3</v>
      </c>
      <c r="B209" s="1344">
        <v>1</v>
      </c>
      <c r="C209" s="1346" t="s">
        <v>2703</v>
      </c>
      <c r="D209" s="1344"/>
      <c r="E209" s="1344"/>
      <c r="F209" s="1345" t="str">
        <f>'BID III'!B29</f>
        <v>:Koordinasi Pembinaan Ketentraman, Ketertiban, dan Perlindungan Masyarakat (Pengamanan Pengerupukan)</v>
      </c>
      <c r="G209" s="1344"/>
      <c r="H209" s="1344"/>
      <c r="I209" s="1347">
        <f>'Penjabaran APBDesa'!K749</f>
        <v>7040000</v>
      </c>
      <c r="J209" s="1345" t="s">
        <v>1682</v>
      </c>
    </row>
    <row r="210" spans="1:10" x14ac:dyDescent="0.25">
      <c r="A210" s="32"/>
      <c r="B210" s="32"/>
      <c r="C210" s="32"/>
      <c r="D210" s="32">
        <v>5</v>
      </c>
      <c r="E210" s="32">
        <v>2</v>
      </c>
      <c r="F210" s="66" t="str">
        <f>'BID III'!B35</f>
        <v>Belanja Barang dan Jasa</v>
      </c>
      <c r="G210" s="32"/>
      <c r="H210" s="32"/>
      <c r="I210" s="497">
        <f>I209</f>
        <v>7040000</v>
      </c>
      <c r="J210" s="66"/>
    </row>
    <row r="211" spans="1:10" ht="75" x14ac:dyDescent="0.25">
      <c r="A211" s="1344">
        <v>3</v>
      </c>
      <c r="B211" s="1344">
        <v>1</v>
      </c>
      <c r="C211" s="1346" t="s">
        <v>2702</v>
      </c>
      <c r="D211" s="1344"/>
      <c r="E211" s="1344"/>
      <c r="F211" s="1345" t="str">
        <f>'BID III'!B62</f>
        <v>: Koordinasi Pembinaan Ketentraman, Ketertiban, dan Perlindungan Masyarakat (Pengamanan Tahun Baru)</v>
      </c>
      <c r="G211" s="1344"/>
      <c r="H211" s="1344"/>
      <c r="I211" s="1347">
        <f>'Penjabaran APBDesa'!K757</f>
        <v>8540000</v>
      </c>
      <c r="J211" s="1345" t="s">
        <v>2626</v>
      </c>
    </row>
    <row r="212" spans="1:10" x14ac:dyDescent="0.25">
      <c r="A212" s="32"/>
      <c r="B212" s="32"/>
      <c r="C212" s="32"/>
      <c r="D212" s="32">
        <v>5</v>
      </c>
      <c r="E212" s="32">
        <v>2</v>
      </c>
      <c r="F212" s="66" t="str">
        <f>'BID III'!B68</f>
        <v>Belanja Barang dan Jasa</v>
      </c>
      <c r="G212" s="32"/>
      <c r="H212" s="32"/>
      <c r="I212" s="497">
        <f>I211</f>
        <v>8540000</v>
      </c>
      <c r="J212" s="66"/>
    </row>
    <row r="213" spans="1:10" ht="75" x14ac:dyDescent="0.25">
      <c r="A213" s="1344">
        <v>3</v>
      </c>
      <c r="B213" s="1344">
        <v>1</v>
      </c>
      <c r="C213" s="1346" t="s">
        <v>2703</v>
      </c>
      <c r="D213" s="1344"/>
      <c r="E213" s="1344"/>
      <c r="F213" s="1345" t="str">
        <f>'BID III'!B95</f>
        <v>:Koordinasi Pembinaan Ketentraman, Ketertiban, dan Perlindungan Masyarakat (Penjagaan Linmas Desa)</v>
      </c>
      <c r="G213" s="1344"/>
      <c r="H213" s="1344"/>
      <c r="I213" s="1347">
        <f>'Penjabaran APBDesa'!K765</f>
        <v>416098660</v>
      </c>
      <c r="J213" s="1345"/>
    </row>
    <row r="214" spans="1:10" x14ac:dyDescent="0.25">
      <c r="A214" s="32"/>
      <c r="B214" s="32"/>
      <c r="C214" s="32"/>
      <c r="D214" s="32">
        <v>5</v>
      </c>
      <c r="E214" s="32">
        <v>2</v>
      </c>
      <c r="F214" s="66" t="str">
        <f>'BID III'!B100</f>
        <v>Belanja Barang Dan Jasa</v>
      </c>
      <c r="G214" s="32"/>
      <c r="H214" s="32"/>
      <c r="I214" s="497">
        <f>I213</f>
        <v>416098660</v>
      </c>
      <c r="J214" s="66"/>
    </row>
    <row r="215" spans="1:10" ht="75" x14ac:dyDescent="0.25">
      <c r="A215" s="1344">
        <v>3</v>
      </c>
      <c r="B215" s="1344">
        <v>1</v>
      </c>
      <c r="C215" s="1346" t="s">
        <v>2704</v>
      </c>
      <c r="D215" s="1344"/>
      <c r="E215" s="1344"/>
      <c r="F215" s="1345" t="str">
        <f>'BID III'!B141</f>
        <v>: Pelatihan Kesiapsiagaan/Tanggap Bencana Skala Lokal Desa ( Pelatihan Tanggap Darurat Bencana )</v>
      </c>
      <c r="G215" s="1344"/>
      <c r="H215" s="1344"/>
      <c r="I215" s="1347">
        <f>'Penjabaran APBDesa'!K775</f>
        <v>8578000</v>
      </c>
      <c r="J215" s="1345" t="s">
        <v>1682</v>
      </c>
    </row>
    <row r="216" spans="1:10" x14ac:dyDescent="0.25">
      <c r="A216" s="32"/>
      <c r="B216" s="32"/>
      <c r="C216" s="32"/>
      <c r="D216" s="32">
        <v>5</v>
      </c>
      <c r="E216" s="32">
        <v>2</v>
      </c>
      <c r="F216" s="66" t="str">
        <f>'BID III'!B147</f>
        <v>Belanja Barang Dan Jasa</v>
      </c>
      <c r="G216" s="32"/>
      <c r="H216" s="32"/>
      <c r="I216" s="497">
        <f>I215</f>
        <v>8578000</v>
      </c>
      <c r="J216" s="66"/>
    </row>
    <row r="217" spans="1:10" ht="60" x14ac:dyDescent="0.25">
      <c r="A217" s="1344">
        <v>3</v>
      </c>
      <c r="B217" s="1344">
        <v>2</v>
      </c>
      <c r="C217" s="1346" t="s">
        <v>2703</v>
      </c>
      <c r="D217" s="1344"/>
      <c r="E217" s="1344"/>
      <c r="F217" s="1345" t="str">
        <f>'BID III'!B183</f>
        <v>: Pembinaan Kesenian, Adat, Kebudayaan, dan Keagamaan ( Pembinaan Sekaa Seni Joged )</v>
      </c>
      <c r="G217" s="1344"/>
      <c r="H217" s="1344"/>
      <c r="I217" s="1347">
        <f>'Penjabaran APBDesa'!K785</f>
        <v>37765000</v>
      </c>
      <c r="J217" s="1345" t="s">
        <v>1682</v>
      </c>
    </row>
    <row r="218" spans="1:10" x14ac:dyDescent="0.25">
      <c r="A218" s="32"/>
      <c r="B218" s="32"/>
      <c r="C218" s="32"/>
      <c r="D218" s="32">
        <v>5</v>
      </c>
      <c r="E218" s="32">
        <v>2</v>
      </c>
      <c r="F218" s="66" t="str">
        <f>'BID III'!B189</f>
        <v>Belanja Barang Jasa</v>
      </c>
      <c r="G218" s="32"/>
      <c r="H218" s="32"/>
      <c r="I218" s="497">
        <f>I217</f>
        <v>37765000</v>
      </c>
      <c r="J218" s="66"/>
    </row>
    <row r="219" spans="1:10" ht="165" x14ac:dyDescent="0.25">
      <c r="A219" s="1344">
        <v>3</v>
      </c>
      <c r="B219" s="1344">
        <v>2</v>
      </c>
      <c r="C219" s="1346" t="s">
        <v>2703</v>
      </c>
      <c r="D219" s="1344"/>
      <c r="E219" s="1344"/>
      <c r="F219" s="1345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G219" s="1344"/>
      <c r="H219" s="1344"/>
      <c r="I219" s="1347">
        <f>'Penjabaran APBDesa'!K795</f>
        <v>35502000</v>
      </c>
      <c r="J219" s="1345" t="s">
        <v>2626</v>
      </c>
    </row>
    <row r="220" spans="1:10" x14ac:dyDescent="0.25">
      <c r="A220" s="32"/>
      <c r="B220" s="32"/>
      <c r="C220" s="32"/>
      <c r="D220" s="32">
        <v>5</v>
      </c>
      <c r="E220" s="32">
        <v>2</v>
      </c>
      <c r="F220" s="66" t="str">
        <f>'BID III'!B229</f>
        <v>Belanja Barang Jasa</v>
      </c>
      <c r="G220" s="32"/>
      <c r="H220" s="32"/>
      <c r="I220" s="497">
        <f>I219</f>
        <v>35502000</v>
      </c>
      <c r="J220" s="66"/>
    </row>
    <row r="221" spans="1:10" ht="75" x14ac:dyDescent="0.25">
      <c r="A221" s="1344">
        <v>3</v>
      </c>
      <c r="B221" s="1344">
        <v>2</v>
      </c>
      <c r="C221" s="1346" t="s">
        <v>2704</v>
      </c>
      <c r="D221" s="1344"/>
      <c r="E221" s="1344"/>
      <c r="F221" s="1345" t="str">
        <f>'BID III'!B299</f>
        <v>Pemeliharaan sarana prasarana keagamaan milik desa (Pavingnisasi Area Pura Dalem Taman Pohmanis)</v>
      </c>
      <c r="G221" s="1344"/>
      <c r="H221" s="1344"/>
      <c r="I221" s="1347">
        <f>'Penjabaran APBDesa'!K816</f>
        <v>94693000</v>
      </c>
      <c r="J221" s="1345" t="s">
        <v>1682</v>
      </c>
    </row>
    <row r="222" spans="1:10" x14ac:dyDescent="0.25">
      <c r="A222" s="32"/>
      <c r="B222" s="32"/>
      <c r="C222" s="1340"/>
      <c r="D222" s="32">
        <v>5</v>
      </c>
      <c r="E222" s="32">
        <v>2</v>
      </c>
      <c r="F222" s="66" t="s">
        <v>323</v>
      </c>
      <c r="G222" s="32"/>
      <c r="H222" s="32"/>
      <c r="I222" s="497">
        <f>I221</f>
        <v>94693000</v>
      </c>
      <c r="J222" s="66"/>
    </row>
    <row r="223" spans="1:10" ht="60" x14ac:dyDescent="0.25">
      <c r="A223" s="1344">
        <v>3</v>
      </c>
      <c r="B223" s="1344">
        <v>2</v>
      </c>
      <c r="C223" s="1346" t="s">
        <v>2704</v>
      </c>
      <c r="D223" s="1344"/>
      <c r="E223" s="1344"/>
      <c r="F223" s="1345" t="str">
        <f>'BID III'!B338</f>
        <v>: Pemeliharaan Sarana dan Prasarana kebudayaan/Rumah adat (Candi Banjar Mertasari)</v>
      </c>
      <c r="G223" s="1344"/>
      <c r="H223" s="1344"/>
      <c r="I223" s="1347">
        <f>'Penjabaran APBDesa'!K820</f>
        <v>77163000</v>
      </c>
      <c r="J223" s="1345" t="s">
        <v>2627</v>
      </c>
    </row>
    <row r="224" spans="1:10" x14ac:dyDescent="0.25">
      <c r="A224" s="32"/>
      <c r="B224" s="32"/>
      <c r="C224" s="32"/>
      <c r="D224" s="32">
        <v>5</v>
      </c>
      <c r="E224" s="32">
        <v>2</v>
      </c>
      <c r="F224" s="66" t="str">
        <f>'BID III'!B345</f>
        <v>Belanja Barang Jasa</v>
      </c>
      <c r="G224" s="32"/>
      <c r="H224" s="32"/>
      <c r="I224" s="497">
        <f>I223</f>
        <v>77163000</v>
      </c>
      <c r="J224" s="66"/>
    </row>
    <row r="225" spans="1:10" ht="45" x14ac:dyDescent="0.25">
      <c r="A225" s="1344">
        <v>3</v>
      </c>
      <c r="B225" s="1344">
        <v>2</v>
      </c>
      <c r="C225" s="1344">
        <v>90</v>
      </c>
      <c r="D225" s="1344"/>
      <c r="E225" s="1344"/>
      <c r="F225" s="1345" t="str">
        <f>'BID III'!B382</f>
        <v xml:space="preserve"> : Pembinaan Adat dan Keagamaan (Piodalan Padmasana)</v>
      </c>
      <c r="G225" s="1344"/>
      <c r="H225" s="1344"/>
      <c r="I225" s="1347">
        <f>'Penjabaran APBDesa'!K824</f>
        <v>15474698</v>
      </c>
      <c r="J225" s="1345" t="s">
        <v>2621</v>
      </c>
    </row>
    <row r="226" spans="1:10" x14ac:dyDescent="0.25">
      <c r="A226" s="32"/>
      <c r="B226" s="32"/>
      <c r="C226" s="32"/>
      <c r="D226" s="32">
        <v>5</v>
      </c>
      <c r="E226" s="32">
        <v>2</v>
      </c>
      <c r="F226" s="66" t="str">
        <f>'BID III'!B388</f>
        <v xml:space="preserve">Belanja Barang dan Jasa </v>
      </c>
      <c r="G226" s="32"/>
      <c r="H226" s="32"/>
      <c r="I226" s="497">
        <f>I225</f>
        <v>15474698</v>
      </c>
      <c r="J226" s="66"/>
    </row>
    <row r="227" spans="1:10" ht="45" x14ac:dyDescent="0.25">
      <c r="A227" s="1344">
        <v>3</v>
      </c>
      <c r="B227" s="1344">
        <v>2</v>
      </c>
      <c r="C227" s="1344">
        <v>90</v>
      </c>
      <c r="D227" s="1344"/>
      <c r="E227" s="1344"/>
      <c r="F227" s="1345" t="str">
        <f>'BID III'!B421</f>
        <v>: Pembinaan Adat dan Keagamaan (Upakara dan Upacara)</v>
      </c>
      <c r="G227" s="1344"/>
      <c r="H227" s="1344"/>
      <c r="I227" s="1347">
        <f>'Penjabaran APBDesa'!K829</f>
        <v>8480000</v>
      </c>
      <c r="J227" s="1345" t="s">
        <v>2621</v>
      </c>
    </row>
    <row r="228" spans="1:10" ht="30" x14ac:dyDescent="0.25">
      <c r="A228" s="32"/>
      <c r="B228" s="32"/>
      <c r="C228" s="32"/>
      <c r="D228" s="32"/>
      <c r="E228" s="32"/>
      <c r="F228" s="66" t="str">
        <f>'BID III'!B427</f>
        <v>Hari Raya Suci Keagamaan)</v>
      </c>
      <c r="G228" s="32"/>
      <c r="H228" s="32"/>
      <c r="I228" s="497">
        <f>'Penjabaran APBDesa'!K830</f>
        <v>0</v>
      </c>
      <c r="J228" s="66"/>
    </row>
    <row r="229" spans="1:10" x14ac:dyDescent="0.25">
      <c r="A229" s="32"/>
      <c r="B229" s="32"/>
      <c r="C229" s="32"/>
      <c r="D229" s="32">
        <v>5</v>
      </c>
      <c r="E229" s="32">
        <v>2</v>
      </c>
      <c r="F229" s="66" t="str">
        <f>'BID III'!B428</f>
        <v xml:space="preserve">Belanja Barang dan Jasa </v>
      </c>
      <c r="G229" s="32"/>
      <c r="H229" s="32"/>
      <c r="I229" s="497">
        <f>I227</f>
        <v>8480000</v>
      </c>
      <c r="J229" s="66"/>
    </row>
    <row r="230" spans="1:10" ht="45" x14ac:dyDescent="0.25">
      <c r="A230" s="1344">
        <v>3</v>
      </c>
      <c r="B230" s="1344">
        <v>2</v>
      </c>
      <c r="C230" s="1344">
        <v>91</v>
      </c>
      <c r="D230" s="1344"/>
      <c r="E230" s="1344"/>
      <c r="F230" s="1345" t="str">
        <f>'BID III'!B485</f>
        <v xml:space="preserve"> : Penunjang Oprasional Subak/Subak Abian (BKKProvinsi)</v>
      </c>
      <c r="G230" s="1344"/>
      <c r="H230" s="1344"/>
      <c r="I230" s="1347">
        <f>'Penjabaran APBDesa'!K841</f>
        <v>30000000</v>
      </c>
      <c r="J230" s="1345" t="s">
        <v>2717</v>
      </c>
    </row>
    <row r="231" spans="1:10" x14ac:dyDescent="0.25">
      <c r="A231" s="32"/>
      <c r="B231" s="32"/>
      <c r="C231" s="32"/>
      <c r="D231" s="32">
        <v>5</v>
      </c>
      <c r="E231" s="32">
        <v>2</v>
      </c>
      <c r="F231" s="66" t="str">
        <f>'BID III'!B490</f>
        <v>Belanja Barang Jasa</v>
      </c>
      <c r="G231" s="32"/>
      <c r="H231" s="32"/>
      <c r="I231" s="497">
        <f>I230</f>
        <v>30000000</v>
      </c>
      <c r="J231" s="66"/>
    </row>
    <row r="232" spans="1:10" ht="30" x14ac:dyDescent="0.25">
      <c r="A232" s="1344">
        <v>3</v>
      </c>
      <c r="B232" s="1344">
        <v>2</v>
      </c>
      <c r="C232" s="1344">
        <v>94</v>
      </c>
      <c r="D232" s="1344"/>
      <c r="E232" s="1344"/>
      <c r="F232" s="1345" t="str">
        <f>'BID III'!B508</f>
        <v xml:space="preserve"> : Penunjang Oprasional Desa Pakraman(BKK Kota)</v>
      </c>
      <c r="G232" s="1344"/>
      <c r="H232" s="1344"/>
      <c r="I232" s="1347">
        <f>'Penjabaran APBDesa'!K845</f>
        <v>560000000</v>
      </c>
      <c r="J232" s="1345" t="s">
        <v>2159</v>
      </c>
    </row>
    <row r="233" spans="1:10" x14ac:dyDescent="0.25">
      <c r="A233" s="32"/>
      <c r="B233" s="32"/>
      <c r="C233" s="32"/>
      <c r="D233" s="32">
        <v>5</v>
      </c>
      <c r="E233" s="32">
        <v>2</v>
      </c>
      <c r="F233" s="66" t="s">
        <v>323</v>
      </c>
      <c r="G233" s="32"/>
      <c r="H233" s="32"/>
      <c r="I233" s="497">
        <f>I232</f>
        <v>560000000</v>
      </c>
      <c r="J233" s="66"/>
    </row>
    <row r="234" spans="1:10" ht="30" x14ac:dyDescent="0.25">
      <c r="A234" s="1344">
        <v>3</v>
      </c>
      <c r="B234" s="1344">
        <v>2</v>
      </c>
      <c r="C234" s="1344">
        <v>95</v>
      </c>
      <c r="D234" s="1344"/>
      <c r="E234" s="1344"/>
      <c r="F234" s="1345" t="str">
        <f>'BID III'!B530</f>
        <v>: Kegiatan Bakti Penganyaran</v>
      </c>
      <c r="G234" s="1344"/>
      <c r="H234" s="1344"/>
      <c r="I234" s="1347">
        <f>'Penjabaran APBDesa'!K849</f>
        <v>171000000</v>
      </c>
      <c r="J234" s="1345" t="s">
        <v>1682</v>
      </c>
    </row>
    <row r="235" spans="1:10" ht="30" x14ac:dyDescent="0.25">
      <c r="A235" s="32"/>
      <c r="B235" s="32"/>
      <c r="C235" s="32"/>
      <c r="D235" s="32"/>
      <c r="E235" s="32"/>
      <c r="F235" s="66" t="str">
        <f>'BID III'!B537</f>
        <v xml:space="preserve">Nganyarin ke Pura Batur lan Besakih </v>
      </c>
      <c r="G235" s="32"/>
      <c r="H235" s="32"/>
      <c r="I235" s="497">
        <f>'Penjabaran APBDesa'!K850</f>
        <v>0</v>
      </c>
      <c r="J235" s="66"/>
    </row>
    <row r="236" spans="1:10" x14ac:dyDescent="0.25">
      <c r="A236" s="32"/>
      <c r="B236" s="32"/>
      <c r="C236" s="32"/>
      <c r="D236" s="32">
        <v>5</v>
      </c>
      <c r="E236" s="32">
        <v>2</v>
      </c>
      <c r="F236" s="66" t="str">
        <f>'BID III'!B538</f>
        <v xml:space="preserve">Belanja Barang dan Jasa </v>
      </c>
      <c r="G236" s="32"/>
      <c r="H236" s="32"/>
      <c r="I236" s="497">
        <f>I234</f>
        <v>171000000</v>
      </c>
      <c r="J236" s="66"/>
    </row>
    <row r="237" spans="1:10" ht="90" x14ac:dyDescent="0.25">
      <c r="A237" s="1344"/>
      <c r="B237" s="1344"/>
      <c r="C237" s="1344"/>
      <c r="D237" s="1344"/>
      <c r="E237" s="1344"/>
      <c r="F237" s="1345" t="str">
        <f>'BID III'!B567</f>
        <v>: Pengiriman Kontingen Kepemudaan dan olahraga sebagai wakil desa di tingkat kecamatan dan kabupaten/ kota ( FORMI)</v>
      </c>
      <c r="G237" s="1344"/>
      <c r="H237" s="1344"/>
      <c r="I237" s="1347" t="e">
        <f>'Penjabaran APBDesa'!#REF!</f>
        <v>#REF!</v>
      </c>
      <c r="J237" s="1345" t="s">
        <v>1682</v>
      </c>
    </row>
    <row r="238" spans="1:10" x14ac:dyDescent="0.25">
      <c r="A238" s="32"/>
      <c r="B238" s="32"/>
      <c r="C238" s="32"/>
      <c r="D238" s="32"/>
      <c r="E238" s="32"/>
      <c r="F238" s="66" t="str">
        <f>'BID III'!B573</f>
        <v>PELATIHAN</v>
      </c>
      <c r="G238" s="32"/>
      <c r="H238" s="32"/>
      <c r="I238" s="497" t="e">
        <f>'Penjabaran APBDesa'!#REF!</f>
        <v>#REF!</v>
      </c>
      <c r="J238" s="66"/>
    </row>
    <row r="239" spans="1:10" x14ac:dyDescent="0.25">
      <c r="A239" s="32"/>
      <c r="B239" s="32"/>
      <c r="C239" s="32"/>
      <c r="D239" s="32"/>
      <c r="E239" s="32"/>
      <c r="F239" s="66" t="str">
        <f>'BID III'!B574</f>
        <v>Belanja Barang Dan Jasa :</v>
      </c>
      <c r="G239" s="32"/>
      <c r="H239" s="32"/>
      <c r="I239" s="497" t="e">
        <f>I237</f>
        <v>#REF!</v>
      </c>
      <c r="J239" s="66"/>
    </row>
    <row r="240" spans="1:10" ht="240" x14ac:dyDescent="0.25">
      <c r="A240" s="1344">
        <v>3</v>
      </c>
      <c r="B240" s="1344">
        <v>3</v>
      </c>
      <c r="C240" s="1346" t="s">
        <v>2702</v>
      </c>
      <c r="D240" s="1344"/>
      <c r="E240" s="1344"/>
      <c r="F240" s="1345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G240" s="1344"/>
      <c r="H240" s="1344"/>
      <c r="I240" s="1347">
        <f>'Penjabaran APBDesa'!K862</f>
        <v>50681940</v>
      </c>
      <c r="J240" s="1345" t="s">
        <v>2627</v>
      </c>
    </row>
    <row r="241" spans="1:10" x14ac:dyDescent="0.25">
      <c r="A241" s="32"/>
      <c r="B241" s="32"/>
      <c r="C241" s="32"/>
      <c r="D241" s="32">
        <v>5</v>
      </c>
      <c r="E241" s="32">
        <v>2</v>
      </c>
      <c r="F241" s="66" t="str">
        <f>'BID III'!B639</f>
        <v>Belanja Barang Jasa</v>
      </c>
      <c r="G241" s="32"/>
      <c r="H241" s="32"/>
      <c r="I241" s="497">
        <f>'Penjabaran APBDesa'!K863</f>
        <v>0</v>
      </c>
      <c r="J241" s="66"/>
    </row>
    <row r="242" spans="1:10" ht="75" x14ac:dyDescent="0.25">
      <c r="A242" s="1344"/>
      <c r="B242" s="1344"/>
      <c r="C242" s="1344"/>
      <c r="D242" s="1344"/>
      <c r="E242" s="1344"/>
      <c r="F242" s="1345" t="str">
        <f>'BID III'!B726</f>
        <v>: Penyelenggaraan festival/ lomba kepemudaan dan olahraga tingat Desa (FORMI DESA )</v>
      </c>
      <c r="G242" s="1344"/>
      <c r="H242" s="1344"/>
      <c r="I242" s="1347" t="e">
        <f>'Penjabaran APBDesa'!#REF!</f>
        <v>#REF!</v>
      </c>
      <c r="J242" s="1345" t="s">
        <v>1682</v>
      </c>
    </row>
    <row r="243" spans="1:10" x14ac:dyDescent="0.25">
      <c r="A243" s="32"/>
      <c r="B243" s="32"/>
      <c r="C243" s="32"/>
      <c r="D243" s="32"/>
      <c r="E243" s="32"/>
      <c r="F243" s="66" t="str">
        <f>'BID III'!B732</f>
        <v>Belanja Barang Jasa</v>
      </c>
      <c r="G243" s="32"/>
      <c r="H243" s="32"/>
      <c r="I243" s="497" t="e">
        <f>I242</f>
        <v>#REF!</v>
      </c>
      <c r="J243" s="66"/>
    </row>
    <row r="244" spans="1:10" ht="30" x14ac:dyDescent="0.25">
      <c r="A244" s="1344">
        <v>3</v>
      </c>
      <c r="B244" s="1344">
        <v>3</v>
      </c>
      <c r="C244" s="1346" t="s">
        <v>2705</v>
      </c>
      <c r="D244" s="1344"/>
      <c r="E244" s="1344"/>
      <c r="F244" s="1345" t="str">
        <f>'BID III'!B827</f>
        <v>: Pembinaan Karang Taruna</v>
      </c>
      <c r="G244" s="1344"/>
      <c r="H244" s="1344"/>
      <c r="I244" s="1347">
        <f>'Penjabaran APBDesa'!K893</f>
        <v>29662000</v>
      </c>
      <c r="J244" s="1345"/>
    </row>
    <row r="245" spans="1:10" x14ac:dyDescent="0.25">
      <c r="A245" s="32"/>
      <c r="B245" s="32"/>
      <c r="C245" s="32"/>
      <c r="D245" s="32">
        <v>5</v>
      </c>
      <c r="E245" s="32">
        <v>2</v>
      </c>
      <c r="F245" s="66" t="str">
        <f>'BID III'!B833</f>
        <v>Belanja Barang Jasa</v>
      </c>
      <c r="G245" s="32"/>
      <c r="H245" s="32"/>
      <c r="I245" s="497">
        <f>I244</f>
        <v>29662000</v>
      </c>
      <c r="J245" s="66"/>
    </row>
    <row r="246" spans="1:10" ht="45" x14ac:dyDescent="0.25">
      <c r="A246" s="1344">
        <v>3</v>
      </c>
      <c r="B246" s="1344">
        <v>3</v>
      </c>
      <c r="C246" s="1344">
        <v>90</v>
      </c>
      <c r="D246" s="1344"/>
      <c r="E246" s="1344"/>
      <c r="F246" s="1345" t="str">
        <f>'BID III'!B864</f>
        <v>: Penunjang Kegiatan Ekonomi Produktif untuk Sekeha Teruna (BKK Kota)</v>
      </c>
      <c r="G246" s="1344"/>
      <c r="H246" s="1344"/>
      <c r="I246" s="1347">
        <f>'Penjabaran APBDesa'!K904</f>
        <v>210000000</v>
      </c>
      <c r="J246" s="1345" t="s">
        <v>2159</v>
      </c>
    </row>
    <row r="247" spans="1:10" x14ac:dyDescent="0.25">
      <c r="A247" s="32"/>
      <c r="B247" s="32"/>
      <c r="C247" s="32"/>
      <c r="D247" s="32">
        <v>5</v>
      </c>
      <c r="E247" s="32">
        <v>2</v>
      </c>
      <c r="F247" s="66" t="str">
        <f>'BID III'!B869</f>
        <v>Belanja Barang Jasa</v>
      </c>
      <c r="G247" s="32"/>
      <c r="H247" s="32"/>
      <c r="I247" s="497">
        <f>I246</f>
        <v>210000000</v>
      </c>
      <c r="J247" s="66"/>
    </row>
    <row r="248" spans="1:10" ht="60" x14ac:dyDescent="0.25">
      <c r="A248" s="1344">
        <v>3</v>
      </c>
      <c r="B248" s="1344">
        <v>4</v>
      </c>
      <c r="C248" s="1346" t="s">
        <v>2702</v>
      </c>
      <c r="D248" s="1344"/>
      <c r="E248" s="1344"/>
      <c r="F248" s="1345" t="str">
        <f>'BID III'!B887</f>
        <v>: Pelatihan Pembinaan Lembaga Kemasyarakatan (Bulan bakti Gotong royong LPM)</v>
      </c>
      <c r="G248" s="1344"/>
      <c r="H248" s="1344"/>
      <c r="I248" s="1347">
        <f>'Penjabaran APBDesa'!K908</f>
        <v>49987120</v>
      </c>
      <c r="J248" s="1345" t="s">
        <v>1682</v>
      </c>
    </row>
    <row r="249" spans="1:10" x14ac:dyDescent="0.25">
      <c r="A249" s="32"/>
      <c r="B249" s="32"/>
      <c r="C249" s="32"/>
      <c r="D249" s="32">
        <v>5</v>
      </c>
      <c r="E249" s="32">
        <v>2</v>
      </c>
      <c r="F249" s="66" t="str">
        <f>'BID III'!B893</f>
        <v>Belanja Barang  Dan Jasa</v>
      </c>
      <c r="G249" s="32"/>
      <c r="H249" s="32"/>
      <c r="I249" s="497">
        <f>I248</f>
        <v>49987120</v>
      </c>
      <c r="J249" s="66"/>
    </row>
    <row r="250" spans="1:10" ht="30" x14ac:dyDescent="0.25">
      <c r="A250" s="1344">
        <v>3</v>
      </c>
      <c r="B250" s="1344">
        <v>4</v>
      </c>
      <c r="C250" s="1346" t="s">
        <v>2702</v>
      </c>
      <c r="D250" s="1344"/>
      <c r="E250" s="1344"/>
      <c r="F250" s="1345" t="str">
        <f>'BID III'!B959</f>
        <v>: Pembinaan LKMD / LPM / LPMD (Pelatihan LPM)</v>
      </c>
      <c r="G250" s="1344"/>
      <c r="H250" s="1344"/>
      <c r="I250" s="1347">
        <f>'Penjabaran APBDesa'!K935</f>
        <v>1205000</v>
      </c>
      <c r="J250" s="1345" t="s">
        <v>1682</v>
      </c>
    </row>
    <row r="251" spans="1:10" x14ac:dyDescent="0.25">
      <c r="A251" s="32"/>
      <c r="B251" s="32"/>
      <c r="C251" s="32"/>
      <c r="D251" s="32">
        <v>5</v>
      </c>
      <c r="E251" s="32">
        <v>2</v>
      </c>
      <c r="F251" s="66" t="str">
        <f>'BID III'!B965</f>
        <v>Belanja Barang Dan Jasa</v>
      </c>
      <c r="G251" s="32"/>
      <c r="H251" s="32"/>
      <c r="I251" s="497">
        <f>I250</f>
        <v>1205000</v>
      </c>
      <c r="J251" s="66"/>
    </row>
    <row r="252" spans="1:10" ht="30" x14ac:dyDescent="0.25">
      <c r="A252" s="1344">
        <v>3</v>
      </c>
      <c r="B252" s="1344">
        <v>4</v>
      </c>
      <c r="C252" s="1346" t="s">
        <v>2703</v>
      </c>
      <c r="D252" s="1344"/>
      <c r="E252" s="1344"/>
      <c r="F252" s="1345" t="str">
        <f>'BID III'!B992</f>
        <v>: Pembinaan PKK  ( Pembinaan administrasi )</v>
      </c>
      <c r="G252" s="1344"/>
      <c r="H252" s="1344"/>
      <c r="I252" s="1347">
        <f>'Penjabaran APBDesa'!K943</f>
        <v>11877000</v>
      </c>
      <c r="J252" s="1345" t="s">
        <v>1682</v>
      </c>
    </row>
    <row r="253" spans="1:10" x14ac:dyDescent="0.25">
      <c r="A253" s="32"/>
      <c r="B253" s="32"/>
      <c r="C253" s="32"/>
      <c r="D253" s="32">
        <v>5</v>
      </c>
      <c r="E253" s="32">
        <v>2</v>
      </c>
      <c r="F253" s="66" t="str">
        <f>'BID III'!B997</f>
        <v>Belanja Barang Jasa</v>
      </c>
      <c r="G253" s="32"/>
      <c r="H253" s="32"/>
      <c r="I253" s="497">
        <f>I252</f>
        <v>11877000</v>
      </c>
      <c r="J253" s="66"/>
    </row>
    <row r="254" spans="1:10" ht="45" x14ac:dyDescent="0.25">
      <c r="A254" s="1344">
        <v>3</v>
      </c>
      <c r="B254" s="1344">
        <v>4</v>
      </c>
      <c r="C254" s="1346" t="s">
        <v>2704</v>
      </c>
      <c r="D254" s="1344"/>
      <c r="E254" s="1344"/>
      <c r="F254" s="1345" t="str">
        <f>'BID III'!B1027</f>
        <v>:Pelatihan Pembinaan Lembaga Kemasyarakatan (Input data  Dasawisma)</v>
      </c>
      <c r="G254" s="1344"/>
      <c r="H254" s="1344"/>
      <c r="I254" s="1347">
        <f>'Penjabaran APBDesa'!K952</f>
        <v>15190000</v>
      </c>
      <c r="J254" s="1345" t="s">
        <v>1682</v>
      </c>
    </row>
    <row r="255" spans="1:10" x14ac:dyDescent="0.25">
      <c r="A255" s="32"/>
      <c r="B255" s="32"/>
      <c r="C255" s="32"/>
      <c r="D255" s="32">
        <v>5</v>
      </c>
      <c r="E255" s="32">
        <v>2</v>
      </c>
      <c r="F255" s="66" t="str">
        <f>'BID III'!B1032</f>
        <v>Belanja Barang Jasa</v>
      </c>
      <c r="G255" s="32"/>
      <c r="H255" s="32"/>
      <c r="I255" s="497">
        <f>I254</f>
        <v>15190000</v>
      </c>
      <c r="J255" s="66"/>
    </row>
    <row r="256" spans="1:10" ht="30" x14ac:dyDescent="0.25">
      <c r="A256" s="1342">
        <v>4</v>
      </c>
      <c r="B256" s="1342"/>
      <c r="C256" s="1342"/>
      <c r="D256" s="1342"/>
      <c r="E256" s="1342"/>
      <c r="F256" s="1343" t="str">
        <f>'BID IV'!B7</f>
        <v>: Pemberdayaan Masyarakat Desa</v>
      </c>
      <c r="G256" s="1342"/>
      <c r="H256" s="1342"/>
      <c r="I256" s="1356">
        <f>'Penjabaran APBDesa'!K960</f>
        <v>200240296</v>
      </c>
      <c r="J256" s="1343"/>
    </row>
    <row r="257" spans="1:10" ht="30" x14ac:dyDescent="0.25">
      <c r="A257" s="1344">
        <v>4</v>
      </c>
      <c r="B257" s="1344">
        <v>2</v>
      </c>
      <c r="C257" s="1346" t="s">
        <v>2688</v>
      </c>
      <c r="D257" s="1344"/>
      <c r="E257" s="1344"/>
      <c r="F257" s="1345" t="str">
        <f>'BID IV'!B9</f>
        <v>: (Ketahanan Pangan) Pelatihan Budidaya Jamur</v>
      </c>
      <c r="G257" s="1344"/>
      <c r="H257" s="1344"/>
      <c r="I257" s="1347">
        <f>'Penjabaran APBDesa'!K961</f>
        <v>12945000</v>
      </c>
      <c r="J257" s="1345" t="s">
        <v>2387</v>
      </c>
    </row>
    <row r="258" spans="1:10" x14ac:dyDescent="0.25">
      <c r="A258" s="32"/>
      <c r="B258" s="32"/>
      <c r="C258" s="32"/>
      <c r="D258" s="32">
        <v>5</v>
      </c>
      <c r="E258" s="32">
        <v>2</v>
      </c>
      <c r="F258" s="66" t="str">
        <f>'BID IV'!B14</f>
        <v>Belanja Barang Dan Jasa</v>
      </c>
      <c r="G258" s="32"/>
      <c r="H258" s="32"/>
      <c r="I258" s="497">
        <f>I257</f>
        <v>12945000</v>
      </c>
      <c r="J258" s="66"/>
    </row>
    <row r="259" spans="1:10" ht="60" x14ac:dyDescent="0.25">
      <c r="A259" s="1344">
        <v>4</v>
      </c>
      <c r="B259" s="1344">
        <v>2</v>
      </c>
      <c r="C259" s="1346" t="s">
        <v>2688</v>
      </c>
      <c r="D259" s="1344"/>
      <c r="E259" s="1344"/>
      <c r="F259" s="1345" t="str">
        <f>'BID IV'!B56</f>
        <v>: Ketahanan Pangan ( Holti Kultural Budidaya Bawang Merah Dari Benih)</v>
      </c>
      <c r="G259" s="1344"/>
      <c r="H259" s="1344"/>
      <c r="I259" s="1347">
        <f>'Penjabaran APBDesa'!K972</f>
        <v>50037000</v>
      </c>
      <c r="J259" s="1345" t="s">
        <v>1682</v>
      </c>
    </row>
    <row r="260" spans="1:10" x14ac:dyDescent="0.25">
      <c r="A260" s="32"/>
      <c r="B260" s="32"/>
      <c r="C260" s="32"/>
      <c r="D260" s="32">
        <v>5</v>
      </c>
      <c r="E260" s="32">
        <v>2</v>
      </c>
      <c r="F260" s="66" t="str">
        <f>'BID IV'!B61</f>
        <v>Belanja Barang Dan Jasa</v>
      </c>
      <c r="G260" s="32"/>
      <c r="H260" s="32"/>
      <c r="I260" s="497">
        <f>I259</f>
        <v>50037000</v>
      </c>
      <c r="J260" s="66"/>
    </row>
    <row r="261" spans="1:10" ht="75" x14ac:dyDescent="0.25">
      <c r="A261" s="1344">
        <v>4</v>
      </c>
      <c r="B261" s="1344">
        <v>2</v>
      </c>
      <c r="C261" s="1346" t="s">
        <v>2703</v>
      </c>
      <c r="D261" s="1344"/>
      <c r="E261" s="1344"/>
      <c r="F261" s="1345" t="str">
        <f>'BID IV'!B117</f>
        <v>: Penguatan Ketahanan Pangan Tingkat Desa ( Peningkatan ketersediaan Bibit/benih tanaman pangan)</v>
      </c>
      <c r="G261" s="1344"/>
      <c r="H261" s="1344"/>
      <c r="I261" s="1347">
        <f>'Penjabaran APBDesa'!K983</f>
        <v>23430000</v>
      </c>
      <c r="J261" s="1345" t="s">
        <v>2387</v>
      </c>
    </row>
    <row r="262" spans="1:10" x14ac:dyDescent="0.25">
      <c r="A262" s="32"/>
      <c r="B262" s="32"/>
      <c r="C262" s="32"/>
      <c r="D262" s="32">
        <v>5</v>
      </c>
      <c r="E262" s="32">
        <v>2</v>
      </c>
      <c r="F262" s="66" t="str">
        <f>'BID IV'!B124</f>
        <v>Belanja Barang Dan Jasa</v>
      </c>
      <c r="G262" s="32"/>
      <c r="H262" s="32"/>
      <c r="I262" s="497">
        <f>I261</f>
        <v>23430000</v>
      </c>
      <c r="J262" s="66"/>
    </row>
    <row r="263" spans="1:10" ht="60" x14ac:dyDescent="0.25">
      <c r="A263" s="1344">
        <v>4</v>
      </c>
      <c r="B263" s="1344">
        <v>3</v>
      </c>
      <c r="C263" s="1346" t="s">
        <v>2702</v>
      </c>
      <c r="D263" s="1344"/>
      <c r="E263" s="1344"/>
      <c r="F263" s="1345" t="str">
        <f>'BID IV'!B187</f>
        <v>: Pelatihan Tim Verifikasi dan penyusunan RKP ( Pelatihan Penysunan RKPDes)</v>
      </c>
      <c r="G263" s="1344"/>
      <c r="H263" s="1344"/>
      <c r="I263" s="1347">
        <f>'Penjabaran APBDesa'!K991</f>
        <v>1235000</v>
      </c>
      <c r="J263" s="1345" t="s">
        <v>1682</v>
      </c>
    </row>
    <row r="264" spans="1:10" x14ac:dyDescent="0.25">
      <c r="A264" s="32"/>
      <c r="B264" s="32"/>
      <c r="C264" s="32"/>
      <c r="D264" s="32">
        <v>5</v>
      </c>
      <c r="E264" s="32">
        <v>2</v>
      </c>
      <c r="F264" s="66" t="str">
        <f>'BID IV'!B193</f>
        <v>Belanja Barang dan Jasa</v>
      </c>
      <c r="G264" s="32"/>
      <c r="H264" s="32"/>
      <c r="I264" s="497">
        <f>I263</f>
        <v>1235000</v>
      </c>
      <c r="J264" s="66"/>
    </row>
    <row r="265" spans="1:10" ht="30" x14ac:dyDescent="0.25">
      <c r="A265" s="1344">
        <v>4</v>
      </c>
      <c r="B265" s="1344">
        <v>3</v>
      </c>
      <c r="C265" s="1346" t="s">
        <v>2702</v>
      </c>
      <c r="D265" s="1344"/>
      <c r="E265" s="1344"/>
      <c r="F265" s="1345" t="str">
        <f>'BID IV'!B226</f>
        <v>: Pelatihan Perangkat Desa</v>
      </c>
      <c r="G265" s="1344"/>
      <c r="H265" s="1344"/>
      <c r="I265" s="1347">
        <f>'Penjabaran APBDesa'!K999</f>
        <v>43110000</v>
      </c>
      <c r="J265" s="1345" t="s">
        <v>1690</v>
      </c>
    </row>
    <row r="266" spans="1:10" x14ac:dyDescent="0.25">
      <c r="A266" s="32"/>
      <c r="B266" s="32"/>
      <c r="C266" s="32"/>
      <c r="D266" s="32">
        <v>5</v>
      </c>
      <c r="E266" s="32">
        <v>2</v>
      </c>
      <c r="F266" s="66" t="str">
        <f>'BID IV'!B231</f>
        <v>Belanja Barang Dan Jasa</v>
      </c>
      <c r="G266" s="32"/>
      <c r="H266" s="32"/>
      <c r="I266" s="497">
        <f>I265</f>
        <v>43110000</v>
      </c>
      <c r="J266" s="66"/>
    </row>
    <row r="267" spans="1:10" ht="30" x14ac:dyDescent="0.25">
      <c r="A267" s="1344">
        <v>2</v>
      </c>
      <c r="B267" s="1344">
        <v>3</v>
      </c>
      <c r="C267" s="1346" t="s">
        <v>2703</v>
      </c>
      <c r="D267" s="1344"/>
      <c r="E267" s="1344"/>
      <c r="F267" s="1345" t="str">
        <f>'BID IV'!B266</f>
        <v>: Peningkatan Kapasitas BPD</v>
      </c>
      <c r="G267" s="1344"/>
      <c r="H267" s="1344"/>
      <c r="I267" s="1347">
        <f>'Penjabaran APBDesa'!K1008</f>
        <v>19120000</v>
      </c>
      <c r="J267" s="1345" t="s">
        <v>1690</v>
      </c>
    </row>
    <row r="268" spans="1:10" x14ac:dyDescent="0.25">
      <c r="A268" s="32"/>
      <c r="B268" s="32"/>
      <c r="C268" s="32"/>
      <c r="D268" s="32">
        <v>5</v>
      </c>
      <c r="E268" s="32">
        <v>2</v>
      </c>
      <c r="F268" s="66" t="str">
        <f>'BID IV'!B271</f>
        <v>Belanja Barang dan Jasa</v>
      </c>
      <c r="G268" s="32"/>
      <c r="H268" s="32"/>
      <c r="I268" s="497">
        <f>I267</f>
        <v>19120000</v>
      </c>
      <c r="J268" s="66"/>
    </row>
    <row r="269" spans="1:10" ht="30" x14ac:dyDescent="0.25">
      <c r="A269" s="1344">
        <v>4</v>
      </c>
      <c r="B269" s="1344">
        <v>3</v>
      </c>
      <c r="C269" s="1346" t="s">
        <v>2702</v>
      </c>
      <c r="D269" s="1344"/>
      <c r="E269" s="1344"/>
      <c r="F269" s="1345" t="str">
        <f>'BID IV'!B306</f>
        <v>: Pelatihan PKPKD, PPKD dan TPK</v>
      </c>
      <c r="G269" s="1344"/>
      <c r="H269" s="1344"/>
      <c r="I269" s="1347">
        <f>'Penjabaran APBDesa'!K1018</f>
        <v>1655000</v>
      </c>
      <c r="J269" s="1345" t="s">
        <v>2627</v>
      </c>
    </row>
    <row r="270" spans="1:10" x14ac:dyDescent="0.25">
      <c r="A270" s="32"/>
      <c r="B270" s="32"/>
      <c r="C270" s="32"/>
      <c r="D270" s="32">
        <v>5</v>
      </c>
      <c r="E270" s="32">
        <v>2</v>
      </c>
      <c r="F270" s="66" t="str">
        <f>'BID IV'!B312</f>
        <v>Belanja Barang dan Jasa</v>
      </c>
      <c r="G270" s="32"/>
      <c r="H270" s="32"/>
      <c r="I270" s="497">
        <f>I269</f>
        <v>1655000</v>
      </c>
      <c r="J270" s="66"/>
    </row>
    <row r="271" spans="1:10" ht="60" x14ac:dyDescent="0.25">
      <c r="A271" s="1344">
        <v>4</v>
      </c>
      <c r="B271" s="1344">
        <v>4</v>
      </c>
      <c r="C271" s="1346" t="s">
        <v>2688</v>
      </c>
      <c r="D271" s="1344"/>
      <c r="E271" s="1344"/>
      <c r="F271" s="1345" t="str">
        <f>'BID IV'!B344</f>
        <v>:Pelatihan/Penyuluhan Pemberdayaan Perempuan (Pembinaan Kelompok P2WKSS)</v>
      </c>
      <c r="G271" s="1344"/>
      <c r="H271" s="1344"/>
      <c r="I271" s="1347">
        <f>'Penjabaran APBDesa'!K1026</f>
        <v>1227000</v>
      </c>
      <c r="J271" s="1345" t="s">
        <v>2626</v>
      </c>
    </row>
    <row r="272" spans="1:10" x14ac:dyDescent="0.25">
      <c r="A272" s="32"/>
      <c r="B272" s="32"/>
      <c r="C272" s="32"/>
      <c r="D272" s="32">
        <v>5</v>
      </c>
      <c r="E272" s="32">
        <v>2</v>
      </c>
      <c r="F272" s="66" t="str">
        <f>'BID IV'!B350</f>
        <v>Belanja Barang Jasa</v>
      </c>
      <c r="G272" s="32"/>
      <c r="H272" s="32"/>
      <c r="I272" s="497">
        <f>I271</f>
        <v>1227000</v>
      </c>
      <c r="J272" s="66"/>
    </row>
    <row r="273" spans="1:10" ht="90" x14ac:dyDescent="0.25">
      <c r="A273" s="1344">
        <v>4</v>
      </c>
      <c r="B273" s="1344">
        <v>6</v>
      </c>
      <c r="C273" s="1346" t="s">
        <v>2702</v>
      </c>
      <c r="D273" s="1344"/>
      <c r="E273" s="1344"/>
      <c r="F273" s="1345" t="str">
        <f>'BID IV'!B381</f>
        <v>: Pengembangan sarana dan prasarana usaha mikro, kecil dan menengah serta koprasi  (Pelatihan Management BUMDes)</v>
      </c>
      <c r="G273" s="1344"/>
      <c r="H273" s="1344"/>
      <c r="I273" s="1347">
        <f>'Penjabaran APBDesa'!K1035</f>
        <v>1205000</v>
      </c>
      <c r="J273" s="1345" t="s">
        <v>1682</v>
      </c>
    </row>
    <row r="274" spans="1:10" x14ac:dyDescent="0.25">
      <c r="A274" s="32"/>
      <c r="B274" s="32"/>
      <c r="C274" s="32"/>
      <c r="D274" s="32">
        <v>5</v>
      </c>
      <c r="E274" s="32">
        <v>2</v>
      </c>
      <c r="F274" s="66" t="str">
        <f>'BID IV'!B387</f>
        <v>Belanja Barang Dan Jasa</v>
      </c>
      <c r="G274" s="32"/>
      <c r="H274" s="32"/>
      <c r="I274" s="497">
        <f>I273</f>
        <v>1205000</v>
      </c>
      <c r="J274" s="66"/>
    </row>
    <row r="275" spans="1:10" ht="90" x14ac:dyDescent="0.25">
      <c r="A275" s="1344">
        <v>4</v>
      </c>
      <c r="B275" s="1344">
        <v>7</v>
      </c>
      <c r="C275" s="1346" t="s">
        <v>2704</v>
      </c>
      <c r="D275" s="1344"/>
      <c r="E275" s="1344"/>
      <c r="F275" s="1345" t="str">
        <f>'BID IV'!B417</f>
        <v>: Pelatihan Kelompok Usahan Ekonomi Produktif (Kelompok Pengerajin Lampion "Dewata Janur Desa Penatih Dangin Puri)</v>
      </c>
      <c r="G275" s="1344"/>
      <c r="H275" s="1344"/>
      <c r="I275" s="1347">
        <f>'Penjabaran APBDesa'!K1043</f>
        <v>46276296</v>
      </c>
      <c r="J275" s="1345" t="s">
        <v>2387</v>
      </c>
    </row>
    <row r="276" spans="1:10" x14ac:dyDescent="0.25">
      <c r="A276" s="32"/>
      <c r="B276" s="32"/>
      <c r="C276" s="32"/>
      <c r="D276" s="32">
        <v>5</v>
      </c>
      <c r="E276" s="32">
        <v>2</v>
      </c>
      <c r="F276" s="66" t="str">
        <f>'BID IV'!B423</f>
        <v>Belanja Barang Dan Jasa</v>
      </c>
      <c r="G276" s="32"/>
      <c r="H276" s="32"/>
      <c r="I276" s="497">
        <f>I275</f>
        <v>46276296</v>
      </c>
      <c r="J276" s="66"/>
    </row>
    <row r="277" spans="1:10" ht="30" x14ac:dyDescent="0.25">
      <c r="A277" s="1342">
        <v>5</v>
      </c>
      <c r="B277" s="1342"/>
      <c r="C277" s="1342"/>
      <c r="D277" s="1342"/>
      <c r="E277" s="1342"/>
      <c r="F277" s="1343" t="str">
        <f>'BID V'!B5</f>
        <v>: Tanggap Darurat Bencana</v>
      </c>
      <c r="G277" s="1342"/>
      <c r="H277" s="1342"/>
      <c r="I277" s="1356">
        <f>'Penjabaran APBDesa'!K1053</f>
        <v>151200000</v>
      </c>
      <c r="J277" s="1343"/>
    </row>
    <row r="278" spans="1:10" x14ac:dyDescent="0.25">
      <c r="A278" s="1344">
        <v>5</v>
      </c>
      <c r="B278" s="1344">
        <v>3</v>
      </c>
      <c r="C278" s="1344"/>
      <c r="D278" s="1344"/>
      <c r="E278" s="1344"/>
      <c r="F278" s="1345" t="str">
        <f>'BID V'!B6</f>
        <v>: Keadaan Mendesak</v>
      </c>
      <c r="G278" s="1344"/>
      <c r="H278" s="1344"/>
      <c r="I278" s="1347"/>
      <c r="J278" s="1345"/>
    </row>
    <row r="279" spans="1:10" ht="45" x14ac:dyDescent="0.25">
      <c r="A279" s="1344">
        <v>5</v>
      </c>
      <c r="B279" s="1344">
        <v>3</v>
      </c>
      <c r="C279" s="1346" t="s">
        <v>2721</v>
      </c>
      <c r="D279" s="1344"/>
      <c r="E279" s="1344"/>
      <c r="F279" s="1345" t="str">
        <f>'BID V'!B7</f>
        <v xml:space="preserve"> Penanggulangan Keadaan Mendesak Pemberian BLT</v>
      </c>
      <c r="G279" s="1344"/>
      <c r="H279" s="1344"/>
      <c r="I279" s="1347">
        <f>'Penjabaran APBDesa'!K1055</f>
        <v>151200000</v>
      </c>
      <c r="J279" s="1345" t="s">
        <v>2387</v>
      </c>
    </row>
    <row r="280" spans="1:10" x14ac:dyDescent="0.25">
      <c r="A280" s="32"/>
      <c r="B280" s="32"/>
      <c r="C280" s="32"/>
      <c r="D280" s="32">
        <v>5</v>
      </c>
      <c r="E280" s="32">
        <v>4</v>
      </c>
      <c r="F280" s="66" t="str">
        <f>'BID V'!B13</f>
        <v>Belanja Tak Terduga</v>
      </c>
      <c r="G280" s="32"/>
      <c r="H280" s="32"/>
      <c r="I280" s="497">
        <f>I279</f>
        <v>151200000</v>
      </c>
      <c r="J280" s="66"/>
    </row>
    <row r="281" spans="1:10" x14ac:dyDescent="0.25">
      <c r="A281" s="32"/>
      <c r="B281" s="32"/>
      <c r="C281" s="32"/>
      <c r="D281" s="32"/>
      <c r="E281" s="32"/>
      <c r="F281" s="66"/>
      <c r="G281" s="32"/>
      <c r="H281" s="32"/>
      <c r="I281" s="497"/>
      <c r="J281" s="66"/>
    </row>
    <row r="282" spans="1:10" x14ac:dyDescent="0.25">
      <c r="A282" s="32"/>
      <c r="B282" s="32"/>
      <c r="C282" s="32"/>
      <c r="D282" s="32"/>
      <c r="E282" s="32"/>
      <c r="F282" s="66" t="s">
        <v>2722</v>
      </c>
      <c r="G282" s="32"/>
      <c r="H282" s="32"/>
      <c r="I282" s="497">
        <f>'Penjabaran APBDesa'!K1062</f>
        <v>8952901364.9300003</v>
      </c>
      <c r="J282" s="66"/>
    </row>
    <row r="283" spans="1:10" x14ac:dyDescent="0.25">
      <c r="A283" s="32"/>
      <c r="B283" s="32"/>
      <c r="C283" s="32"/>
      <c r="D283" s="32"/>
      <c r="E283" s="32"/>
      <c r="F283" s="66" t="s">
        <v>2723</v>
      </c>
      <c r="G283" s="32"/>
      <c r="H283" s="32"/>
      <c r="I283" s="497">
        <f>'Penjabaran APBDesa'!K1063</f>
        <v>-1519256532.9300003</v>
      </c>
      <c r="J283" s="66"/>
    </row>
    <row r="284" spans="1:10" x14ac:dyDescent="0.25">
      <c r="A284" s="32"/>
      <c r="B284" s="32"/>
      <c r="C284" s="32"/>
      <c r="D284" s="32"/>
      <c r="E284" s="32"/>
      <c r="F284" s="850"/>
      <c r="G284" s="32"/>
      <c r="H284" s="32"/>
      <c r="I284" s="497">
        <f>'Penjabaran APBDesa'!K1064</f>
        <v>0</v>
      </c>
      <c r="J284" s="66"/>
    </row>
    <row r="285" spans="1:10" x14ac:dyDescent="0.25">
      <c r="A285" s="32"/>
      <c r="B285" s="32"/>
      <c r="C285" s="32"/>
      <c r="D285" s="32"/>
      <c r="E285" s="32"/>
      <c r="F285" s="66"/>
      <c r="G285" s="32"/>
      <c r="H285" s="32"/>
      <c r="I285" s="497">
        <f>'Penjabaran APBDesa'!K1065</f>
        <v>0</v>
      </c>
      <c r="J285" s="66"/>
    </row>
    <row r="286" spans="1:10" x14ac:dyDescent="0.25">
      <c r="A286" s="32"/>
      <c r="B286" s="32"/>
      <c r="C286" s="32"/>
      <c r="D286" s="32">
        <v>6</v>
      </c>
      <c r="E286" s="32"/>
      <c r="F286" s="66" t="s">
        <v>2724</v>
      </c>
      <c r="G286" s="32"/>
      <c r="H286" s="32"/>
      <c r="I286" s="497">
        <f>'Penjabaran APBDesa'!K1066</f>
        <v>0</v>
      </c>
      <c r="J286" s="66"/>
    </row>
    <row r="287" spans="1:10" x14ac:dyDescent="0.25">
      <c r="A287" s="32"/>
      <c r="B287" s="32"/>
      <c r="C287" s="32"/>
      <c r="D287" s="32">
        <v>6</v>
      </c>
      <c r="E287" s="32">
        <v>1</v>
      </c>
      <c r="F287" s="66" t="s">
        <v>2725</v>
      </c>
      <c r="G287" s="32"/>
      <c r="H287" s="32"/>
      <c r="I287" s="497">
        <f>'Penjabaran APBDesa'!K1069</f>
        <v>1519256532.9300001</v>
      </c>
      <c r="J287" s="66"/>
    </row>
    <row r="288" spans="1:10" x14ac:dyDescent="0.25">
      <c r="A288" s="32"/>
      <c r="B288" s="32"/>
      <c r="C288" s="32"/>
      <c r="D288" s="32"/>
      <c r="E288" s="32"/>
      <c r="F288" s="66"/>
      <c r="G288" s="32"/>
      <c r="H288" s="32"/>
      <c r="I288" s="497">
        <f>'Penjabaran APBDesa'!K1070</f>
        <v>0</v>
      </c>
      <c r="J288" s="66"/>
    </row>
    <row r="289" spans="1:10" x14ac:dyDescent="0.25">
      <c r="A289" s="32"/>
      <c r="B289" s="32"/>
      <c r="C289" s="32"/>
      <c r="D289" s="32">
        <v>6</v>
      </c>
      <c r="E289" s="32">
        <v>2</v>
      </c>
      <c r="F289" s="66" t="s">
        <v>2727</v>
      </c>
      <c r="G289" s="32"/>
      <c r="H289" s="32"/>
      <c r="I289" s="497">
        <f>'Penjabaran APBDesa'!K1071</f>
        <v>0</v>
      </c>
      <c r="J289" s="66"/>
    </row>
    <row r="290" spans="1:10" x14ac:dyDescent="0.25">
      <c r="A290" s="32"/>
      <c r="B290" s="32"/>
      <c r="C290" s="32"/>
      <c r="D290" s="32">
        <v>6</v>
      </c>
      <c r="E290" s="32">
        <v>2</v>
      </c>
      <c r="F290" s="66" t="s">
        <v>2728</v>
      </c>
      <c r="G290" s="32"/>
      <c r="H290" s="32"/>
      <c r="I290" s="497">
        <f>'Penjabaran APBDesa'!K1072</f>
        <v>0</v>
      </c>
      <c r="J290" s="66"/>
    </row>
    <row r="291" spans="1:10" x14ac:dyDescent="0.25">
      <c r="A291" s="32"/>
      <c r="B291" s="32"/>
      <c r="C291" s="32"/>
      <c r="D291" s="32">
        <v>6</v>
      </c>
      <c r="E291" s="32">
        <v>2</v>
      </c>
      <c r="F291" s="66" t="s">
        <v>2728</v>
      </c>
      <c r="G291" s="32"/>
      <c r="H291" s="32"/>
      <c r="I291" s="497">
        <f>'Penjabaran APBDesa'!K1073</f>
        <v>0</v>
      </c>
      <c r="J291" s="66"/>
    </row>
    <row r="292" spans="1:10" x14ac:dyDescent="0.25">
      <c r="A292" s="32"/>
      <c r="B292" s="32"/>
      <c r="C292" s="32"/>
      <c r="D292" s="32"/>
      <c r="E292" s="32"/>
      <c r="F292" s="66"/>
      <c r="G292" s="32"/>
      <c r="H292" s="32"/>
      <c r="I292" s="497">
        <f>'Penjabaran APBDesa'!K1074</f>
        <v>0</v>
      </c>
      <c r="J292" s="66"/>
    </row>
    <row r="293" spans="1:10" ht="15.75" thickBot="1" x14ac:dyDescent="0.3">
      <c r="A293" s="32"/>
      <c r="B293" s="32"/>
      <c r="C293" s="32" t="s">
        <v>2729</v>
      </c>
      <c r="D293" s="32"/>
      <c r="E293" s="32"/>
      <c r="F293" s="848"/>
      <c r="G293" s="32"/>
      <c r="H293" s="32"/>
      <c r="I293" s="497">
        <f>'Penjabaran APBDesa'!K1075</f>
        <v>0</v>
      </c>
      <c r="J293" s="66"/>
    </row>
    <row r="294" spans="1:10" ht="15.75" thickBot="1" x14ac:dyDescent="0.3">
      <c r="A294" s="32"/>
      <c r="B294" s="32"/>
      <c r="C294" s="32"/>
      <c r="D294" s="32"/>
      <c r="E294" s="32"/>
      <c r="F294" s="1355" t="s">
        <v>2730</v>
      </c>
      <c r="G294" s="32"/>
      <c r="H294" s="32"/>
      <c r="I294" s="497">
        <f>'Penjabaran APBDesa'!K1076</f>
        <v>1519256532.9300001</v>
      </c>
      <c r="J294" s="66"/>
    </row>
  </sheetData>
  <autoFilter ref="A37:I280" xr:uid="{00000000-0009-0000-0000-000008000000}"/>
  <mergeCells count="11">
    <mergeCell ref="A26:C26"/>
    <mergeCell ref="D26:E26"/>
    <mergeCell ref="A10:H10"/>
    <mergeCell ref="A20:J20"/>
    <mergeCell ref="A21:J21"/>
    <mergeCell ref="A22:J22"/>
    <mergeCell ref="A24:E25"/>
    <mergeCell ref="F24:F25"/>
    <mergeCell ref="G24:H24"/>
    <mergeCell ref="I24:I25"/>
    <mergeCell ref="J24:J2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O142"/>
  <sheetViews>
    <sheetView topLeftCell="A9" zoomScale="70" zoomScaleNormal="70" workbookViewId="0">
      <pane ySplit="1695" topLeftCell="A132" activePane="bottomLeft"/>
      <selection activeCell="B11" sqref="B11"/>
      <selection pane="bottomLeft" activeCell="E135" sqref="E135"/>
    </sheetView>
  </sheetViews>
  <sheetFormatPr defaultRowHeight="15" x14ac:dyDescent="0.25"/>
  <cols>
    <col min="1" max="1" width="13.7109375" customWidth="1"/>
    <col min="2" max="2" width="24.140625" style="86" customWidth="1"/>
    <col min="3" max="3" width="4.42578125" customWidth="1"/>
    <col min="4" max="4" width="29.5703125" style="86" customWidth="1"/>
    <col min="5" max="5" width="51.8554687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style="451" customWidth="1"/>
    <col min="13" max="13" width="12.85546875" style="506" customWidth="1"/>
    <col min="14" max="14" width="27.42578125" customWidth="1"/>
    <col min="15" max="15" width="21.5703125" customWidth="1"/>
  </cols>
  <sheetData>
    <row r="1" spans="1:15" s="111" customFormat="1" ht="29.25" customHeight="1" x14ac:dyDescent="0.25">
      <c r="A1" s="2079" t="s">
        <v>1336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110"/>
    </row>
    <row r="2" spans="1:15" s="111" customFormat="1" ht="23.25" customHeight="1" x14ac:dyDescent="0.25">
      <c r="A2" s="2079" t="s">
        <v>1912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110"/>
    </row>
    <row r="3" spans="1:15" s="111" customFormat="1" ht="15.75" x14ac:dyDescent="0.25">
      <c r="B3" s="112"/>
      <c r="D3" s="112"/>
      <c r="H3" s="112"/>
      <c r="J3" s="113"/>
      <c r="L3" s="380"/>
      <c r="M3" s="846"/>
      <c r="O3" s="110"/>
    </row>
    <row r="4" spans="1:15" s="111" customFormat="1" ht="31.5" x14ac:dyDescent="0.25">
      <c r="A4" s="111" t="s">
        <v>1337</v>
      </c>
      <c r="B4" s="112" t="s">
        <v>1338</v>
      </c>
      <c r="D4" s="112"/>
      <c r="H4" s="112"/>
      <c r="J4" s="113"/>
      <c r="L4" s="380"/>
      <c r="M4" s="846"/>
      <c r="O4" s="110"/>
    </row>
    <row r="5" spans="1:15" s="111" customFormat="1" ht="31.5" x14ac:dyDescent="0.25">
      <c r="A5" s="111" t="s">
        <v>1339</v>
      </c>
      <c r="B5" s="112" t="s">
        <v>1340</v>
      </c>
      <c r="D5" s="112"/>
      <c r="H5" s="112"/>
      <c r="J5" s="113"/>
      <c r="L5" s="380"/>
      <c r="M5" s="846"/>
      <c r="O5" s="110"/>
    </row>
    <row r="6" spans="1:15" s="111" customFormat="1" ht="15.75" x14ac:dyDescent="0.25">
      <c r="A6" s="111" t="s">
        <v>1341</v>
      </c>
      <c r="B6" s="112" t="s">
        <v>1342</v>
      </c>
      <c r="D6" s="112"/>
      <c r="H6" s="112"/>
      <c r="J6" s="113"/>
      <c r="L6" s="380"/>
      <c r="M6" s="846"/>
      <c r="O6" s="110"/>
    </row>
    <row r="7" spans="1:15" s="111" customFormat="1" ht="15.75" x14ac:dyDescent="0.25">
      <c r="A7" s="111" t="s">
        <v>1343</v>
      </c>
      <c r="B7" s="112" t="s">
        <v>1344</v>
      </c>
      <c r="D7" s="112"/>
      <c r="H7" s="112"/>
      <c r="J7" s="113"/>
      <c r="L7" s="380"/>
      <c r="M7" s="846"/>
      <c r="O7" s="110"/>
    </row>
    <row r="8" spans="1:15" s="111" customFormat="1" ht="15.75" x14ac:dyDescent="0.25">
      <c r="B8" s="112"/>
      <c r="D8" s="112"/>
      <c r="H8" s="112"/>
      <c r="J8" s="113"/>
      <c r="L8" s="380"/>
      <c r="M8" s="846"/>
      <c r="O8" s="110"/>
    </row>
    <row r="9" spans="1:15" s="111" customFormat="1" ht="72.75" customHeight="1" x14ac:dyDescent="0.25">
      <c r="A9" s="114" t="s">
        <v>1295</v>
      </c>
      <c r="B9" s="2080" t="s">
        <v>1345</v>
      </c>
      <c r="C9" s="2080"/>
      <c r="D9" s="2080"/>
      <c r="E9" s="115" t="s">
        <v>1346</v>
      </c>
      <c r="F9" s="115" t="s">
        <v>1347</v>
      </c>
      <c r="G9" s="115" t="s">
        <v>2188</v>
      </c>
      <c r="H9" s="115" t="s">
        <v>1348</v>
      </c>
      <c r="I9" s="115" t="s">
        <v>1349</v>
      </c>
      <c r="J9" s="115" t="s">
        <v>1350</v>
      </c>
      <c r="K9" s="115" t="s">
        <v>464</v>
      </c>
      <c r="L9" s="2081" t="s">
        <v>1351</v>
      </c>
      <c r="M9" s="2081"/>
      <c r="N9" s="2081" t="s">
        <v>1352</v>
      </c>
      <c r="O9" s="2078" t="s">
        <v>1353</v>
      </c>
    </row>
    <row r="10" spans="1:15" s="111" customFormat="1" ht="15.75" x14ac:dyDescent="0.25">
      <c r="A10" s="116"/>
      <c r="B10" s="118" t="s">
        <v>1354</v>
      </c>
      <c r="C10" s="117"/>
      <c r="D10" s="118" t="s">
        <v>521</v>
      </c>
      <c r="E10" s="116"/>
      <c r="F10" s="116"/>
      <c r="G10" s="116"/>
      <c r="H10" s="121"/>
      <c r="I10" s="116"/>
      <c r="J10" s="119"/>
      <c r="K10" s="116"/>
      <c r="L10" s="381" t="s">
        <v>1356</v>
      </c>
      <c r="M10" s="117" t="s">
        <v>1357</v>
      </c>
      <c r="N10" s="2081"/>
      <c r="O10" s="2078"/>
    </row>
    <row r="11" spans="1:15" s="111" customFormat="1" ht="18" customHeight="1" x14ac:dyDescent="0.25">
      <c r="A11" s="117" t="s">
        <v>1358</v>
      </c>
      <c r="B11" s="118" t="s">
        <v>1359</v>
      </c>
      <c r="C11" s="117" t="s">
        <v>1360</v>
      </c>
      <c r="D11" s="118" t="s">
        <v>1361</v>
      </c>
      <c r="E11" s="117" t="s">
        <v>1362</v>
      </c>
      <c r="F11" s="117" t="s">
        <v>1363</v>
      </c>
      <c r="G11" s="117" t="s">
        <v>1364</v>
      </c>
      <c r="H11" s="118" t="s">
        <v>1365</v>
      </c>
      <c r="I11" s="117" t="s">
        <v>1366</v>
      </c>
      <c r="J11" s="114" t="s">
        <v>1367</v>
      </c>
      <c r="K11" s="117" t="s">
        <v>1368</v>
      </c>
      <c r="L11" s="381" t="s">
        <v>1369</v>
      </c>
      <c r="M11" s="117" t="s">
        <v>539</v>
      </c>
      <c r="N11" s="117" t="s">
        <v>1370</v>
      </c>
      <c r="O11" s="110" t="s">
        <v>1371</v>
      </c>
    </row>
    <row r="12" spans="1:15" ht="60" x14ac:dyDescent="0.25">
      <c r="A12" s="32">
        <v>1</v>
      </c>
      <c r="B12" s="66" t="str">
        <f>'BID I'!B5</f>
        <v>: Penyelenggaraan Pemerintahan Desa</v>
      </c>
      <c r="C12" s="267">
        <v>1</v>
      </c>
      <c r="D12" s="66" t="str">
        <f>'BID I'!B7</f>
        <v>: Penyediaan Penghasilan tetap dan Tunjangan Perbekel</v>
      </c>
      <c r="E12" s="32" t="s">
        <v>2215</v>
      </c>
      <c r="F12" s="66" t="s">
        <v>2187</v>
      </c>
      <c r="G12" s="984">
        <v>1</v>
      </c>
      <c r="H12" s="66" t="s">
        <v>1373</v>
      </c>
      <c r="I12" s="32" t="s">
        <v>2189</v>
      </c>
      <c r="J12" s="32" t="s">
        <v>2190</v>
      </c>
      <c r="K12" s="32" t="s">
        <v>295</v>
      </c>
      <c r="L12" s="470">
        <f>'BID I'!F20</f>
        <v>159920000</v>
      </c>
      <c r="M12" s="268" t="s">
        <v>1375</v>
      </c>
      <c r="N12" s="268" t="s">
        <v>1376</v>
      </c>
    </row>
    <row r="13" spans="1:15" ht="60" x14ac:dyDescent="0.25">
      <c r="A13" s="32"/>
      <c r="B13" s="66"/>
      <c r="C13" s="267">
        <v>2</v>
      </c>
      <c r="D13" s="66" t="str">
        <f>'BID I'!B35</f>
        <v>: Penyediaan Penghasilan tetap dan Tunjangan Perangkat Desa</v>
      </c>
      <c r="E13" s="32" t="s">
        <v>2215</v>
      </c>
      <c r="F13" s="66" t="s">
        <v>2191</v>
      </c>
      <c r="G13" s="984">
        <v>1</v>
      </c>
      <c r="H13" s="66" t="s">
        <v>1373</v>
      </c>
      <c r="I13" s="32" t="s">
        <v>2189</v>
      </c>
      <c r="J13" s="32" t="s">
        <v>2192</v>
      </c>
      <c r="K13" s="32" t="s">
        <v>295</v>
      </c>
      <c r="L13" s="470">
        <f>'BID I'!F60</f>
        <v>939625760</v>
      </c>
      <c r="M13" s="268" t="s">
        <v>1375</v>
      </c>
      <c r="N13" s="268" t="s">
        <v>1376</v>
      </c>
    </row>
    <row r="14" spans="1:15" ht="60" x14ac:dyDescent="0.25">
      <c r="A14" s="32"/>
      <c r="B14" s="66"/>
      <c r="C14" s="267">
        <v>3</v>
      </c>
      <c r="D14" s="66" t="str">
        <f>'BID I'!B76</f>
        <v>Penyediaan Jaminan Kesehatan dan Ketenaga Kerjaan Bagi Perbekel dan Perangkat Desa</v>
      </c>
      <c r="E14" s="32" t="s">
        <v>2215</v>
      </c>
      <c r="F14" s="66" t="s">
        <v>2193</v>
      </c>
      <c r="G14" s="984">
        <v>1</v>
      </c>
      <c r="H14" s="66" t="s">
        <v>1373</v>
      </c>
      <c r="I14" s="32" t="s">
        <v>1374</v>
      </c>
      <c r="J14" s="32" t="s">
        <v>2194</v>
      </c>
      <c r="K14" s="32" t="s">
        <v>295</v>
      </c>
      <c r="L14" s="470">
        <f>'BID I'!F94</f>
        <v>70001760</v>
      </c>
      <c r="M14" s="268" t="s">
        <v>1375</v>
      </c>
      <c r="N14" s="268" t="s">
        <v>1376</v>
      </c>
    </row>
    <row r="15" spans="1:15" ht="60" x14ac:dyDescent="0.25">
      <c r="A15" s="32"/>
      <c r="B15" s="66"/>
      <c r="C15" s="267">
        <v>4</v>
      </c>
      <c r="D15" s="66" t="str">
        <f>'BID I'!B110</f>
        <v>: Penyediaan Operasional Pemerintah Desa</v>
      </c>
      <c r="E15" s="32" t="s">
        <v>2215</v>
      </c>
      <c r="F15" s="66" t="s">
        <v>2195</v>
      </c>
      <c r="G15" s="984">
        <v>1</v>
      </c>
      <c r="H15" s="66" t="s">
        <v>1373</v>
      </c>
      <c r="I15" s="32"/>
      <c r="J15" s="32"/>
      <c r="K15" s="32"/>
      <c r="L15" s="470">
        <f>'BID I'!F277</f>
        <v>486652349</v>
      </c>
      <c r="M15" s="268" t="s">
        <v>1375</v>
      </c>
      <c r="N15" s="268" t="s">
        <v>1376</v>
      </c>
    </row>
    <row r="16" spans="1:15" ht="60" x14ac:dyDescent="0.25">
      <c r="A16" s="32"/>
      <c r="B16" s="66"/>
      <c r="C16" s="267">
        <v>5</v>
      </c>
      <c r="D16" s="66" t="str">
        <f>'BID I'!B293</f>
        <v>: Penyediaan Oprasional Pemerinthanan Desa ( Kegiatan Rapat - Rapat)</v>
      </c>
      <c r="E16" s="32" t="s">
        <v>2215</v>
      </c>
      <c r="F16" s="124" t="s">
        <v>1405</v>
      </c>
      <c r="G16" s="984">
        <v>1</v>
      </c>
      <c r="H16" s="66" t="s">
        <v>1373</v>
      </c>
      <c r="I16" s="125" t="s">
        <v>1374</v>
      </c>
      <c r="J16" s="126" t="s">
        <v>2196</v>
      </c>
      <c r="K16" s="1037" t="s">
        <v>2197</v>
      </c>
      <c r="L16" s="470">
        <f>'BID I'!F308</f>
        <v>25560000</v>
      </c>
      <c r="M16" s="268" t="s">
        <v>1375</v>
      </c>
      <c r="N16" s="268" t="s">
        <v>1376</v>
      </c>
    </row>
    <row r="17" spans="1:14" ht="47.25" x14ac:dyDescent="0.25">
      <c r="A17" s="32"/>
      <c r="B17" s="66"/>
      <c r="C17" s="267">
        <v>6</v>
      </c>
      <c r="D17" s="66" t="str">
        <f>'BID I'!B323</f>
        <v>: Penyediaan tunjangan BPD</v>
      </c>
      <c r="E17" s="32" t="s">
        <v>2215</v>
      </c>
      <c r="F17" s="124" t="s">
        <v>1406</v>
      </c>
      <c r="G17" s="1038">
        <v>1</v>
      </c>
      <c r="H17" s="124" t="s">
        <v>1373</v>
      </c>
      <c r="I17" s="125" t="s">
        <v>1374</v>
      </c>
      <c r="J17" s="126" t="s">
        <v>2198</v>
      </c>
      <c r="K17" s="1037" t="s">
        <v>2197</v>
      </c>
      <c r="L17" s="470">
        <f>'BID I'!F349</f>
        <v>410200000</v>
      </c>
      <c r="M17" s="268" t="s">
        <v>1375</v>
      </c>
      <c r="N17" s="268" t="s">
        <v>1376</v>
      </c>
    </row>
    <row r="18" spans="1:14" ht="47.25" x14ac:dyDescent="0.25">
      <c r="A18" s="32"/>
      <c r="B18" s="66"/>
      <c r="C18" s="267">
        <v>7</v>
      </c>
      <c r="D18" s="66" t="str">
        <f>'BID I'!B365</f>
        <v>: Penyediaan Operasional BPD</v>
      </c>
      <c r="E18" s="32" t="s">
        <v>2215</v>
      </c>
      <c r="F18" s="124" t="s">
        <v>1407</v>
      </c>
      <c r="G18" s="1038">
        <v>1</v>
      </c>
      <c r="H18" s="124" t="s">
        <v>1373</v>
      </c>
      <c r="I18" s="125" t="s">
        <v>1408</v>
      </c>
      <c r="J18" s="126" t="s">
        <v>2199</v>
      </c>
      <c r="K18" s="1037" t="s">
        <v>2197</v>
      </c>
      <c r="L18" s="470">
        <f>'BID I'!F390</f>
        <v>15999000</v>
      </c>
      <c r="M18" s="268" t="s">
        <v>1375</v>
      </c>
      <c r="N18" s="268" t="s">
        <v>1376</v>
      </c>
    </row>
    <row r="19" spans="1:14" ht="63" x14ac:dyDescent="0.25">
      <c r="A19" s="32"/>
      <c r="B19" s="66"/>
      <c r="C19" s="267">
        <v>8</v>
      </c>
      <c r="D19" s="66" t="str">
        <f>'BID I'!B406</f>
        <v>: Penyediaan Operasional BPD (Musyawarah BPD)</v>
      </c>
      <c r="E19" s="32" t="s">
        <v>2215</v>
      </c>
      <c r="F19" s="124" t="s">
        <v>1409</v>
      </c>
      <c r="G19" s="1038">
        <v>1</v>
      </c>
      <c r="H19" s="124" t="s">
        <v>1373</v>
      </c>
      <c r="I19" s="125" t="s">
        <v>1410</v>
      </c>
      <c r="J19" s="126" t="s">
        <v>2200</v>
      </c>
      <c r="K19" s="1037" t="s">
        <v>2197</v>
      </c>
      <c r="L19" s="470">
        <f>'BID I'!F429</f>
        <v>12400000</v>
      </c>
      <c r="M19" s="268" t="s">
        <v>1375</v>
      </c>
      <c r="N19" s="268" t="s">
        <v>1376</v>
      </c>
    </row>
    <row r="20" spans="1:14" ht="42.75" customHeight="1" x14ac:dyDescent="0.25">
      <c r="A20" s="32"/>
      <c r="B20" s="66"/>
      <c r="C20" s="267">
        <v>9</v>
      </c>
      <c r="D20" s="66" t="str">
        <f>'BID I'!B444</f>
        <v>: Penyediaan Operasional BPD (Rapat FKAKD)</v>
      </c>
      <c r="E20" s="32" t="s">
        <v>2215</v>
      </c>
      <c r="F20" s="32"/>
      <c r="G20" s="984"/>
      <c r="H20" s="66"/>
      <c r="I20" s="32"/>
      <c r="J20" s="32"/>
      <c r="K20" s="32"/>
      <c r="L20" s="470">
        <f>'BID I'!F465</f>
        <v>6685000</v>
      </c>
      <c r="M20" s="268"/>
      <c r="N20" s="268"/>
    </row>
    <row r="21" spans="1:14" ht="47.25" x14ac:dyDescent="0.25">
      <c r="A21" s="32"/>
      <c r="B21" s="66"/>
      <c r="C21" s="267">
        <v>10</v>
      </c>
      <c r="D21" s="66" t="str">
        <f>'BID I'!B479</f>
        <v xml:space="preserve">: Penyediaan Penghasilan Staf Desa </v>
      </c>
      <c r="E21" s="32" t="s">
        <v>2215</v>
      </c>
      <c r="F21" s="124" t="s">
        <v>1411</v>
      </c>
      <c r="G21" s="1038">
        <v>1</v>
      </c>
      <c r="H21" s="124" t="s">
        <v>1373</v>
      </c>
      <c r="I21" s="125" t="s">
        <v>1412</v>
      </c>
      <c r="J21" s="126" t="s">
        <v>2208</v>
      </c>
      <c r="K21" s="1037" t="s">
        <v>2197</v>
      </c>
      <c r="L21" s="470">
        <f>'BID I'!F495</f>
        <v>482054400</v>
      </c>
      <c r="M21" s="268" t="s">
        <v>1375</v>
      </c>
      <c r="N21" s="268" t="s">
        <v>1376</v>
      </c>
    </row>
    <row r="22" spans="1:14" ht="63" x14ac:dyDescent="0.25">
      <c r="A22" s="32"/>
      <c r="B22" s="66"/>
      <c r="C22" s="267">
        <v>11</v>
      </c>
      <c r="D22" s="66" t="str">
        <f>'BID I'!B510</f>
        <v>Penjaringan dan Penyaringan Perangkat Desa/Staf</v>
      </c>
      <c r="E22" s="32" t="s">
        <v>2215</v>
      </c>
      <c r="F22" s="124" t="s">
        <v>1630</v>
      </c>
      <c r="G22" s="1038">
        <v>1</v>
      </c>
      <c r="H22" s="124" t="s">
        <v>1373</v>
      </c>
      <c r="I22" s="125" t="s">
        <v>1417</v>
      </c>
      <c r="J22" s="126" t="s">
        <v>2201</v>
      </c>
      <c r="K22" s="1037" t="s">
        <v>2197</v>
      </c>
      <c r="L22" s="470">
        <f>'BID I'!F538</f>
        <v>6699000</v>
      </c>
      <c r="M22" s="268" t="s">
        <v>1375</v>
      </c>
      <c r="N22" s="268" t="s">
        <v>1376</v>
      </c>
    </row>
    <row r="23" spans="1:14" ht="60" x14ac:dyDescent="0.25">
      <c r="A23" s="32"/>
      <c r="B23" s="66"/>
      <c r="C23" s="267">
        <v>12</v>
      </c>
      <c r="D23" s="66" t="str">
        <f>'BID I'!B552</f>
        <v>Penyedian Jaminan Keshatan dan ketenagakerjaan BPD</v>
      </c>
      <c r="E23" s="32" t="s">
        <v>2215</v>
      </c>
      <c r="F23" s="124" t="s">
        <v>1406</v>
      </c>
      <c r="G23" s="984">
        <v>1</v>
      </c>
      <c r="H23" s="66" t="s">
        <v>1373</v>
      </c>
      <c r="I23" s="32" t="s">
        <v>2209</v>
      </c>
      <c r="J23" s="32" t="s">
        <v>2210</v>
      </c>
      <c r="K23" s="1037" t="s">
        <v>2197</v>
      </c>
      <c r="L23" s="470">
        <f>'BID I'!F570</f>
        <v>36717720</v>
      </c>
      <c r="M23" s="268"/>
      <c r="N23" s="268"/>
    </row>
    <row r="24" spans="1:14" ht="60" x14ac:dyDescent="0.25">
      <c r="A24" s="32"/>
      <c r="B24" s="66"/>
      <c r="C24" s="267">
        <v>13</v>
      </c>
      <c r="D24" s="66" t="str">
        <f>'BID I'!B584</f>
        <v>Penyedian Jaminan Keshatan dan ketenagakerjaan Staf Desa</v>
      </c>
      <c r="E24" s="32" t="s">
        <v>2215</v>
      </c>
      <c r="F24" s="124" t="s">
        <v>1411</v>
      </c>
      <c r="G24" s="984">
        <v>1</v>
      </c>
      <c r="H24" s="66" t="s">
        <v>1373</v>
      </c>
      <c r="I24" s="32" t="s">
        <v>2209</v>
      </c>
      <c r="J24" s="32" t="s">
        <v>2212</v>
      </c>
      <c r="K24" s="1037" t="s">
        <v>2197</v>
      </c>
      <c r="L24" s="470">
        <f>'BID I'!F606</f>
        <v>24226512</v>
      </c>
      <c r="M24" s="268"/>
      <c r="N24" s="268"/>
    </row>
    <row r="25" spans="1:14" ht="60" x14ac:dyDescent="0.25">
      <c r="A25" s="32"/>
      <c r="B25" s="66"/>
      <c r="C25" s="267">
        <v>14</v>
      </c>
      <c r="D25" s="66" t="str">
        <f>'BID I'!B620</f>
        <v>Penyedian Jaminan Ketenagakerjaan Ekosistem Desa</v>
      </c>
      <c r="E25" s="32" t="s">
        <v>2215</v>
      </c>
      <c r="F25" s="124" t="s">
        <v>2213</v>
      </c>
      <c r="G25" s="984">
        <v>1</v>
      </c>
      <c r="H25" s="66" t="s">
        <v>1373</v>
      </c>
      <c r="I25" s="32" t="s">
        <v>2189</v>
      </c>
      <c r="J25" s="32" t="s">
        <v>2214</v>
      </c>
      <c r="K25" s="32" t="s">
        <v>295</v>
      </c>
      <c r="L25" s="470">
        <f>'BID I'!F642</f>
        <v>42537600</v>
      </c>
      <c r="M25" s="268"/>
      <c r="N25" s="268"/>
    </row>
    <row r="26" spans="1:14" ht="47.25" x14ac:dyDescent="0.25">
      <c r="A26" s="32"/>
      <c r="B26" s="66"/>
      <c r="C26" s="267">
        <v>15</v>
      </c>
      <c r="D26" s="66" t="str">
        <f>'BID I'!B657</f>
        <v>: Penyediaan Kegiatan Sosial Desa</v>
      </c>
      <c r="E26" s="32" t="s">
        <v>2215</v>
      </c>
      <c r="F26" s="124" t="s">
        <v>1413</v>
      </c>
      <c r="G26" s="1038">
        <v>1</v>
      </c>
      <c r="H26" s="124" t="s">
        <v>1373</v>
      </c>
      <c r="I26" s="125" t="s">
        <v>1374</v>
      </c>
      <c r="J26" s="126" t="s">
        <v>2202</v>
      </c>
      <c r="K26" s="1037" t="s">
        <v>2197</v>
      </c>
      <c r="L26" s="470">
        <f>'BID I'!F674</f>
        <v>34032000</v>
      </c>
      <c r="M26" s="268" t="s">
        <v>1375</v>
      </c>
      <c r="N26" s="268" t="s">
        <v>1376</v>
      </c>
    </row>
    <row r="27" spans="1:14" ht="47.25" x14ac:dyDescent="0.25">
      <c r="A27" s="32"/>
      <c r="B27" s="66"/>
      <c r="C27" s="267">
        <v>16</v>
      </c>
      <c r="D27" s="66" t="str">
        <f>'BID I'!B689</f>
        <v>: Administrasi Bank</v>
      </c>
      <c r="E27" s="32" t="s">
        <v>2215</v>
      </c>
      <c r="F27" s="124" t="s">
        <v>1413</v>
      </c>
      <c r="G27" s="1038">
        <v>1</v>
      </c>
      <c r="H27" s="124" t="s">
        <v>1373</v>
      </c>
      <c r="I27" s="125" t="s">
        <v>1374</v>
      </c>
      <c r="J27" s="126" t="s">
        <v>2203</v>
      </c>
      <c r="K27" s="1037" t="s">
        <v>2197</v>
      </c>
      <c r="L27" s="470">
        <f>'BID I'!F700</f>
        <v>0</v>
      </c>
      <c r="M27" s="268" t="s">
        <v>1375</v>
      </c>
      <c r="N27" s="268" t="s">
        <v>1376</v>
      </c>
    </row>
    <row r="28" spans="1:14" ht="47.25" x14ac:dyDescent="0.25">
      <c r="A28" s="32"/>
      <c r="B28" s="66"/>
      <c r="C28" s="267">
        <v>17</v>
      </c>
      <c r="D28" s="66" t="str">
        <f>'BID I'!B716</f>
        <v>: Tambahan  Penghasilan Perbekel dari BKK</v>
      </c>
      <c r="E28" s="32" t="s">
        <v>2215</v>
      </c>
      <c r="F28" s="124" t="s">
        <v>1372</v>
      </c>
      <c r="G28" s="1038">
        <v>1</v>
      </c>
      <c r="H28" s="124" t="s">
        <v>1373</v>
      </c>
      <c r="I28" s="125" t="s">
        <v>1374</v>
      </c>
      <c r="J28" s="126" t="s">
        <v>2201</v>
      </c>
      <c r="K28" s="1037" t="s">
        <v>2197</v>
      </c>
      <c r="L28" s="470">
        <f>'BID I'!F728</f>
        <v>22500000</v>
      </c>
      <c r="M28" s="268" t="s">
        <v>1375</v>
      </c>
      <c r="N28" s="268" t="s">
        <v>1376</v>
      </c>
    </row>
    <row r="29" spans="1:14" ht="47.25" x14ac:dyDescent="0.25">
      <c r="A29" s="32"/>
      <c r="B29" s="66"/>
      <c r="C29" s="267">
        <v>18</v>
      </c>
      <c r="D29" s="66" t="str">
        <f>'BID I'!B742</f>
        <v>: Tambahan  Penghasilan Perangkat Desa dari BKK</v>
      </c>
      <c r="E29" s="32" t="s">
        <v>2215</v>
      </c>
      <c r="F29" s="124" t="s">
        <v>1402</v>
      </c>
      <c r="G29" s="1038">
        <v>1</v>
      </c>
      <c r="H29" s="124" t="s">
        <v>1373</v>
      </c>
      <c r="I29" s="125" t="s">
        <v>1374</v>
      </c>
      <c r="J29" s="126" t="s">
        <v>2204</v>
      </c>
      <c r="K29" s="1037" t="s">
        <v>2197</v>
      </c>
      <c r="L29" s="470">
        <f>'BID I'!F763</f>
        <v>70500000</v>
      </c>
      <c r="M29" s="268" t="s">
        <v>1375</v>
      </c>
      <c r="N29" s="268" t="s">
        <v>1376</v>
      </c>
    </row>
    <row r="30" spans="1:14" ht="47.25" x14ac:dyDescent="0.25">
      <c r="A30" s="32"/>
      <c r="B30" s="66"/>
      <c r="C30" s="267">
        <v>19</v>
      </c>
      <c r="D30" s="66" t="str">
        <f>'BID I'!B778</f>
        <v>: Penyediaan Aset Tetap (Prasarana Kantor Desa)</v>
      </c>
      <c r="E30" s="32" t="s">
        <v>2215</v>
      </c>
      <c r="F30" s="124" t="s">
        <v>2205</v>
      </c>
      <c r="G30" s="1038">
        <v>1</v>
      </c>
      <c r="H30" s="124" t="s">
        <v>1373</v>
      </c>
      <c r="I30" s="125" t="s">
        <v>1414</v>
      </c>
      <c r="J30" s="126" t="s">
        <v>2203</v>
      </c>
      <c r="K30" s="1037" t="s">
        <v>2197</v>
      </c>
      <c r="L30" s="470">
        <f>'BID I'!F802</f>
        <v>84962003.659999996</v>
      </c>
      <c r="M30" s="268" t="s">
        <v>1375</v>
      </c>
      <c r="N30" s="268" t="s">
        <v>1376</v>
      </c>
    </row>
    <row r="31" spans="1:14" ht="45" customHeight="1" x14ac:dyDescent="0.25">
      <c r="A31" s="32"/>
      <c r="B31" s="66"/>
      <c r="C31" s="267">
        <v>20</v>
      </c>
      <c r="D31" s="66" t="e">
        <f>'BID I'!#REF!</f>
        <v>#REF!</v>
      </c>
      <c r="E31" s="32" t="s">
        <v>2215</v>
      </c>
      <c r="F31" s="124" t="s">
        <v>2206</v>
      </c>
      <c r="G31" s="1038">
        <v>1</v>
      </c>
      <c r="H31" s="124" t="s">
        <v>1373</v>
      </c>
      <c r="I31" s="125" t="s">
        <v>1417</v>
      </c>
      <c r="J31" s="126" t="s">
        <v>2200</v>
      </c>
      <c r="K31" s="1037" t="s">
        <v>2197</v>
      </c>
      <c r="L31" s="470" t="e">
        <f>'BID I'!#REF!</f>
        <v>#REF!</v>
      </c>
      <c r="M31" s="268" t="s">
        <v>1375</v>
      </c>
      <c r="N31" s="268" t="s">
        <v>1376</v>
      </c>
    </row>
    <row r="32" spans="1:14" ht="45" customHeight="1" x14ac:dyDescent="0.25">
      <c r="A32" s="32"/>
      <c r="B32" s="66"/>
      <c r="C32" s="267">
        <v>21</v>
      </c>
      <c r="D32" s="66" t="str">
        <f>'BID I'!B853</f>
        <v xml:space="preserve">Pemeliharaan Gedung/Prasarana Kantor Desa (Pengelasan Atap Parkir) </v>
      </c>
      <c r="E32" s="32" t="s">
        <v>2215</v>
      </c>
      <c r="F32" s="124" t="s">
        <v>2420</v>
      </c>
      <c r="G32" s="1038">
        <v>1</v>
      </c>
      <c r="H32" s="124" t="s">
        <v>1373</v>
      </c>
      <c r="I32" s="125" t="s">
        <v>1417</v>
      </c>
      <c r="J32" s="126" t="s">
        <v>2200</v>
      </c>
      <c r="K32" s="1037" t="s">
        <v>2197</v>
      </c>
      <c r="L32" s="470">
        <f>'BID I'!F871</f>
        <v>22899750</v>
      </c>
      <c r="M32" s="268" t="s">
        <v>1375</v>
      </c>
      <c r="N32" s="268" t="s">
        <v>1376</v>
      </c>
    </row>
    <row r="33" spans="1:14" ht="45" customHeight="1" x14ac:dyDescent="0.25">
      <c r="A33" s="32"/>
      <c r="B33" s="66"/>
      <c r="C33" s="267">
        <v>22</v>
      </c>
      <c r="D33" s="66" t="str">
        <f>'BID I'!B884</f>
        <v>Pemeliharaan/ Rehabilitasi/ Peningkatan Gedung/ Prasarana Kantor Desa (Penataan Kebun dan Vertical Garden)</v>
      </c>
      <c r="E33" s="32" t="s">
        <v>2215</v>
      </c>
      <c r="F33" s="124" t="s">
        <v>2278</v>
      </c>
      <c r="G33" s="1038">
        <v>1</v>
      </c>
      <c r="H33" s="124" t="s">
        <v>1373</v>
      </c>
      <c r="I33" s="125" t="s">
        <v>1417</v>
      </c>
      <c r="J33" s="126" t="s">
        <v>2200</v>
      </c>
      <c r="K33" s="1037" t="s">
        <v>2197</v>
      </c>
      <c r="L33" s="470">
        <f>'BID I'!F906</f>
        <v>32007000</v>
      </c>
      <c r="M33" s="268" t="s">
        <v>1375</v>
      </c>
      <c r="N33" s="268" t="s">
        <v>1376</v>
      </c>
    </row>
    <row r="34" spans="1:14" ht="45" customHeight="1" x14ac:dyDescent="0.25">
      <c r="A34" s="32"/>
      <c r="B34" s="66"/>
      <c r="C34" s="267">
        <v>23</v>
      </c>
      <c r="D34" s="66" t="s">
        <v>2748</v>
      </c>
      <c r="E34" s="32" t="s">
        <v>2215</v>
      </c>
      <c r="F34" s="124" t="s">
        <v>2749</v>
      </c>
      <c r="G34" s="1038">
        <v>1</v>
      </c>
      <c r="H34" s="124" t="s">
        <v>1373</v>
      </c>
      <c r="I34" s="125" t="s">
        <v>1417</v>
      </c>
      <c r="J34" s="126" t="s">
        <v>2200</v>
      </c>
      <c r="K34" s="1037" t="s">
        <v>2197</v>
      </c>
      <c r="L34" s="470">
        <v>60000000</v>
      </c>
      <c r="M34" s="268" t="s">
        <v>1375</v>
      </c>
      <c r="N34" s="268" t="s">
        <v>1376</v>
      </c>
    </row>
    <row r="35" spans="1:14" ht="60" x14ac:dyDescent="0.25">
      <c r="A35" s="32"/>
      <c r="B35" s="66"/>
      <c r="C35" s="267">
        <v>24</v>
      </c>
      <c r="D35" s="66" t="str">
        <f>'BID I'!B919</f>
        <v>: Penyusunan/ Pendataan/Pemuktahiran Profil Desa (Profil Kependudukan dan potensi Desa )</v>
      </c>
      <c r="E35" s="32" t="s">
        <v>2216</v>
      </c>
      <c r="F35" s="124" t="s">
        <v>1418</v>
      </c>
      <c r="G35" s="1038">
        <v>1</v>
      </c>
      <c r="H35" s="124" t="s">
        <v>1373</v>
      </c>
      <c r="I35" s="125" t="s">
        <v>1417</v>
      </c>
      <c r="J35" s="126" t="s">
        <v>2200</v>
      </c>
      <c r="K35" s="1037" t="s">
        <v>2197</v>
      </c>
      <c r="L35" s="470">
        <f>'BID I'!F959</f>
        <v>51506000</v>
      </c>
      <c r="M35" s="268" t="s">
        <v>1375</v>
      </c>
      <c r="N35" s="268" t="s">
        <v>1376</v>
      </c>
    </row>
    <row r="36" spans="1:14" ht="47.25" x14ac:dyDescent="0.25">
      <c r="A36" s="32"/>
      <c r="B36" s="66"/>
      <c r="C36" s="267">
        <v>25</v>
      </c>
      <c r="D36" s="66" t="str">
        <f>'BID I'!B975</f>
        <v>: Pengelolaan Administrasi dan Kearsipan pemerintahan Desa ( Pelatihan )</v>
      </c>
      <c r="E36" s="32" t="s">
        <v>2216</v>
      </c>
      <c r="F36" s="123" t="s">
        <v>1419</v>
      </c>
      <c r="G36" s="1038">
        <v>1</v>
      </c>
      <c r="H36" s="124" t="s">
        <v>1373</v>
      </c>
      <c r="I36" s="125" t="s">
        <v>1417</v>
      </c>
      <c r="J36" s="126" t="s">
        <v>2200</v>
      </c>
      <c r="K36" s="1037" t="s">
        <v>2197</v>
      </c>
      <c r="L36" s="470">
        <f>'BID I'!F998</f>
        <v>910000</v>
      </c>
      <c r="M36" s="268" t="s">
        <v>1375</v>
      </c>
      <c r="N36" s="268" t="s">
        <v>1376</v>
      </c>
    </row>
    <row r="37" spans="1:14" ht="63" x14ac:dyDescent="0.25">
      <c r="A37" s="32"/>
      <c r="B37" s="66"/>
      <c r="C37" s="267">
        <v>26</v>
      </c>
      <c r="D37" s="66" t="str">
        <f>'BID I'!B1013</f>
        <v>: Pendataan Administrasi Penduduk Non Permanen (Penertiban Penduduk Pendatang dan Sidak Dialogis)</v>
      </c>
      <c r="E37" s="32" t="s">
        <v>2216</v>
      </c>
      <c r="F37" s="124" t="s">
        <v>1420</v>
      </c>
      <c r="G37" s="1038">
        <v>1</v>
      </c>
      <c r="H37" s="124" t="s">
        <v>1373</v>
      </c>
      <c r="I37" s="125" t="s">
        <v>1423</v>
      </c>
      <c r="J37" s="126" t="s">
        <v>2200</v>
      </c>
      <c r="K37" s="1037" t="s">
        <v>2197</v>
      </c>
      <c r="L37" s="470">
        <f>'BID I'!F1038</f>
        <v>41205000</v>
      </c>
      <c r="M37" s="268" t="s">
        <v>1375</v>
      </c>
      <c r="N37" s="268" t="s">
        <v>1376</v>
      </c>
    </row>
    <row r="38" spans="1:14" ht="47.25" x14ac:dyDescent="0.25">
      <c r="A38" s="32"/>
      <c r="B38" s="66"/>
      <c r="C38" s="267">
        <v>27</v>
      </c>
      <c r="D38" s="66" t="str">
        <f>'BID I'!B1054</f>
        <v>Penyelenggaraan Musyawarah Desa/ Pembahasan APBDes (Musrenbangdes)</v>
      </c>
      <c r="E38" s="32" t="s">
        <v>2216</v>
      </c>
      <c r="F38" s="124" t="s">
        <v>1413</v>
      </c>
      <c r="G38" s="1038">
        <v>1</v>
      </c>
      <c r="H38" s="124" t="s">
        <v>1373</v>
      </c>
      <c r="I38" s="125" t="s">
        <v>1377</v>
      </c>
      <c r="J38" s="126" t="s">
        <v>2200</v>
      </c>
      <c r="K38" s="1037" t="s">
        <v>2197</v>
      </c>
      <c r="L38" s="470">
        <f>'BID I'!F1082</f>
        <v>22595200</v>
      </c>
      <c r="M38" s="268" t="s">
        <v>1375</v>
      </c>
      <c r="N38" s="268" t="s">
        <v>1376</v>
      </c>
    </row>
    <row r="39" spans="1:14" ht="75" x14ac:dyDescent="0.25">
      <c r="A39" s="32"/>
      <c r="B39" s="66"/>
      <c r="C39" s="267">
        <v>28</v>
      </c>
      <c r="D39" s="66" t="str">
        <f>'BID I'!B1098</f>
        <v>Penyelenggaraan Musyawarah Desa/ Pembahasan APBDes (Musdes, Musrenbangdes/pra musrenbangdes, dll yang bersifat reguler )</v>
      </c>
      <c r="E39" s="32" t="s">
        <v>2216</v>
      </c>
      <c r="F39" s="124" t="s">
        <v>1413</v>
      </c>
      <c r="G39" s="1038">
        <v>1</v>
      </c>
      <c r="H39" s="124" t="s">
        <v>1373</v>
      </c>
      <c r="I39" s="125" t="s">
        <v>2207</v>
      </c>
      <c r="J39" s="126" t="s">
        <v>2200</v>
      </c>
      <c r="K39" s="1037" t="s">
        <v>2197</v>
      </c>
      <c r="L39" s="470">
        <f>'BID I'!F1126</f>
        <v>41416000</v>
      </c>
      <c r="M39" s="268" t="s">
        <v>1375</v>
      </c>
      <c r="N39" s="268" t="s">
        <v>1376</v>
      </c>
    </row>
    <row r="40" spans="1:14" ht="47.25" x14ac:dyDescent="0.25">
      <c r="A40" s="32"/>
      <c r="B40" s="66"/>
      <c r="C40" s="267">
        <v>29</v>
      </c>
      <c r="D40" s="66" t="str">
        <f>'BID I'!B1143</f>
        <v>: Penyelenggaraan Musyawarah Desa lainya (yang bersifat non reguler )</v>
      </c>
      <c r="E40" s="32" t="s">
        <v>2216</v>
      </c>
      <c r="F40" s="124" t="s">
        <v>1413</v>
      </c>
      <c r="G40" s="1038">
        <v>1</v>
      </c>
      <c r="H40" s="124" t="s">
        <v>1373</v>
      </c>
      <c r="I40" s="125" t="s">
        <v>1422</v>
      </c>
      <c r="J40" s="126" t="s">
        <v>2200</v>
      </c>
      <c r="K40" s="32"/>
      <c r="L40" s="470">
        <f>'BID I'!F1171</f>
        <v>41412000</v>
      </c>
      <c r="M40" s="268" t="s">
        <v>1375</v>
      </c>
      <c r="N40" s="268" t="s">
        <v>1376</v>
      </c>
    </row>
    <row r="41" spans="1:14" ht="47.25" x14ac:dyDescent="0.25">
      <c r="A41" s="32"/>
      <c r="B41" s="66"/>
      <c r="C41" s="267">
        <v>30</v>
      </c>
      <c r="D41" s="66" t="str">
        <f>'BID I'!B1219</f>
        <v>Penyusunan Dokumen Perencanaan Desa (RKP Desa 2025)</v>
      </c>
      <c r="E41" s="32" t="s">
        <v>2216</v>
      </c>
      <c r="F41" s="124" t="s">
        <v>1413</v>
      </c>
      <c r="G41" s="1038">
        <v>1</v>
      </c>
      <c r="H41" s="124" t="s">
        <v>1373</v>
      </c>
      <c r="I41" s="125" t="s">
        <v>1377</v>
      </c>
      <c r="J41" s="126" t="s">
        <v>2200</v>
      </c>
      <c r="K41" s="1037" t="s">
        <v>2197</v>
      </c>
      <c r="L41" s="470">
        <f>'BID I'!F1245</f>
        <v>25930000</v>
      </c>
      <c r="M41" s="268" t="s">
        <v>1375</v>
      </c>
      <c r="N41" s="268" t="s">
        <v>1376</v>
      </c>
    </row>
    <row r="42" spans="1:14" ht="47.25" x14ac:dyDescent="0.25">
      <c r="A42" s="32"/>
      <c r="B42" s="66"/>
      <c r="C42" s="267">
        <v>31</v>
      </c>
      <c r="D42" s="66" t="str">
        <f>'BID I'!B1260</f>
        <v>: Penyusunan dokumen keuangan Desa (APBDesa 2025 )</v>
      </c>
      <c r="E42" s="32" t="s">
        <v>2216</v>
      </c>
      <c r="F42" s="124" t="s">
        <v>1413</v>
      </c>
      <c r="G42" s="1038">
        <v>1</v>
      </c>
      <c r="H42" s="124" t="s">
        <v>1373</v>
      </c>
      <c r="I42" s="125" t="s">
        <v>1377</v>
      </c>
      <c r="J42" s="126" t="s">
        <v>2200</v>
      </c>
      <c r="K42" s="1037" t="s">
        <v>2197</v>
      </c>
      <c r="L42" s="470">
        <f>'BID I'!F1275</f>
        <v>5175000</v>
      </c>
      <c r="M42" s="268" t="s">
        <v>1375</v>
      </c>
      <c r="N42" s="268" t="s">
        <v>1376</v>
      </c>
    </row>
    <row r="43" spans="1:14" ht="63" x14ac:dyDescent="0.25">
      <c r="A43" s="32"/>
      <c r="B43" s="66"/>
      <c r="C43" s="267">
        <v>32</v>
      </c>
      <c r="D43" s="66" t="str">
        <f>'BID I'!B1291</f>
        <v>: Penyusunan dokumen keuangan Desa (APBDesa Perubahan 2024)</v>
      </c>
      <c r="E43" s="32" t="s">
        <v>2216</v>
      </c>
      <c r="F43" s="124" t="s">
        <v>1413</v>
      </c>
      <c r="G43" s="1038">
        <v>1</v>
      </c>
      <c r="H43" s="124" t="s">
        <v>1413</v>
      </c>
      <c r="I43" s="125" t="s">
        <v>1377</v>
      </c>
      <c r="J43" s="126" t="s">
        <v>2200</v>
      </c>
      <c r="K43" s="1037" t="s">
        <v>2197</v>
      </c>
      <c r="L43" s="1150">
        <f>'BID I'!F1306</f>
        <v>4805000</v>
      </c>
      <c r="M43" s="1037" t="s">
        <v>2197</v>
      </c>
      <c r="N43" s="268" t="s">
        <v>1376</v>
      </c>
    </row>
    <row r="44" spans="1:14" ht="47.25" x14ac:dyDescent="0.25">
      <c r="A44" s="32"/>
      <c r="B44" s="66"/>
      <c r="C44" s="267">
        <v>33</v>
      </c>
      <c r="D44" s="66" t="str">
        <f>'BID I'!B1321</f>
        <v>: Penyusunan dokumen keuangan Desa ( LPJ APBDesa 2023)</v>
      </c>
      <c r="E44" s="32" t="s">
        <v>2216</v>
      </c>
      <c r="F44" s="124" t="s">
        <v>1413</v>
      </c>
      <c r="G44" s="1038">
        <v>1</v>
      </c>
      <c r="H44" s="124" t="s">
        <v>1373</v>
      </c>
      <c r="I44" s="125" t="s">
        <v>1377</v>
      </c>
      <c r="J44" s="126" t="s">
        <v>2200</v>
      </c>
      <c r="K44" s="1037" t="s">
        <v>2197</v>
      </c>
      <c r="L44" s="470">
        <f>'BID I'!F1333</f>
        <v>1575000</v>
      </c>
      <c r="M44" s="268" t="s">
        <v>1375</v>
      </c>
      <c r="N44" s="268" t="s">
        <v>1376</v>
      </c>
    </row>
    <row r="45" spans="1:14" ht="60" x14ac:dyDescent="0.25">
      <c r="A45" s="32"/>
      <c r="B45" s="66"/>
      <c r="C45" s="267">
        <v>34</v>
      </c>
      <c r="D45" s="66" t="str">
        <f>'BID I'!B1349</f>
        <v>: Penyusunan laporan Kepala Desa/ Penyelenggaraan Pemerintah Desa (Laporan akhir tahun anggaran )</v>
      </c>
      <c r="E45" s="32" t="s">
        <v>2216</v>
      </c>
      <c r="F45" s="124" t="s">
        <v>1413</v>
      </c>
      <c r="G45" s="1038">
        <v>1</v>
      </c>
      <c r="H45" s="124" t="s">
        <v>1373</v>
      </c>
      <c r="I45" s="125" t="s">
        <v>1377</v>
      </c>
      <c r="J45" s="126" t="s">
        <v>2200</v>
      </c>
      <c r="K45" s="1037" t="s">
        <v>2197</v>
      </c>
      <c r="L45" s="470">
        <f>'BID I'!F1362</f>
        <v>1625000</v>
      </c>
      <c r="M45" s="268" t="s">
        <v>1375</v>
      </c>
      <c r="N45" s="268" t="s">
        <v>1376</v>
      </c>
    </row>
    <row r="46" spans="1:14" ht="48" customHeight="1" thickBot="1" x14ac:dyDescent="0.3">
      <c r="A46" s="251"/>
      <c r="B46" s="848"/>
      <c r="C46" s="267">
        <v>35</v>
      </c>
      <c r="D46" s="848" t="str">
        <f>'BID I'!B1377</f>
        <v xml:space="preserve">: Penyelenggaraan Lomba antar kewilayahan dan pengiriman kontingen dalam mengikuti Lomba Desa </v>
      </c>
      <c r="E46" s="251" t="s">
        <v>2217</v>
      </c>
      <c r="F46" s="848" t="s">
        <v>2218</v>
      </c>
      <c r="G46" s="984">
        <v>1</v>
      </c>
      <c r="H46" s="66" t="s">
        <v>1373</v>
      </c>
      <c r="I46" s="125" t="s">
        <v>1377</v>
      </c>
      <c r="J46" s="126" t="s">
        <v>2200</v>
      </c>
      <c r="K46" s="1037" t="s">
        <v>2197</v>
      </c>
      <c r="L46" s="852">
        <f>'BID I'!F1428</f>
        <v>110468445</v>
      </c>
      <c r="M46" s="268" t="s">
        <v>1375</v>
      </c>
      <c r="N46" s="268" t="s">
        <v>1376</v>
      </c>
    </row>
    <row r="47" spans="1:14" ht="15.75" thickBot="1" x14ac:dyDescent="0.3">
      <c r="A47" s="2072" t="s">
        <v>1908</v>
      </c>
      <c r="B47" s="2073"/>
      <c r="C47" s="2073"/>
      <c r="D47" s="2073"/>
      <c r="E47" s="2073"/>
      <c r="F47" s="2073"/>
      <c r="G47" s="2073"/>
      <c r="H47" s="2073"/>
      <c r="I47" s="2073"/>
      <c r="J47" s="2073"/>
      <c r="K47" s="2074"/>
      <c r="L47" s="853" t="e">
        <f>SUM(L12:L46)</f>
        <v>#REF!</v>
      </c>
      <c r="M47" s="268"/>
      <c r="N47" s="32"/>
    </row>
    <row r="48" spans="1:14" ht="75" x14ac:dyDescent="0.25">
      <c r="A48" s="849">
        <v>2</v>
      </c>
      <c r="B48" s="850" t="str">
        <f>'BID II'!B7</f>
        <v>Pelaksanaan Pembangunan Desa</v>
      </c>
      <c r="C48" s="858">
        <v>1</v>
      </c>
      <c r="D48" s="850" t="str">
        <f>'BID II'!B9</f>
        <v>Penyelenggaraan PAUD/TK/TKA/ Madrasah Non Formal Milik Desa (Pengelolaan Taman Kanak - kanak  TK Kumara Sari VI )</v>
      </c>
      <c r="E48" s="1039" t="s">
        <v>2220</v>
      </c>
      <c r="F48" s="133" t="s">
        <v>1379</v>
      </c>
      <c r="G48" s="1038">
        <v>1</v>
      </c>
      <c r="H48" s="124" t="s">
        <v>1373</v>
      </c>
      <c r="I48" s="125" t="s">
        <v>1377</v>
      </c>
      <c r="J48" s="125" t="s">
        <v>2221</v>
      </c>
      <c r="K48" s="126" t="s">
        <v>2197</v>
      </c>
      <c r="L48" s="854">
        <f>'BID II'!F144</f>
        <v>237334529.18000001</v>
      </c>
      <c r="M48" s="268" t="s">
        <v>1375</v>
      </c>
      <c r="N48" s="268" t="s">
        <v>1376</v>
      </c>
    </row>
    <row r="49" spans="1:14" ht="63" x14ac:dyDescent="0.25">
      <c r="A49" s="849"/>
      <c r="B49" s="850"/>
      <c r="C49" s="858">
        <v>2</v>
      </c>
      <c r="D49" s="850" t="str">
        <f>'BID II'!B157</f>
        <v>: Penyuluhan dan Pelatihan Pendidikan Bagi Masyarakat ( Pelatihan Bahasa Bali Untuk Anak-Anak 7-12 Th )</v>
      </c>
      <c r="E49" s="1039" t="s">
        <v>2220</v>
      </c>
      <c r="F49" s="133" t="s">
        <v>2294</v>
      </c>
      <c r="G49" s="1038">
        <v>1</v>
      </c>
      <c r="H49" s="124" t="s">
        <v>1373</v>
      </c>
      <c r="I49" s="125" t="s">
        <v>1377</v>
      </c>
      <c r="J49" s="125" t="s">
        <v>2295</v>
      </c>
      <c r="K49" s="126" t="s">
        <v>2197</v>
      </c>
      <c r="L49" s="854">
        <f>'BID II'!F176</f>
        <v>9015000</v>
      </c>
      <c r="M49" s="268" t="s">
        <v>1375</v>
      </c>
      <c r="N49" s="268" t="s">
        <v>1376</v>
      </c>
    </row>
    <row r="50" spans="1:14" ht="75" x14ac:dyDescent="0.25">
      <c r="A50" s="849"/>
      <c r="B50" s="850"/>
      <c r="C50" s="858">
        <v>3</v>
      </c>
      <c r="D50" s="850" t="str">
        <f>'BID II'!B189</f>
        <v>: Penyuluhan dan Pelatihan Pendidikan Bagi Masyarakat ( Pembinaan dan Penyelenggaraan Bunda Literasi )</v>
      </c>
      <c r="E50" s="1039" t="s">
        <v>2220</v>
      </c>
      <c r="F50" s="133" t="s">
        <v>2335</v>
      </c>
      <c r="G50" s="1038">
        <v>1</v>
      </c>
      <c r="H50" s="124" t="s">
        <v>1373</v>
      </c>
      <c r="I50" s="125" t="s">
        <v>1377</v>
      </c>
      <c r="J50" s="125" t="s">
        <v>2336</v>
      </c>
      <c r="K50" s="126" t="s">
        <v>2197</v>
      </c>
      <c r="L50" s="854">
        <f>'BID II'!F213</f>
        <v>14178000</v>
      </c>
      <c r="M50" s="268" t="s">
        <v>1375</v>
      </c>
      <c r="N50" s="268" t="s">
        <v>1376</v>
      </c>
    </row>
    <row r="51" spans="1:14" ht="45.75" customHeight="1" x14ac:dyDescent="0.25">
      <c r="A51" s="849"/>
      <c r="B51" s="850"/>
      <c r="C51" s="858">
        <v>4</v>
      </c>
      <c r="D51" s="850" t="str">
        <f>'BID II'!B226</f>
        <v>Pemeliharaan Sarana dan Prasarana TK Milik Desa (Pemagaran)</v>
      </c>
      <c r="E51" s="1039" t="s">
        <v>2220</v>
      </c>
      <c r="F51" s="133" t="s">
        <v>1506</v>
      </c>
      <c r="G51" s="1038">
        <v>1</v>
      </c>
      <c r="H51" s="124" t="s">
        <v>1373</v>
      </c>
      <c r="I51" s="125" t="s">
        <v>1377</v>
      </c>
      <c r="J51" s="125" t="s">
        <v>2221</v>
      </c>
      <c r="K51" s="126" t="s">
        <v>2197</v>
      </c>
      <c r="L51" s="854">
        <f>'BID II'!F244</f>
        <v>15269700</v>
      </c>
      <c r="M51" s="268" t="s">
        <v>1375</v>
      </c>
      <c r="N51" s="268" t="s">
        <v>1376</v>
      </c>
    </row>
    <row r="52" spans="1:14" ht="57" customHeight="1" x14ac:dyDescent="0.25">
      <c r="A52" s="849"/>
      <c r="B52" s="850"/>
      <c r="C52" s="858">
        <v>5</v>
      </c>
      <c r="D52" s="850" t="str">
        <f>'BID II'!B258</f>
        <v>Pemeliharaan Sarana dan Prasarana TK Milik Desa (Cat Tembok Dalam)</v>
      </c>
      <c r="E52" s="1039" t="s">
        <v>2220</v>
      </c>
      <c r="F52" s="133" t="s">
        <v>1506</v>
      </c>
      <c r="G52" s="1038">
        <v>1</v>
      </c>
      <c r="H52" s="124" t="s">
        <v>1373</v>
      </c>
      <c r="I52" s="125" t="s">
        <v>1377</v>
      </c>
      <c r="J52" s="125" t="s">
        <v>2221</v>
      </c>
      <c r="K52" s="126" t="s">
        <v>2197</v>
      </c>
      <c r="L52" s="854">
        <f>'BID II'!F282</f>
        <v>5532000</v>
      </c>
      <c r="M52" s="268" t="s">
        <v>1375</v>
      </c>
      <c r="N52" s="268" t="s">
        <v>1376</v>
      </c>
    </row>
    <row r="53" spans="1:14" ht="43.5" customHeight="1" x14ac:dyDescent="0.25">
      <c r="A53" s="849"/>
      <c r="B53" s="850"/>
      <c r="C53" s="858">
        <v>6</v>
      </c>
      <c r="D53" s="850" t="str">
        <f>'BID II'!B295</f>
        <v>Pemeliharaan Sarana dan Prasarana TK Milik Desa (Lapis Water Proofig)</v>
      </c>
      <c r="E53" s="1039" t="s">
        <v>2220</v>
      </c>
      <c r="F53" s="133" t="s">
        <v>1506</v>
      </c>
      <c r="G53" s="1038">
        <v>1</v>
      </c>
      <c r="H53" s="124" t="s">
        <v>1373</v>
      </c>
      <c r="I53" s="125" t="s">
        <v>1377</v>
      </c>
      <c r="J53" s="125" t="s">
        <v>2221</v>
      </c>
      <c r="K53" s="126" t="s">
        <v>2197</v>
      </c>
      <c r="L53" s="854">
        <f>'BID II'!F318</f>
        <v>21546000</v>
      </c>
      <c r="M53" s="268" t="s">
        <v>1375</v>
      </c>
      <c r="N53" s="268" t="s">
        <v>1376</v>
      </c>
    </row>
    <row r="54" spans="1:14" ht="52.5" customHeight="1" x14ac:dyDescent="0.25">
      <c r="A54" s="849"/>
      <c r="B54" s="850"/>
      <c r="C54" s="858">
        <v>7</v>
      </c>
      <c r="D54" s="850" t="str">
        <f>'BID II'!B331</f>
        <v>Pemeliharaan Sarana dan Prasarana TK Milik Desa (Cat Plafon)</v>
      </c>
      <c r="E54" s="1039" t="s">
        <v>2220</v>
      </c>
      <c r="F54" s="133" t="s">
        <v>1506</v>
      </c>
      <c r="G54" s="1038">
        <v>1</v>
      </c>
      <c r="H54" s="124" t="s">
        <v>1373</v>
      </c>
      <c r="I54" s="125" t="s">
        <v>1377</v>
      </c>
      <c r="J54" s="125" t="s">
        <v>2221</v>
      </c>
      <c r="K54" s="126" t="s">
        <v>2197</v>
      </c>
      <c r="L54" s="854">
        <f>'BID II'!F356</f>
        <v>11123000</v>
      </c>
      <c r="M54" s="268" t="s">
        <v>1375</v>
      </c>
      <c r="N54" s="268" t="s">
        <v>1376</v>
      </c>
    </row>
    <row r="55" spans="1:14" ht="52.5" customHeight="1" x14ac:dyDescent="0.25">
      <c r="A55" s="849"/>
      <c r="B55" s="850"/>
      <c r="C55" s="858">
        <v>8</v>
      </c>
      <c r="D55" s="850" t="str">
        <f>'BID II'!B370</f>
        <v>Pemeliharaan Sarana dan Prasarana TK Milik Desa (Mural)</v>
      </c>
      <c r="E55" s="1039" t="s">
        <v>2220</v>
      </c>
      <c r="F55" s="133" t="s">
        <v>1506</v>
      </c>
      <c r="G55" s="1038">
        <v>1</v>
      </c>
      <c r="H55" s="124" t="s">
        <v>1373</v>
      </c>
      <c r="I55" s="125" t="s">
        <v>1377</v>
      </c>
      <c r="J55" s="125" t="s">
        <v>2221</v>
      </c>
      <c r="K55" s="126" t="s">
        <v>2197</v>
      </c>
      <c r="L55" s="854" t="e">
        <f>'BID I'!#REF!</f>
        <v>#REF!</v>
      </c>
      <c r="M55" s="268" t="s">
        <v>1375</v>
      </c>
      <c r="N55" s="268" t="s">
        <v>1376</v>
      </c>
    </row>
    <row r="56" spans="1:14" ht="75.75" customHeight="1" x14ac:dyDescent="0.25">
      <c r="A56" s="849"/>
      <c r="B56" s="850"/>
      <c r="C56" s="858">
        <v>9</v>
      </c>
      <c r="D56" s="850" t="str">
        <f>'BID II'!B400</f>
        <v>:Peningkatan Sarana Prasarana Perpustakaan/Taman Bacaan Desa/ Sanggar Belajar Milik Desa (Perpustakaan Desa, Digital dan keliling)</v>
      </c>
      <c r="E56" s="1039" t="s">
        <v>2220</v>
      </c>
      <c r="F56" s="133" t="s">
        <v>2375</v>
      </c>
      <c r="G56" s="1038">
        <v>1</v>
      </c>
      <c r="H56" s="124" t="s">
        <v>1373</v>
      </c>
      <c r="I56" s="125" t="s">
        <v>1377</v>
      </c>
      <c r="J56" s="126" t="s">
        <v>2200</v>
      </c>
      <c r="K56" s="126" t="s">
        <v>2197</v>
      </c>
      <c r="L56" s="854">
        <f>'BID II'!F431</f>
        <v>196621400</v>
      </c>
      <c r="M56" s="268" t="s">
        <v>1375</v>
      </c>
      <c r="N56" s="268" t="s">
        <v>1376</v>
      </c>
    </row>
    <row r="57" spans="1:14" ht="47.25" x14ac:dyDescent="0.25">
      <c r="A57" s="32"/>
      <c r="B57" s="66"/>
      <c r="C57" s="858">
        <v>10</v>
      </c>
      <c r="D57" s="66" t="str">
        <f>'BID II'!B444</f>
        <v>: Penyelenggaraan Posyandu (Pemberian PMT)</v>
      </c>
      <c r="E57" s="1040">
        <v>3</v>
      </c>
      <c r="F57" s="133" t="s">
        <v>1426</v>
      </c>
      <c r="G57" s="1038">
        <v>1</v>
      </c>
      <c r="H57" s="124" t="s">
        <v>1373</v>
      </c>
      <c r="I57" s="125" t="s">
        <v>1377</v>
      </c>
      <c r="J57" s="125" t="s">
        <v>2221</v>
      </c>
      <c r="K57" s="126" t="s">
        <v>2197</v>
      </c>
      <c r="L57" s="470">
        <f>'BID II'!F483</f>
        <v>266295500</v>
      </c>
      <c r="M57" s="268" t="s">
        <v>1375</v>
      </c>
      <c r="N57" s="268" t="s">
        <v>1376</v>
      </c>
    </row>
    <row r="58" spans="1:14" ht="47.25" x14ac:dyDescent="0.25">
      <c r="A58" s="32"/>
      <c r="B58" s="66"/>
      <c r="C58" s="858">
        <v>11</v>
      </c>
      <c r="D58" s="66" t="str">
        <f>'BID II'!B496</f>
        <v>: Penyelenggaraan POSyandu (Pos Gizi dan Ibu Hamil)</v>
      </c>
      <c r="E58" s="1040">
        <v>3</v>
      </c>
      <c r="F58" s="133" t="s">
        <v>1426</v>
      </c>
      <c r="G58" s="1038">
        <v>1</v>
      </c>
      <c r="H58" s="124" t="s">
        <v>1373</v>
      </c>
      <c r="I58" s="125" t="s">
        <v>1377</v>
      </c>
      <c r="J58" s="125" t="s">
        <v>2204</v>
      </c>
      <c r="K58" s="126" t="s">
        <v>2197</v>
      </c>
      <c r="L58" s="470">
        <f>'BID II'!F518</f>
        <v>4140000</v>
      </c>
      <c r="M58" s="268" t="s">
        <v>1375</v>
      </c>
      <c r="N58" s="268" t="s">
        <v>1376</v>
      </c>
    </row>
    <row r="59" spans="1:14" ht="47.25" x14ac:dyDescent="0.25">
      <c r="A59" s="32"/>
      <c r="B59" s="66"/>
      <c r="C59" s="858">
        <v>12</v>
      </c>
      <c r="D59" s="66" t="str">
        <f>'BID II'!B531</f>
        <v>: Penyelenggaraan Posyandu Lansia (Pemberian tambahan nutrisi bagi lansia)</v>
      </c>
      <c r="E59" s="1040">
        <v>3</v>
      </c>
      <c r="F59" s="133" t="s">
        <v>1428</v>
      </c>
      <c r="G59" s="1038">
        <v>1</v>
      </c>
      <c r="H59" s="124" t="s">
        <v>1373</v>
      </c>
      <c r="I59" s="125" t="s">
        <v>2223</v>
      </c>
      <c r="J59" s="125" t="s">
        <v>2222</v>
      </c>
      <c r="K59" s="126" t="s">
        <v>2197</v>
      </c>
      <c r="L59" s="470">
        <f>'BID II'!F553</f>
        <v>104580000</v>
      </c>
      <c r="M59" s="268" t="s">
        <v>1375</v>
      </c>
      <c r="N59" s="268" t="s">
        <v>1376</v>
      </c>
    </row>
    <row r="60" spans="1:14" ht="63" x14ac:dyDescent="0.25">
      <c r="A60" s="32"/>
      <c r="B60" s="66"/>
      <c r="C60" s="858">
        <v>13</v>
      </c>
      <c r="D60" s="66" t="str">
        <f>'BID II'!B566</f>
        <v xml:space="preserve"> :Penyuluhan dan Pelatiah Bidang Kesehatan (Pendampingan calon pengantin Stunting)</v>
      </c>
      <c r="E60" s="1040">
        <v>3</v>
      </c>
      <c r="F60" s="133" t="s">
        <v>2224</v>
      </c>
      <c r="G60" s="1038">
        <v>1</v>
      </c>
      <c r="H60" s="124" t="s">
        <v>1373</v>
      </c>
      <c r="I60" s="125" t="s">
        <v>1566</v>
      </c>
      <c r="J60" s="125" t="s">
        <v>2225</v>
      </c>
      <c r="K60" s="126" t="s">
        <v>2197</v>
      </c>
      <c r="L60" s="470">
        <f>'BID II'!F596</f>
        <v>6877440</v>
      </c>
      <c r="M60" s="268" t="s">
        <v>1375</v>
      </c>
      <c r="N60" s="268" t="s">
        <v>1376</v>
      </c>
    </row>
    <row r="61" spans="1:14" ht="76.5" customHeight="1" x14ac:dyDescent="0.25">
      <c r="A61" s="32"/>
      <c r="B61" s="66"/>
      <c r="C61" s="858">
        <v>14</v>
      </c>
      <c r="D61" s="66" t="str">
        <f>'BID II'!B608</f>
        <v>Penyuluhan dan Pelatihan Bidang Kesehatan (PHBS)</v>
      </c>
      <c r="E61" s="1040">
        <v>3</v>
      </c>
      <c r="F61" s="133" t="s">
        <v>2300</v>
      </c>
      <c r="G61" s="1038">
        <v>1</v>
      </c>
      <c r="H61" s="124" t="s">
        <v>1373</v>
      </c>
      <c r="I61" s="125" t="s">
        <v>1377</v>
      </c>
      <c r="J61" s="125" t="s">
        <v>2301</v>
      </c>
      <c r="K61" s="126" t="s">
        <v>2197</v>
      </c>
      <c r="L61" s="470">
        <f>'BID II'!F637</f>
        <v>6460800</v>
      </c>
      <c r="M61" s="268" t="s">
        <v>1375</v>
      </c>
      <c r="N61" s="268" t="s">
        <v>1376</v>
      </c>
    </row>
    <row r="62" spans="1:14" ht="63" x14ac:dyDescent="0.25">
      <c r="A62" s="32" t="s">
        <v>521</v>
      </c>
      <c r="B62" s="66"/>
      <c r="C62" s="858">
        <v>15</v>
      </c>
      <c r="D62" s="66" t="str">
        <f>'BID II'!B650</f>
        <v>: Penyuluhan dan Pelatihan Bidang Kesehatan (Pembinaan Kader POSyandu)</v>
      </c>
      <c r="E62" s="1040">
        <v>3</v>
      </c>
      <c r="F62" s="133" t="s">
        <v>1429</v>
      </c>
      <c r="G62" s="1038">
        <v>1</v>
      </c>
      <c r="H62" s="124" t="s">
        <v>1373</v>
      </c>
      <c r="I62" s="125" t="s">
        <v>1377</v>
      </c>
      <c r="J62" s="125" t="s">
        <v>2226</v>
      </c>
      <c r="K62" s="126" t="s">
        <v>2197</v>
      </c>
      <c r="L62" s="470">
        <f>'BID II'!F685</f>
        <v>31525000</v>
      </c>
      <c r="M62" s="268" t="s">
        <v>1375</v>
      </c>
      <c r="N62" s="268" t="s">
        <v>1376</v>
      </c>
    </row>
    <row r="63" spans="1:14" ht="78.75" x14ac:dyDescent="0.25">
      <c r="A63" s="32"/>
      <c r="B63" s="66"/>
      <c r="C63" s="858">
        <v>16</v>
      </c>
      <c r="D63" s="66" t="str">
        <f>'BID II'!B697</f>
        <v>: Penyuluhan dan Pelatihan Bidang Kesehatan (Penyuluhan Narkoba dan HIV/AIDS)</v>
      </c>
      <c r="E63" s="1040">
        <v>3</v>
      </c>
      <c r="F63" s="133" t="s">
        <v>1431</v>
      </c>
      <c r="G63" s="1038">
        <v>1</v>
      </c>
      <c r="H63" s="124" t="s">
        <v>1373</v>
      </c>
      <c r="I63" s="125" t="s">
        <v>1377</v>
      </c>
      <c r="J63" s="126" t="s">
        <v>2200</v>
      </c>
      <c r="K63" s="126" t="s">
        <v>2197</v>
      </c>
      <c r="L63" s="470">
        <f>'BID II'!F731</f>
        <v>18340000</v>
      </c>
      <c r="M63" s="268" t="s">
        <v>1375</v>
      </c>
      <c r="N63" s="268" t="s">
        <v>1376</v>
      </c>
    </row>
    <row r="64" spans="1:14" ht="63" x14ac:dyDescent="0.25">
      <c r="A64" s="32"/>
      <c r="B64" s="66"/>
      <c r="C64" s="858">
        <v>17</v>
      </c>
      <c r="D64" s="66" t="str">
        <f>'BID II'!B744</f>
        <v>: Penyuluhan dan Pelatihan Bidang Kesehatan (Posbindu)</v>
      </c>
      <c r="E64" s="1040">
        <v>3</v>
      </c>
      <c r="F64" s="133" t="s">
        <v>1455</v>
      </c>
      <c r="G64" s="1038">
        <v>1</v>
      </c>
      <c r="H64" s="124" t="s">
        <v>1373</v>
      </c>
      <c r="I64" s="125" t="s">
        <v>1377</v>
      </c>
      <c r="J64" s="126" t="s">
        <v>2200</v>
      </c>
      <c r="K64" s="126" t="s">
        <v>2197</v>
      </c>
      <c r="L64" s="470">
        <f>'BID II'!F784</f>
        <v>19924087.09</v>
      </c>
      <c r="M64" s="268" t="s">
        <v>1375</v>
      </c>
      <c r="N64" s="268" t="s">
        <v>1376</v>
      </c>
    </row>
    <row r="65" spans="1:14" ht="94.5" x14ac:dyDescent="0.25">
      <c r="A65" s="32"/>
      <c r="B65" s="66"/>
      <c r="C65" s="858">
        <v>18</v>
      </c>
      <c r="D65" s="66" t="str">
        <f>'BID II'!B797</f>
        <v>: Penyuluhan dan Pelatihan Bidang Kesehatan (Penyuluhan KB)</v>
      </c>
      <c r="E65" s="1040">
        <v>3</v>
      </c>
      <c r="F65" s="133" t="s">
        <v>1456</v>
      </c>
      <c r="G65" s="1038">
        <v>1</v>
      </c>
      <c r="H65" s="124" t="s">
        <v>1373</v>
      </c>
      <c r="I65" s="125" t="s">
        <v>1377</v>
      </c>
      <c r="J65" s="125" t="s">
        <v>2227</v>
      </c>
      <c r="K65" s="126" t="s">
        <v>2197</v>
      </c>
      <c r="L65" s="470">
        <f>'BID II'!F838</f>
        <v>17635000</v>
      </c>
      <c r="M65" s="268" t="s">
        <v>1375</v>
      </c>
      <c r="N65" s="268" t="s">
        <v>1376</v>
      </c>
    </row>
    <row r="66" spans="1:14" ht="47.25" x14ac:dyDescent="0.25">
      <c r="A66" s="32"/>
      <c r="B66" s="66"/>
      <c r="C66" s="858">
        <v>19</v>
      </c>
      <c r="D66" s="66" t="str">
        <f>'BID II'!B852</f>
        <v>: Penyuluhan dan Pelatihan Bidang Kesehatan(Sosialisasi Germas)</v>
      </c>
      <c r="E66" s="1040"/>
      <c r="F66" s="133" t="s">
        <v>2414</v>
      </c>
      <c r="G66" s="1038">
        <v>1</v>
      </c>
      <c r="H66" s="124" t="s">
        <v>1373</v>
      </c>
      <c r="I66" s="125" t="s">
        <v>1377</v>
      </c>
      <c r="J66" s="125" t="s">
        <v>2227</v>
      </c>
      <c r="K66" s="126" t="s">
        <v>2197</v>
      </c>
      <c r="L66" s="470">
        <f>'BID II'!F869</f>
        <v>2070000</v>
      </c>
      <c r="M66" s="268" t="s">
        <v>1375</v>
      </c>
      <c r="N66" s="268" t="s">
        <v>1376</v>
      </c>
    </row>
    <row r="67" spans="1:14" ht="42.75" customHeight="1" x14ac:dyDescent="0.25">
      <c r="A67" s="66"/>
      <c r="B67" s="66"/>
      <c r="C67" s="858">
        <v>20</v>
      </c>
      <c r="D67" s="66" t="str">
        <f>'BID II'!B882</f>
        <v>: Penyuluhan dan Pelatihan Bidang Kesehatan (Desa Siaga Kesehatan)</v>
      </c>
      <c r="E67" s="1040">
        <v>3</v>
      </c>
      <c r="F67" s="133" t="s">
        <v>1457</v>
      </c>
      <c r="G67" s="1038">
        <v>1</v>
      </c>
      <c r="H67" s="124" t="s">
        <v>1373</v>
      </c>
      <c r="I67" s="125" t="s">
        <v>1408</v>
      </c>
      <c r="J67" s="125" t="s">
        <v>2228</v>
      </c>
      <c r="K67" s="126" t="s">
        <v>2197</v>
      </c>
      <c r="L67" s="851">
        <f>'BID II'!F914</f>
        <v>2592000</v>
      </c>
      <c r="M67" s="268" t="s">
        <v>1375</v>
      </c>
      <c r="N67" s="268" t="s">
        <v>1376</v>
      </c>
    </row>
    <row r="68" spans="1:14" ht="42.75" customHeight="1" x14ac:dyDescent="0.25">
      <c r="A68" s="66"/>
      <c r="B68" s="66"/>
      <c r="C68" s="858">
        <v>21</v>
      </c>
      <c r="D68" s="66" t="str">
        <f>'BID II'!B928</f>
        <v>: Penyuluhan dan Pelatihan Bidang Kesehatan (Pembinaan Penangulangan Rabies Desa)</v>
      </c>
      <c r="E68" s="1040">
        <v>3</v>
      </c>
      <c r="F68" s="133" t="s">
        <v>2747</v>
      </c>
      <c r="G68" s="1038">
        <v>1</v>
      </c>
      <c r="H68" s="124" t="s">
        <v>1373</v>
      </c>
      <c r="I68" s="125" t="s">
        <v>1408</v>
      </c>
      <c r="J68" s="125" t="s">
        <v>2228</v>
      </c>
      <c r="K68" s="126" t="s">
        <v>2197</v>
      </c>
      <c r="L68" s="851">
        <f>'BID II'!F969</f>
        <v>26452500</v>
      </c>
      <c r="M68" s="268" t="s">
        <v>1375</v>
      </c>
      <c r="N68" s="268" t="s">
        <v>1376</v>
      </c>
    </row>
    <row r="69" spans="1:14" ht="63.75" customHeight="1" x14ac:dyDescent="0.25">
      <c r="A69" s="66"/>
      <c r="B69" s="66"/>
      <c r="C69" s="858">
        <v>22</v>
      </c>
      <c r="D69" s="66" t="str">
        <f>'BID II'!B982</f>
        <v xml:space="preserve"> :  Pengasuhan Bersama atau Bina Keluarga Balita (Pelaksanaan Kegiatan Bina keluarga Balita BKB )</v>
      </c>
      <c r="E69" s="1040">
        <v>3</v>
      </c>
      <c r="F69" s="133" t="s">
        <v>1458</v>
      </c>
      <c r="G69" s="1038">
        <v>1</v>
      </c>
      <c r="H69" s="124" t="s">
        <v>1373</v>
      </c>
      <c r="I69" s="125" t="s">
        <v>1377</v>
      </c>
      <c r="J69" s="125" t="s">
        <v>2229</v>
      </c>
      <c r="K69" s="126" t="s">
        <v>2197</v>
      </c>
      <c r="L69" s="851">
        <f>'BID II'!F1009</f>
        <v>50145500</v>
      </c>
      <c r="M69" s="268" t="s">
        <v>1375</v>
      </c>
      <c r="N69" s="268" t="s">
        <v>1376</v>
      </c>
    </row>
    <row r="70" spans="1:14" ht="42.75" customHeight="1" x14ac:dyDescent="0.25">
      <c r="A70" s="66"/>
      <c r="B70" s="66"/>
      <c r="C70" s="858">
        <v>23</v>
      </c>
      <c r="D70" s="66" t="str">
        <f>'BID II'!B1021</f>
        <v xml:space="preserve"> :  Pengasuhan Bersama atau Bina Keluarga Lansia ( Pembinaan dan Penyelenggaraan BKL)</v>
      </c>
      <c r="E70" s="1040">
        <v>3</v>
      </c>
      <c r="F70" s="133" t="s">
        <v>1428</v>
      </c>
      <c r="G70" s="1038">
        <v>1</v>
      </c>
      <c r="H70" s="124" t="s">
        <v>1373</v>
      </c>
      <c r="I70" s="125" t="s">
        <v>1377</v>
      </c>
      <c r="J70" s="125">
        <v>6</v>
      </c>
      <c r="K70" s="126" t="s">
        <v>2197</v>
      </c>
      <c r="L70" s="851">
        <f>'BID II'!F1063</f>
        <v>9990000</v>
      </c>
      <c r="M70" s="268" t="s">
        <v>1375</v>
      </c>
      <c r="N70" s="268" t="s">
        <v>1376</v>
      </c>
    </row>
    <row r="71" spans="1:14" ht="42.75" customHeight="1" x14ac:dyDescent="0.25">
      <c r="A71" s="66"/>
      <c r="B71" s="66"/>
      <c r="C71" s="858">
        <v>24</v>
      </c>
      <c r="D71" s="66" t="str">
        <f>'BID II'!B1076</f>
        <v>: Pengasuhan Bersama atau Bina Keluarga Balita (Pembinaan Kader BKB)</v>
      </c>
      <c r="E71" s="1040">
        <v>3</v>
      </c>
      <c r="F71" s="133" t="s">
        <v>1458</v>
      </c>
      <c r="G71" s="1038">
        <v>1</v>
      </c>
      <c r="H71" s="124" t="s">
        <v>1373</v>
      </c>
      <c r="I71" s="125" t="s">
        <v>1377</v>
      </c>
      <c r="J71" s="125" t="s">
        <v>2229</v>
      </c>
      <c r="K71" s="126" t="s">
        <v>2197</v>
      </c>
      <c r="L71" s="851">
        <f>'BID II'!F1114</f>
        <v>18283000</v>
      </c>
      <c r="M71" s="268" t="s">
        <v>1375</v>
      </c>
      <c r="N71" s="268" t="s">
        <v>1376</v>
      </c>
    </row>
    <row r="72" spans="1:14" ht="71.25" customHeight="1" x14ac:dyDescent="0.25">
      <c r="A72" s="66"/>
      <c r="B72" s="66"/>
      <c r="C72" s="858">
        <v>25</v>
      </c>
      <c r="D72" s="66" t="str">
        <f>'BID II'!B1127</f>
        <v xml:space="preserve"> :  Pengasuhan Bersama atau Bina Keluarga Balita (Pembinaan Kegiatan Bina keluarga Remaja BKR )</v>
      </c>
      <c r="E72" s="1040">
        <v>3</v>
      </c>
      <c r="F72" s="66"/>
      <c r="G72" s="984">
        <v>1</v>
      </c>
      <c r="H72" s="66" t="s">
        <v>1373</v>
      </c>
      <c r="I72" s="66"/>
      <c r="J72" s="66"/>
      <c r="K72" s="66"/>
      <c r="L72" s="851">
        <f>'BID II'!F1161</f>
        <v>4875000</v>
      </c>
      <c r="M72" s="268" t="s">
        <v>1375</v>
      </c>
      <c r="N72" s="268" t="s">
        <v>1376</v>
      </c>
    </row>
    <row r="73" spans="1:14" ht="71.25" customHeight="1" x14ac:dyDescent="0.25">
      <c r="A73" s="66"/>
      <c r="B73" s="66"/>
      <c r="C73" s="858">
        <v>26</v>
      </c>
      <c r="D73" s="66" t="str">
        <f>'BID II'!B1173</f>
        <v xml:space="preserve"> :  Pengasuhan Bersama atau Bina Keluarga Remaja (Penyelenggaraan BKR)</v>
      </c>
      <c r="E73" s="1040">
        <v>3</v>
      </c>
      <c r="F73" s="133" t="s">
        <v>1459</v>
      </c>
      <c r="G73" s="1038">
        <v>1</v>
      </c>
      <c r="H73" s="124" t="s">
        <v>1373</v>
      </c>
      <c r="I73" s="125" t="s">
        <v>1377</v>
      </c>
      <c r="J73" s="125" t="s">
        <v>2230</v>
      </c>
      <c r="K73" s="126" t="s">
        <v>2197</v>
      </c>
      <c r="L73" s="851">
        <f>'BID II'!F1193</f>
        <v>7471000</v>
      </c>
      <c r="M73" s="268"/>
      <c r="N73" s="268"/>
    </row>
    <row r="74" spans="1:14" ht="42.75" customHeight="1" x14ac:dyDescent="0.25">
      <c r="A74" s="66"/>
      <c r="B74" s="66"/>
      <c r="C74" s="858">
        <v>27</v>
      </c>
      <c r="D74" s="66" t="str">
        <f>'BID II'!B1208</f>
        <v>:Penyelenggaraan Pembinaan dan Lomba Balita Sehat</v>
      </c>
      <c r="E74" s="1041">
        <v>3</v>
      </c>
      <c r="F74" s="133" t="s">
        <v>1461</v>
      </c>
      <c r="G74" s="1038">
        <v>1</v>
      </c>
      <c r="H74" s="124" t="s">
        <v>1373</v>
      </c>
      <c r="I74" s="125" t="s">
        <v>1377</v>
      </c>
      <c r="J74" s="125" t="s">
        <v>2231</v>
      </c>
      <c r="K74" s="126" t="s">
        <v>2197</v>
      </c>
      <c r="L74" s="851">
        <f>'BID II'!F1257</f>
        <v>13205000</v>
      </c>
      <c r="M74" s="268" t="s">
        <v>1375</v>
      </c>
      <c r="N74" s="268" t="s">
        <v>1376</v>
      </c>
    </row>
    <row r="75" spans="1:14" ht="42.75" customHeight="1" x14ac:dyDescent="0.25">
      <c r="A75" s="66"/>
      <c r="B75" s="66"/>
      <c r="C75" s="858">
        <v>28</v>
      </c>
      <c r="D75" s="66" t="str">
        <f>'BID II'!B1270</f>
        <v>:  Foging Fokus</v>
      </c>
      <c r="E75" s="1041">
        <v>3</v>
      </c>
      <c r="F75" s="133" t="s">
        <v>1462</v>
      </c>
      <c r="G75" s="1038">
        <v>1</v>
      </c>
      <c r="H75" s="124" t="s">
        <v>1373</v>
      </c>
      <c r="I75" s="125" t="s">
        <v>1568</v>
      </c>
      <c r="J75" s="126" t="s">
        <v>2200</v>
      </c>
      <c r="K75" s="126" t="s">
        <v>2197</v>
      </c>
      <c r="L75" s="851">
        <f>'BID II'!F1303</f>
        <v>42360000</v>
      </c>
      <c r="M75" s="268" t="s">
        <v>1375</v>
      </c>
      <c r="N75" s="268" t="s">
        <v>1376</v>
      </c>
    </row>
    <row r="76" spans="1:14" ht="42.75" customHeight="1" x14ac:dyDescent="0.25">
      <c r="A76" s="66"/>
      <c r="B76" s="66"/>
      <c r="C76" s="858">
        <v>29</v>
      </c>
      <c r="D76" s="66" t="str">
        <f>'BID II'!B1316</f>
        <v>: Gerakan Serentak PSN dan Lomba PSN</v>
      </c>
      <c r="E76" s="1041">
        <v>3</v>
      </c>
      <c r="F76" s="133" t="s">
        <v>1462</v>
      </c>
      <c r="G76" s="1038">
        <v>1</v>
      </c>
      <c r="H76" s="124" t="s">
        <v>1373</v>
      </c>
      <c r="I76" s="125" t="s">
        <v>1377</v>
      </c>
      <c r="J76" s="126" t="s">
        <v>2200</v>
      </c>
      <c r="K76" s="126" t="s">
        <v>2197</v>
      </c>
      <c r="L76" s="851">
        <f>'BID II'!F1371</f>
        <v>45123000</v>
      </c>
      <c r="M76" s="268" t="s">
        <v>1375</v>
      </c>
      <c r="N76" s="268" t="s">
        <v>1376</v>
      </c>
    </row>
    <row r="77" spans="1:14" ht="42.75" customHeight="1" x14ac:dyDescent="0.25">
      <c r="A77" s="66"/>
      <c r="B77" s="66"/>
      <c r="C77" s="858">
        <v>30</v>
      </c>
      <c r="D77" s="66" t="str">
        <f>'BID II'!B1384</f>
        <v xml:space="preserve">Penyelengggaraan TPPS Desa </v>
      </c>
      <c r="E77" s="1041">
        <v>3</v>
      </c>
      <c r="F77" s="66" t="s">
        <v>2232</v>
      </c>
      <c r="G77" s="984">
        <v>1</v>
      </c>
      <c r="H77" s="66" t="s">
        <v>1373</v>
      </c>
      <c r="I77" s="351" t="s">
        <v>2207</v>
      </c>
      <c r="J77" s="126" t="s">
        <v>2200</v>
      </c>
      <c r="K77" s="126" t="s">
        <v>2197</v>
      </c>
      <c r="L77" s="851">
        <f>'BID II'!F1413</f>
        <v>6108500</v>
      </c>
      <c r="M77" s="268" t="s">
        <v>1375</v>
      </c>
      <c r="N77" s="268" t="s">
        <v>1376</v>
      </c>
    </row>
    <row r="78" spans="1:14" ht="68.25" customHeight="1" x14ac:dyDescent="0.25">
      <c r="A78" s="66"/>
      <c r="B78" s="66"/>
      <c r="C78" s="858">
        <v>31</v>
      </c>
      <c r="D78" s="66" t="str">
        <f>'BID II'!B1425</f>
        <v>: Rembuk Stunting</v>
      </c>
      <c r="E78" s="1041">
        <v>3</v>
      </c>
      <c r="F78" s="66" t="s">
        <v>2233</v>
      </c>
      <c r="G78" s="984">
        <v>1</v>
      </c>
      <c r="H78" s="66" t="s">
        <v>1373</v>
      </c>
      <c r="I78" s="351" t="s">
        <v>1414</v>
      </c>
      <c r="J78" s="126" t="s">
        <v>2200</v>
      </c>
      <c r="K78" s="126" t="s">
        <v>2197</v>
      </c>
      <c r="L78" s="851">
        <f>'BID II'!F1453</f>
        <v>3160000</v>
      </c>
      <c r="M78" s="268"/>
      <c r="N78" s="268"/>
    </row>
    <row r="79" spans="1:14" ht="57" customHeight="1" x14ac:dyDescent="0.25">
      <c r="A79" s="66"/>
      <c r="B79" s="66"/>
      <c r="C79" s="858">
        <v>32</v>
      </c>
      <c r="D79" s="66" t="str">
        <f>'BID II'!B1467</f>
        <v>: Pembinaan Posyandu Remaja</v>
      </c>
      <c r="E79" s="1041">
        <v>3</v>
      </c>
      <c r="F79" s="133" t="s">
        <v>1424</v>
      </c>
      <c r="G79" s="1038">
        <v>1</v>
      </c>
      <c r="H79" s="124" t="s">
        <v>1373</v>
      </c>
      <c r="I79" s="125" t="s">
        <v>1408</v>
      </c>
      <c r="J79" s="125" t="s">
        <v>2204</v>
      </c>
      <c r="K79" s="126" t="s">
        <v>2197</v>
      </c>
      <c r="L79" s="851">
        <f>'BID II'!F1493</f>
        <v>3526500</v>
      </c>
      <c r="M79" s="268"/>
      <c r="N79" s="268"/>
    </row>
    <row r="80" spans="1:14" ht="42.75" customHeight="1" x14ac:dyDescent="0.25">
      <c r="A80" s="66"/>
      <c r="B80" s="66"/>
      <c r="C80" s="858">
        <v>33</v>
      </c>
      <c r="D80" s="66" t="str">
        <f>'BID II'!B1505</f>
        <v>Penyelenggaraan Posyandu Remaja</v>
      </c>
      <c r="E80" s="1041">
        <v>3</v>
      </c>
      <c r="F80" s="133" t="s">
        <v>1424</v>
      </c>
      <c r="G80" s="1038">
        <v>1</v>
      </c>
      <c r="H80" s="124" t="s">
        <v>1373</v>
      </c>
      <c r="I80" s="125" t="s">
        <v>1408</v>
      </c>
      <c r="J80" s="125" t="s">
        <v>2204</v>
      </c>
      <c r="K80" s="126" t="s">
        <v>2197</v>
      </c>
      <c r="L80" s="851">
        <f>'BID II'!F1531</f>
        <v>35530000</v>
      </c>
      <c r="M80" s="268" t="s">
        <v>1375</v>
      </c>
      <c r="N80" s="268" t="s">
        <v>1376</v>
      </c>
    </row>
    <row r="81" spans="1:14" ht="64.5" customHeight="1" x14ac:dyDescent="0.25">
      <c r="A81" s="66"/>
      <c r="B81" s="66"/>
      <c r="C81" s="858">
        <v>34</v>
      </c>
      <c r="D81" s="66" t="str">
        <f>'BID II'!B1545</f>
        <v>Pemeliharaan Jalan Lingkungan Permukiman/Gang Sekar Gunung</v>
      </c>
      <c r="E81" s="1041">
        <v>9</v>
      </c>
      <c r="F81" s="66" t="s">
        <v>2234</v>
      </c>
      <c r="G81" s="984">
        <v>1</v>
      </c>
      <c r="H81" s="66" t="s">
        <v>1373</v>
      </c>
      <c r="I81" s="355" t="s">
        <v>2235</v>
      </c>
      <c r="J81" s="126" t="s">
        <v>2200</v>
      </c>
      <c r="K81" s="126" t="s">
        <v>2197</v>
      </c>
      <c r="L81" s="851">
        <f>'BID II'!F1569</f>
        <v>85218000</v>
      </c>
      <c r="M81" s="268" t="s">
        <v>1375</v>
      </c>
      <c r="N81" s="268" t="s">
        <v>1376</v>
      </c>
    </row>
    <row r="82" spans="1:14" ht="51" customHeight="1" x14ac:dyDescent="0.25">
      <c r="A82" s="66"/>
      <c r="B82" s="66"/>
      <c r="C82" s="858">
        <v>35</v>
      </c>
      <c r="D82" s="66" t="s">
        <v>2745</v>
      </c>
      <c r="E82" s="1041">
        <v>9</v>
      </c>
      <c r="F82" s="66" t="s">
        <v>2746</v>
      </c>
      <c r="G82" s="984">
        <v>1</v>
      </c>
      <c r="H82" s="66" t="s">
        <v>1373</v>
      </c>
      <c r="I82" s="355" t="s">
        <v>2235</v>
      </c>
      <c r="J82" s="126" t="s">
        <v>2200</v>
      </c>
      <c r="K82" s="126" t="s">
        <v>2197</v>
      </c>
      <c r="L82" s="851">
        <v>250000000</v>
      </c>
      <c r="M82" s="268" t="s">
        <v>1375</v>
      </c>
      <c r="N82" s="268" t="s">
        <v>1376</v>
      </c>
    </row>
    <row r="83" spans="1:14" ht="79.5" customHeight="1" x14ac:dyDescent="0.25">
      <c r="A83" s="66"/>
      <c r="B83" s="66"/>
      <c r="C83" s="858">
        <v>36</v>
      </c>
      <c r="D83" s="66" t="e">
        <f>'BID II'!#REF!</f>
        <v>#REF!</v>
      </c>
      <c r="E83" s="1041">
        <v>9</v>
      </c>
      <c r="F83" s="66" t="s">
        <v>2267</v>
      </c>
      <c r="G83" s="984">
        <v>1</v>
      </c>
      <c r="H83" s="66" t="s">
        <v>1373</v>
      </c>
      <c r="I83" s="355" t="s">
        <v>2268</v>
      </c>
      <c r="J83" s="126" t="s">
        <v>2200</v>
      </c>
      <c r="K83" s="126" t="s">
        <v>2197</v>
      </c>
      <c r="L83" s="851" t="e">
        <f>'BID II'!#REF!</f>
        <v>#REF!</v>
      </c>
      <c r="M83" s="268" t="s">
        <v>1375</v>
      </c>
      <c r="N83" s="268" t="s">
        <v>1376</v>
      </c>
    </row>
    <row r="84" spans="1:14" ht="65.25" customHeight="1" x14ac:dyDescent="0.25">
      <c r="A84" s="66"/>
      <c r="B84" s="66"/>
      <c r="C84" s="858">
        <v>37</v>
      </c>
      <c r="D84" s="66" t="e">
        <f>'BID II'!#REF!</f>
        <v>#REF!</v>
      </c>
      <c r="E84" s="1041">
        <v>9</v>
      </c>
      <c r="F84" s="66" t="s">
        <v>2267</v>
      </c>
      <c r="G84" s="984">
        <v>1</v>
      </c>
      <c r="H84" s="66" t="s">
        <v>1373</v>
      </c>
      <c r="I84" s="355" t="s">
        <v>2269</v>
      </c>
      <c r="J84" s="126" t="s">
        <v>2200</v>
      </c>
      <c r="K84" s="126" t="s">
        <v>2197</v>
      </c>
      <c r="L84" s="851" t="e">
        <f>'BID II'!#REF!</f>
        <v>#REF!</v>
      </c>
      <c r="M84" s="268" t="s">
        <v>1375</v>
      </c>
      <c r="N84" s="268" t="s">
        <v>1376</v>
      </c>
    </row>
    <row r="85" spans="1:14" ht="78" customHeight="1" x14ac:dyDescent="0.25">
      <c r="A85" s="66"/>
      <c r="B85" s="66"/>
      <c r="C85" s="858">
        <v>38</v>
      </c>
      <c r="D85" s="66" t="e">
        <f>'BID II'!#REF!</f>
        <v>#REF!</v>
      </c>
      <c r="E85" s="1041">
        <v>9</v>
      </c>
      <c r="F85" s="66" t="s">
        <v>2270</v>
      </c>
      <c r="G85" s="984">
        <v>1</v>
      </c>
      <c r="H85" s="66" t="s">
        <v>1373</v>
      </c>
      <c r="I85" s="355" t="s">
        <v>2271</v>
      </c>
      <c r="J85" s="126" t="s">
        <v>2200</v>
      </c>
      <c r="K85" s="126" t="s">
        <v>2197</v>
      </c>
      <c r="L85" s="851" t="e">
        <f>'BID II'!#REF!</f>
        <v>#REF!</v>
      </c>
      <c r="M85" s="268" t="s">
        <v>1375</v>
      </c>
      <c r="N85" s="268" t="s">
        <v>1376</v>
      </c>
    </row>
    <row r="86" spans="1:14" ht="78" customHeight="1" x14ac:dyDescent="0.25">
      <c r="A86" s="66"/>
      <c r="B86" s="66"/>
      <c r="C86" s="858">
        <v>39</v>
      </c>
      <c r="D86" s="66" t="s">
        <v>2750</v>
      </c>
      <c r="E86" s="1041">
        <v>9</v>
      </c>
      <c r="F86" s="66" t="s">
        <v>2270</v>
      </c>
      <c r="G86" s="984">
        <v>1</v>
      </c>
      <c r="H86" s="66" t="s">
        <v>1373</v>
      </c>
      <c r="I86" s="355" t="s">
        <v>2271</v>
      </c>
      <c r="J86" s="126" t="s">
        <v>2200</v>
      </c>
      <c r="K86" s="126" t="s">
        <v>2197</v>
      </c>
      <c r="L86" s="851">
        <v>30000000</v>
      </c>
      <c r="M86" s="268" t="s">
        <v>1375</v>
      </c>
      <c r="N86" s="268" t="s">
        <v>1376</v>
      </c>
    </row>
    <row r="87" spans="1:14" ht="42.75" customHeight="1" x14ac:dyDescent="0.25">
      <c r="A87" s="66"/>
      <c r="B87" s="66"/>
      <c r="C87" s="858">
        <v>40</v>
      </c>
      <c r="D87" s="66" t="str">
        <f>'BID II'!B2024</f>
        <v>: Kegiatan Pengelolaan Sampah Tingkat Desa</v>
      </c>
      <c r="E87" s="1041" t="s">
        <v>2219</v>
      </c>
      <c r="F87" s="133" t="s">
        <v>1466</v>
      </c>
      <c r="G87" s="1038">
        <v>1</v>
      </c>
      <c r="H87" s="124" t="s">
        <v>1373</v>
      </c>
      <c r="I87" s="125" t="s">
        <v>1408</v>
      </c>
      <c r="J87" s="126" t="s">
        <v>2200</v>
      </c>
      <c r="K87" s="126" t="s">
        <v>2197</v>
      </c>
      <c r="L87" s="851">
        <f>'BID II'!F2147</f>
        <v>670230300</v>
      </c>
      <c r="M87" s="268" t="s">
        <v>1375</v>
      </c>
      <c r="N87" s="268" t="s">
        <v>1376</v>
      </c>
    </row>
    <row r="88" spans="1:14" ht="61.5" customHeight="1" x14ac:dyDescent="0.25">
      <c r="A88" s="66"/>
      <c r="B88" s="66"/>
      <c r="C88" s="858">
        <v>41</v>
      </c>
      <c r="D88" s="66" t="str">
        <f>'BID II'!B2162</f>
        <v>: Pemeiliharaan Fasilitas Pengelolaan Sampah Desa/ Pemukiman ( Operasional Kegiatan Bank Sampah Desa)</v>
      </c>
      <c r="E88" s="1041" t="s">
        <v>2219</v>
      </c>
      <c r="F88" s="133" t="s">
        <v>1469</v>
      </c>
      <c r="G88" s="1038">
        <v>1</v>
      </c>
      <c r="H88" s="124" t="s">
        <v>1373</v>
      </c>
      <c r="I88" s="125" t="s">
        <v>1408</v>
      </c>
      <c r="J88" s="126" t="s">
        <v>2200</v>
      </c>
      <c r="K88" s="126" t="s">
        <v>2197</v>
      </c>
      <c r="L88" s="851">
        <f>'BID II'!F2195</f>
        <v>38177800</v>
      </c>
      <c r="M88" s="268" t="s">
        <v>1375</v>
      </c>
      <c r="N88" s="268" t="s">
        <v>1376</v>
      </c>
    </row>
    <row r="89" spans="1:14" ht="84.75" customHeight="1" x14ac:dyDescent="0.25">
      <c r="A89" s="66"/>
      <c r="B89" s="66"/>
      <c r="C89" s="858">
        <v>42</v>
      </c>
      <c r="D89" s="66" t="str">
        <f>'BID II'!B2209</f>
        <v>: Operasional Tim Kebersihan Lingkungan</v>
      </c>
      <c r="E89" s="1041" t="s">
        <v>2219</v>
      </c>
      <c r="F89" s="133" t="s">
        <v>1470</v>
      </c>
      <c r="G89" s="1038">
        <v>1</v>
      </c>
      <c r="H89" s="124" t="s">
        <v>1373</v>
      </c>
      <c r="I89" s="125" t="s">
        <v>1408</v>
      </c>
      <c r="J89" s="126" t="s">
        <v>2236</v>
      </c>
      <c r="K89" s="126" t="s">
        <v>2197</v>
      </c>
      <c r="L89" s="851">
        <f>'BID II'!F2243</f>
        <v>110956000</v>
      </c>
      <c r="M89" s="268" t="s">
        <v>1375</v>
      </c>
      <c r="N89" s="268" t="s">
        <v>1376</v>
      </c>
    </row>
    <row r="90" spans="1:14" ht="84.75" customHeight="1" x14ac:dyDescent="0.25">
      <c r="A90" s="848"/>
      <c r="B90" s="848"/>
      <c r="C90" s="858">
        <v>43</v>
      </c>
      <c r="D90" s="848" t="e">
        <f>'BID II'!#REF!</f>
        <v>#REF!</v>
      </c>
      <c r="E90" s="1041" t="s">
        <v>2219</v>
      </c>
      <c r="F90" s="133" t="s">
        <v>2474</v>
      </c>
      <c r="G90" s="1038">
        <v>1</v>
      </c>
      <c r="H90" s="124" t="s">
        <v>1373</v>
      </c>
      <c r="I90" s="125" t="s">
        <v>1408</v>
      </c>
      <c r="J90" s="126" t="s">
        <v>2200</v>
      </c>
      <c r="K90" s="126" t="s">
        <v>2197</v>
      </c>
      <c r="L90" s="855" t="e">
        <f>'BID II'!#REF!</f>
        <v>#REF!</v>
      </c>
      <c r="M90" s="268" t="s">
        <v>1375</v>
      </c>
      <c r="N90" s="268" t="s">
        <v>1376</v>
      </c>
    </row>
    <row r="91" spans="1:14" ht="84.75" customHeight="1" x14ac:dyDescent="0.25">
      <c r="A91" s="848"/>
      <c r="B91" s="848"/>
      <c r="C91" s="858">
        <v>44</v>
      </c>
      <c r="D91" s="848" t="str">
        <f>'BID II'!B2257</f>
        <v>Pemeliharaan taman Milik Desa (Biopori dan Penataan Taman di Patung Petani, depan kertapala)</v>
      </c>
      <c r="E91" s="1041" t="s">
        <v>2219</v>
      </c>
      <c r="F91" s="133" t="s">
        <v>2317</v>
      </c>
      <c r="G91" s="1038">
        <v>1</v>
      </c>
      <c r="H91" s="124" t="s">
        <v>1373</v>
      </c>
      <c r="I91" s="125" t="s">
        <v>1377</v>
      </c>
      <c r="J91" s="126" t="s">
        <v>2200</v>
      </c>
      <c r="K91" s="126" t="s">
        <v>2197</v>
      </c>
      <c r="L91" s="855">
        <f>'BID II'!F2280</f>
        <v>43645000</v>
      </c>
      <c r="M91" s="268" t="s">
        <v>1375</v>
      </c>
      <c r="N91" s="268" t="s">
        <v>1376</v>
      </c>
    </row>
    <row r="92" spans="1:14" ht="42.75" customHeight="1" thickBot="1" x14ac:dyDescent="0.3">
      <c r="A92" s="848"/>
      <c r="B92" s="848"/>
      <c r="C92" s="858">
        <v>45</v>
      </c>
      <c r="D92" s="848" t="str">
        <f>'BID II'!B2296</f>
        <v>: Penyelenggaraan Informasi Publik Desa ( Pembuatan dan Pemasangan Baliho APBDesa )</v>
      </c>
      <c r="E92" s="1042">
        <v>16</v>
      </c>
      <c r="F92" s="133" t="s">
        <v>1472</v>
      </c>
      <c r="G92" s="1038">
        <v>1</v>
      </c>
      <c r="H92" s="124" t="s">
        <v>1373</v>
      </c>
      <c r="I92" s="125" t="s">
        <v>1377</v>
      </c>
      <c r="J92" s="126" t="s">
        <v>2200</v>
      </c>
      <c r="K92" s="126" t="s">
        <v>2197</v>
      </c>
      <c r="L92" s="855">
        <f>'BID II'!F2306</f>
        <v>3000000</v>
      </c>
      <c r="M92" s="268" t="s">
        <v>1375</v>
      </c>
      <c r="N92" s="268" t="s">
        <v>1376</v>
      </c>
    </row>
    <row r="93" spans="1:14" x14ac:dyDescent="0.25">
      <c r="A93" s="2075" t="s">
        <v>1909</v>
      </c>
      <c r="B93" s="2076"/>
      <c r="C93" s="2076"/>
      <c r="D93" s="2076"/>
      <c r="E93" s="2076"/>
      <c r="F93" s="2076"/>
      <c r="G93" s="2076"/>
      <c r="H93" s="2076"/>
      <c r="I93" s="2076"/>
      <c r="J93" s="2076"/>
      <c r="K93" s="2077"/>
      <c r="L93" s="857" t="e">
        <f>SUM(L48:L92)</f>
        <v>#REF!</v>
      </c>
      <c r="M93" s="985"/>
      <c r="N93" s="251"/>
    </row>
    <row r="94" spans="1:14" ht="63" x14ac:dyDescent="0.25">
      <c r="A94" s="32"/>
      <c r="B94" s="66" t="str">
        <f>'BID III'!B5</f>
        <v>: Pembinaan Kemasyarakatan Desa</v>
      </c>
      <c r="C94" s="267">
        <v>1</v>
      </c>
      <c r="D94" s="66" t="str">
        <f>'BID III'!B7</f>
        <v xml:space="preserve">Pengadaan/Pen (pembangunan pos, Perbaikan Pos Keamanan di Depan Pura Dalem Laplap) </v>
      </c>
      <c r="E94" s="1040" t="s">
        <v>2217</v>
      </c>
      <c r="F94" s="133" t="s">
        <v>1382</v>
      </c>
      <c r="G94" s="1038">
        <v>1</v>
      </c>
      <c r="H94" s="124" t="s">
        <v>1373</v>
      </c>
      <c r="I94" s="125" t="s">
        <v>1377</v>
      </c>
      <c r="J94" s="126" t="s">
        <v>2200</v>
      </c>
      <c r="K94" s="126" t="s">
        <v>2197</v>
      </c>
      <c r="L94" s="470">
        <f>'BID III'!F21</f>
        <v>2500000</v>
      </c>
      <c r="M94" s="268" t="s">
        <v>1375</v>
      </c>
      <c r="N94" s="268" t="s">
        <v>1376</v>
      </c>
    </row>
    <row r="95" spans="1:14" ht="63" x14ac:dyDescent="0.25">
      <c r="A95" s="32"/>
      <c r="B95" s="66"/>
      <c r="C95" s="267">
        <v>2</v>
      </c>
      <c r="D95" s="66" t="str">
        <f>'BID III'!B29</f>
        <v>:Koordinasi Pembinaan Ketentraman, Ketertiban, dan Perlindungan Masyarakat (Pengamanan Pengerupukan)</v>
      </c>
      <c r="E95" s="1040" t="s">
        <v>2217</v>
      </c>
      <c r="F95" s="133" t="s">
        <v>1382</v>
      </c>
      <c r="G95" s="1038">
        <v>1</v>
      </c>
      <c r="H95" s="124" t="s">
        <v>1373</v>
      </c>
      <c r="I95" s="125" t="s">
        <v>1377</v>
      </c>
      <c r="J95" s="126" t="s">
        <v>2200</v>
      </c>
      <c r="K95" s="126" t="s">
        <v>2197</v>
      </c>
      <c r="L95" s="470">
        <f>'BID III'!F48</f>
        <v>7040000</v>
      </c>
      <c r="M95" s="268" t="s">
        <v>1375</v>
      </c>
      <c r="N95" s="268" t="s">
        <v>1376</v>
      </c>
    </row>
    <row r="96" spans="1:14" ht="63" x14ac:dyDescent="0.25">
      <c r="A96" s="32"/>
      <c r="B96" s="66"/>
      <c r="C96" s="267">
        <v>3</v>
      </c>
      <c r="D96" s="66" t="str">
        <f>'BID III'!B62</f>
        <v>: Koordinasi Pembinaan Ketentraman, Ketertiban, dan Perlindungan Masyarakat (Pengamanan Tahun Baru)</v>
      </c>
      <c r="E96" s="1040" t="s">
        <v>2217</v>
      </c>
      <c r="F96" s="133" t="s">
        <v>1382</v>
      </c>
      <c r="G96" s="1038">
        <v>1</v>
      </c>
      <c r="H96" s="124" t="s">
        <v>1373</v>
      </c>
      <c r="I96" s="125" t="s">
        <v>1377</v>
      </c>
      <c r="J96" s="126" t="s">
        <v>2200</v>
      </c>
      <c r="K96" s="126" t="s">
        <v>2197</v>
      </c>
      <c r="L96" s="470">
        <f>'BID III'!F81</f>
        <v>8540000</v>
      </c>
      <c r="M96" s="268" t="s">
        <v>1375</v>
      </c>
      <c r="N96" s="268" t="s">
        <v>1376</v>
      </c>
    </row>
    <row r="97" spans="1:14" ht="63" x14ac:dyDescent="0.25">
      <c r="A97" s="32"/>
      <c r="B97" s="66"/>
      <c r="C97" s="267">
        <v>4</v>
      </c>
      <c r="D97" s="66" t="str">
        <f>'BID III'!B95</f>
        <v>:Koordinasi Pembinaan Ketentraman, Ketertiban, dan Perlindungan Masyarakat (Penjagaan Linmas Desa)</v>
      </c>
      <c r="E97" s="1040" t="s">
        <v>2217</v>
      </c>
      <c r="F97" s="133" t="s">
        <v>2238</v>
      </c>
      <c r="G97" s="1038">
        <v>1</v>
      </c>
      <c r="H97" s="124" t="s">
        <v>1373</v>
      </c>
      <c r="I97" s="125" t="s">
        <v>1408</v>
      </c>
      <c r="J97" s="126" t="s">
        <v>2239</v>
      </c>
      <c r="K97" s="126" t="s">
        <v>2197</v>
      </c>
      <c r="L97" s="470">
        <f>'BID III'!F127</f>
        <v>416098660</v>
      </c>
      <c r="M97" s="268" t="s">
        <v>1375</v>
      </c>
      <c r="N97" s="268" t="s">
        <v>1376</v>
      </c>
    </row>
    <row r="98" spans="1:14" ht="70.5" customHeight="1" x14ac:dyDescent="0.25">
      <c r="A98" s="32"/>
      <c r="B98" s="66"/>
      <c r="C98" s="267">
        <v>5</v>
      </c>
      <c r="D98" s="66" t="str">
        <f>'BID III'!B141</f>
        <v>: Pelatihan Kesiapsiagaan/Tanggap Bencana Skala Lokal Desa ( Pelatihan Tanggap Darurat Bencana )</v>
      </c>
      <c r="E98" s="1040" t="s">
        <v>2217</v>
      </c>
      <c r="F98" s="133" t="s">
        <v>2238</v>
      </c>
      <c r="G98" s="1038">
        <v>1</v>
      </c>
      <c r="H98" s="124" t="s">
        <v>1373</v>
      </c>
      <c r="I98" s="125" t="s">
        <v>1408</v>
      </c>
      <c r="J98" s="126" t="s">
        <v>2239</v>
      </c>
      <c r="K98" s="32"/>
      <c r="L98" s="470">
        <f>'BID III'!F170</f>
        <v>8578000</v>
      </c>
      <c r="M98" s="268" t="s">
        <v>1375</v>
      </c>
      <c r="N98" s="268" t="s">
        <v>1376</v>
      </c>
    </row>
    <row r="99" spans="1:14" ht="58.5" customHeight="1" x14ac:dyDescent="0.25">
      <c r="A99" s="32"/>
      <c r="B99" s="66"/>
      <c r="C99" s="267">
        <v>6</v>
      </c>
      <c r="D99" s="66" t="str">
        <f>'BID III'!B183</f>
        <v>: Pembinaan Kesenian, Adat, Kebudayaan, dan Keagamaan ( Pembinaan Sekaa Seni Joged )</v>
      </c>
      <c r="E99" s="1040" t="s">
        <v>2217</v>
      </c>
      <c r="F99" s="133" t="s">
        <v>1484</v>
      </c>
      <c r="G99" s="1038">
        <v>1</v>
      </c>
      <c r="H99" s="124" t="s">
        <v>1373</v>
      </c>
      <c r="I99" s="125" t="s">
        <v>1377</v>
      </c>
      <c r="J99" s="126" t="s">
        <v>2200</v>
      </c>
      <c r="K99" s="126" t="s">
        <v>2197</v>
      </c>
      <c r="L99" s="470">
        <f>'BID III'!F211</f>
        <v>37765000</v>
      </c>
      <c r="M99" s="268" t="s">
        <v>1375</v>
      </c>
      <c r="N99" s="268" t="s">
        <v>1376</v>
      </c>
    </row>
    <row r="100" spans="1:14" ht="125.25" customHeight="1" x14ac:dyDescent="0.25">
      <c r="A100" s="32"/>
      <c r="B100" s="66"/>
      <c r="C100" s="267">
        <v>7</v>
      </c>
      <c r="D100" s="66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E100" s="1040" t="s">
        <v>2217</v>
      </c>
      <c r="F100" s="1038">
        <v>1</v>
      </c>
      <c r="G100" s="124" t="s">
        <v>1373</v>
      </c>
      <c r="H100" s="125" t="s">
        <v>1377</v>
      </c>
      <c r="I100" s="126" t="s">
        <v>2200</v>
      </c>
      <c r="J100" s="126" t="s">
        <v>2200</v>
      </c>
      <c r="K100" s="126" t="s">
        <v>2197</v>
      </c>
      <c r="L100" s="470">
        <f>'BID III'!F286</f>
        <v>35502000</v>
      </c>
      <c r="M100" s="268" t="s">
        <v>1375</v>
      </c>
      <c r="N100" s="268" t="s">
        <v>1376</v>
      </c>
    </row>
    <row r="101" spans="1:14" ht="63.75" customHeight="1" x14ac:dyDescent="0.25">
      <c r="A101" s="32"/>
      <c r="B101" s="66"/>
      <c r="C101" s="267">
        <v>8</v>
      </c>
      <c r="D101" s="66" t="str">
        <f>'BID III'!B299</f>
        <v>Pemeliharaan sarana prasarana keagamaan milik desa (Pavingnisasi Area Pura Dalem Taman Pohmanis)</v>
      </c>
      <c r="E101" s="1040">
        <v>9</v>
      </c>
      <c r="F101" s="66" t="s">
        <v>2240</v>
      </c>
      <c r="G101" s="984">
        <v>1</v>
      </c>
      <c r="H101" s="66" t="s">
        <v>1373</v>
      </c>
      <c r="I101" s="32" t="s">
        <v>2241</v>
      </c>
      <c r="J101" s="126" t="s">
        <v>2200</v>
      </c>
      <c r="K101" s="126" t="s">
        <v>2197</v>
      </c>
      <c r="L101" s="470">
        <f>'BID III'!F324</f>
        <v>94693000</v>
      </c>
      <c r="M101" s="268" t="s">
        <v>1375</v>
      </c>
      <c r="N101" s="268" t="s">
        <v>1376</v>
      </c>
    </row>
    <row r="102" spans="1:14" ht="63.75" customHeight="1" x14ac:dyDescent="0.25">
      <c r="A102" s="32"/>
      <c r="B102" s="66"/>
      <c r="C102" s="267">
        <v>9</v>
      </c>
      <c r="D102" s="66" t="str">
        <f>'BID III'!B338</f>
        <v>: Pemeliharaan Sarana dan Prasarana kebudayaan/Rumah adat (Candi Banjar Mertasari)</v>
      </c>
      <c r="E102" s="1040">
        <v>9</v>
      </c>
      <c r="F102" s="66" t="s">
        <v>2242</v>
      </c>
      <c r="G102" s="984">
        <v>1</v>
      </c>
      <c r="H102" s="66" t="s">
        <v>1373</v>
      </c>
      <c r="I102" s="32" t="s">
        <v>2243</v>
      </c>
      <c r="J102" s="126" t="s">
        <v>2200</v>
      </c>
      <c r="K102" s="126" t="s">
        <v>2197</v>
      </c>
      <c r="L102" s="470">
        <f>'BID III'!F368</f>
        <v>77163000</v>
      </c>
      <c r="M102" s="268" t="s">
        <v>1375</v>
      </c>
      <c r="N102" s="268" t="s">
        <v>1376</v>
      </c>
    </row>
    <row r="103" spans="1:14" ht="63.75" customHeight="1" x14ac:dyDescent="0.25">
      <c r="A103" s="32"/>
      <c r="B103" s="66"/>
      <c r="C103" s="267">
        <v>10</v>
      </c>
      <c r="D103" s="66" t="str">
        <f>'BID III'!B382</f>
        <v xml:space="preserve"> : Pembinaan Adat dan Keagamaan (Piodalan Padmasana)</v>
      </c>
      <c r="E103" s="1040" t="s">
        <v>2217</v>
      </c>
      <c r="F103" s="133" t="s">
        <v>1476</v>
      </c>
      <c r="G103" s="1038">
        <v>1</v>
      </c>
      <c r="H103" s="124" t="s">
        <v>1373</v>
      </c>
      <c r="I103" s="125" t="s">
        <v>1377</v>
      </c>
      <c r="J103" s="126" t="s">
        <v>2244</v>
      </c>
      <c r="K103" s="126" t="s">
        <v>2197</v>
      </c>
      <c r="L103" s="470">
        <f>'BID III'!F408</f>
        <v>15474698</v>
      </c>
      <c r="M103" s="268" t="s">
        <v>1375</v>
      </c>
      <c r="N103" s="268" t="s">
        <v>1376</v>
      </c>
    </row>
    <row r="104" spans="1:14" ht="63.75" customHeight="1" x14ac:dyDescent="0.25">
      <c r="A104" s="32"/>
      <c r="B104" s="66"/>
      <c r="C104" s="267">
        <v>11</v>
      </c>
      <c r="D104" s="66" t="str">
        <f>'BID III'!B421</f>
        <v>: Pembinaan Adat dan Keagamaan (Upakara dan Upacara)</v>
      </c>
      <c r="E104" s="1040" t="s">
        <v>2217</v>
      </c>
      <c r="F104" s="133" t="s">
        <v>1476</v>
      </c>
      <c r="G104" s="1038">
        <v>1</v>
      </c>
      <c r="H104" s="124" t="s">
        <v>1373</v>
      </c>
      <c r="I104" s="125" t="s">
        <v>1377</v>
      </c>
      <c r="J104" s="126" t="s">
        <v>2244</v>
      </c>
      <c r="K104" s="32"/>
      <c r="L104" s="470">
        <f>'BID III'!F442</f>
        <v>8480000</v>
      </c>
      <c r="M104" s="268" t="s">
        <v>1375</v>
      </c>
      <c r="N104" s="268" t="s">
        <v>1376</v>
      </c>
    </row>
    <row r="105" spans="1:14" ht="43.5" customHeight="1" x14ac:dyDescent="0.25">
      <c r="A105" s="32"/>
      <c r="B105" s="66"/>
      <c r="C105" s="267">
        <v>12</v>
      </c>
      <c r="D105" s="66" t="str">
        <f>'BID III'!B485</f>
        <v xml:space="preserve"> : Penunjang Oprasional Subak/Subak Abian (BKKProvinsi)</v>
      </c>
      <c r="E105" s="1040" t="s">
        <v>2217</v>
      </c>
      <c r="F105" s="133" t="s">
        <v>1476</v>
      </c>
      <c r="G105" s="1038">
        <v>1</v>
      </c>
      <c r="H105" s="124" t="s">
        <v>1373</v>
      </c>
      <c r="I105" s="125" t="s">
        <v>1377</v>
      </c>
      <c r="J105" s="126" t="s">
        <v>2200</v>
      </c>
      <c r="K105" s="126" t="s">
        <v>2197</v>
      </c>
      <c r="L105" s="470">
        <f>'BID III'!F495</f>
        <v>30000000</v>
      </c>
      <c r="M105" s="268" t="s">
        <v>1375</v>
      </c>
      <c r="N105" s="268" t="s">
        <v>1376</v>
      </c>
    </row>
    <row r="106" spans="1:14" ht="31.5" customHeight="1" x14ac:dyDescent="0.25">
      <c r="A106" s="32"/>
      <c r="B106" s="66"/>
      <c r="C106" s="267">
        <v>13</v>
      </c>
      <c r="D106" s="66" t="str">
        <f>'BID III'!B508</f>
        <v xml:space="preserve"> : Penunjang Oprasional Desa Pakraman(BKK Kota)</v>
      </c>
      <c r="E106" s="1040" t="s">
        <v>2217</v>
      </c>
      <c r="F106" s="133" t="s">
        <v>1476</v>
      </c>
      <c r="G106" s="1038">
        <v>1</v>
      </c>
      <c r="H106" s="124" t="s">
        <v>1373</v>
      </c>
      <c r="I106" s="125" t="s">
        <v>1377</v>
      </c>
      <c r="J106" s="126" t="s">
        <v>2200</v>
      </c>
      <c r="K106" s="126" t="s">
        <v>2197</v>
      </c>
      <c r="L106" s="470">
        <f>'BID III'!F518</f>
        <v>560000000</v>
      </c>
      <c r="M106" s="268" t="s">
        <v>1375</v>
      </c>
      <c r="N106" s="268" t="s">
        <v>1376</v>
      </c>
    </row>
    <row r="107" spans="1:14" ht="47.25" x14ac:dyDescent="0.25">
      <c r="A107" s="32"/>
      <c r="B107" s="66"/>
      <c r="C107" s="267">
        <v>14</v>
      </c>
      <c r="D107" s="66" t="str">
        <f>'BID III'!B530</f>
        <v>: Kegiatan Bakti Penganyaran</v>
      </c>
      <c r="E107" s="1040" t="s">
        <v>2217</v>
      </c>
      <c r="F107" s="133" t="s">
        <v>1476</v>
      </c>
      <c r="G107" s="1038">
        <v>1</v>
      </c>
      <c r="H107" s="124" t="s">
        <v>1373</v>
      </c>
      <c r="I107" s="125" t="s">
        <v>1377</v>
      </c>
      <c r="J107" s="126" t="s">
        <v>2245</v>
      </c>
      <c r="K107" s="126" t="s">
        <v>2197</v>
      </c>
      <c r="L107" s="470">
        <f>'BID III'!F553</f>
        <v>171000000</v>
      </c>
      <c r="M107" s="268" t="s">
        <v>1375</v>
      </c>
      <c r="N107" s="268" t="s">
        <v>1376</v>
      </c>
    </row>
    <row r="108" spans="1:14" ht="75.75" customHeight="1" x14ac:dyDescent="0.25">
      <c r="A108" s="32"/>
      <c r="B108" s="66"/>
      <c r="C108" s="267">
        <v>15</v>
      </c>
      <c r="D108" s="66" t="str">
        <f>'BID III'!B567</f>
        <v>: Pengiriman Kontingen Kepemudaan dan olahraga sebagai wakil desa di tingkat kecamatan dan kabupaten/ kota ( FORMI)</v>
      </c>
      <c r="E108" s="1040">
        <v>3</v>
      </c>
      <c r="F108" s="133" t="s">
        <v>1485</v>
      </c>
      <c r="G108" s="1038">
        <v>1</v>
      </c>
      <c r="H108" s="124" t="s">
        <v>1373</v>
      </c>
      <c r="I108" s="125" t="s">
        <v>1377</v>
      </c>
      <c r="J108" s="126" t="s">
        <v>2200</v>
      </c>
      <c r="K108" s="126" t="s">
        <v>2197</v>
      </c>
      <c r="L108" s="470">
        <f>'BID III'!F620</f>
        <v>67750000</v>
      </c>
      <c r="M108" s="268" t="s">
        <v>1375</v>
      </c>
      <c r="N108" s="268" t="s">
        <v>1376</v>
      </c>
    </row>
    <row r="109" spans="1:14" ht="166.5" customHeight="1" x14ac:dyDescent="0.25">
      <c r="A109" s="32"/>
      <c r="B109" s="66"/>
      <c r="C109" s="267">
        <v>16</v>
      </c>
      <c r="D109" s="66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E109" s="1040" t="s">
        <v>2237</v>
      </c>
      <c r="F109" s="133" t="s">
        <v>1477</v>
      </c>
      <c r="G109" s="1038">
        <v>1</v>
      </c>
      <c r="H109" s="124" t="s">
        <v>1373</v>
      </c>
      <c r="I109" s="125" t="s">
        <v>1377</v>
      </c>
      <c r="J109" s="126" t="s">
        <v>2236</v>
      </c>
      <c r="K109" s="126" t="s">
        <v>2197</v>
      </c>
      <c r="L109" s="470">
        <f>'BID III'!F713</f>
        <v>50681940</v>
      </c>
      <c r="M109" s="268" t="s">
        <v>1375</v>
      </c>
      <c r="N109" s="268" t="s">
        <v>1376</v>
      </c>
    </row>
    <row r="110" spans="1:14" ht="71.25" customHeight="1" x14ac:dyDescent="0.25">
      <c r="A110" s="32"/>
      <c r="B110" s="66"/>
      <c r="C110" s="267">
        <v>17</v>
      </c>
      <c r="D110" s="66" t="str">
        <f>'BID III'!B726</f>
        <v>: Penyelenggaraan festival/ lomba kepemudaan dan olahraga tingat Desa (FORMI DESA )</v>
      </c>
      <c r="E110" s="1040">
        <v>3</v>
      </c>
      <c r="F110" s="133" t="s">
        <v>1485</v>
      </c>
      <c r="G110" s="1038">
        <v>1</v>
      </c>
      <c r="H110" s="124" t="s">
        <v>1373</v>
      </c>
      <c r="I110" s="125" t="s">
        <v>1377</v>
      </c>
      <c r="J110" s="126" t="s">
        <v>2200</v>
      </c>
      <c r="K110" s="126" t="s">
        <v>2197</v>
      </c>
      <c r="L110" s="470">
        <f>'BID III'!F814</f>
        <v>149785000</v>
      </c>
      <c r="M110" s="268" t="s">
        <v>1375</v>
      </c>
      <c r="N110" s="268" t="s">
        <v>1376</v>
      </c>
    </row>
    <row r="111" spans="1:14" ht="47.25" x14ac:dyDescent="0.25">
      <c r="A111" s="32"/>
      <c r="B111" s="66"/>
      <c r="C111" s="267">
        <v>18</v>
      </c>
      <c r="D111" s="66" t="str">
        <f>'BID III'!B827</f>
        <v>: Pembinaan Karang Taruna</v>
      </c>
      <c r="E111" s="1040" t="s">
        <v>2217</v>
      </c>
      <c r="F111" s="133" t="s">
        <v>2246</v>
      </c>
      <c r="G111" s="1038">
        <v>1</v>
      </c>
      <c r="H111" s="124" t="s">
        <v>1373</v>
      </c>
      <c r="I111" s="125" t="s">
        <v>1377</v>
      </c>
      <c r="J111" s="126" t="s">
        <v>2200</v>
      </c>
      <c r="K111" s="126" t="s">
        <v>2197</v>
      </c>
      <c r="L111" s="470">
        <f>'BID III'!F852</f>
        <v>29662000</v>
      </c>
      <c r="M111" s="268" t="s">
        <v>1375</v>
      </c>
      <c r="N111" s="268" t="s">
        <v>1376</v>
      </c>
    </row>
    <row r="112" spans="1:14" ht="43.5" customHeight="1" x14ac:dyDescent="0.25">
      <c r="A112" s="32"/>
      <c r="B112" s="66"/>
      <c r="C112" s="267">
        <v>19</v>
      </c>
      <c r="D112" s="66" t="str">
        <f>'BID III'!B864</f>
        <v>: Penunjang Kegiatan Ekonomi Produktif untuk Sekeha Teruna (BKK Kota)</v>
      </c>
      <c r="E112" s="1040" t="s">
        <v>2217</v>
      </c>
      <c r="F112" s="133" t="s">
        <v>1476</v>
      </c>
      <c r="G112" s="1038">
        <v>1</v>
      </c>
      <c r="H112" s="124" t="s">
        <v>1373</v>
      </c>
      <c r="I112" s="125" t="s">
        <v>1377</v>
      </c>
      <c r="J112" s="126" t="s">
        <v>2200</v>
      </c>
      <c r="K112" s="126" t="s">
        <v>2197</v>
      </c>
      <c r="L112" s="470">
        <f>'BID III'!F874</f>
        <v>210000000</v>
      </c>
      <c r="M112" s="268" t="s">
        <v>1375</v>
      </c>
      <c r="N112" s="268" t="s">
        <v>1376</v>
      </c>
    </row>
    <row r="113" spans="1:14" ht="60" x14ac:dyDescent="0.25">
      <c r="A113" s="32"/>
      <c r="B113" s="66"/>
      <c r="C113" s="267">
        <v>20</v>
      </c>
      <c r="D113" s="66" t="str">
        <f>'BID III'!B887</f>
        <v>: Pelatihan Pembinaan Lembaga Kemasyarakatan (Bulan bakti Gotong royong LPM)</v>
      </c>
      <c r="E113" s="1040" t="s">
        <v>2217</v>
      </c>
      <c r="F113" s="133" t="s">
        <v>1478</v>
      </c>
      <c r="G113" s="1038">
        <v>1</v>
      </c>
      <c r="H113" s="124" t="s">
        <v>1373</v>
      </c>
      <c r="I113" s="125" t="s">
        <v>1377</v>
      </c>
      <c r="J113" s="126" t="s">
        <v>2247</v>
      </c>
      <c r="K113" s="126" t="s">
        <v>2197</v>
      </c>
      <c r="L113" s="470">
        <f>'BID III'!F946</f>
        <v>49987120</v>
      </c>
      <c r="M113" s="268" t="s">
        <v>1375</v>
      </c>
      <c r="N113" s="268" t="s">
        <v>1376</v>
      </c>
    </row>
    <row r="114" spans="1:14" ht="47.25" x14ac:dyDescent="0.25">
      <c r="A114" s="32"/>
      <c r="B114" s="66"/>
      <c r="C114" s="267">
        <v>21</v>
      </c>
      <c r="D114" s="66" t="str">
        <f>'BID III'!B959</f>
        <v>: Pembinaan LKMD / LPM / LPMD (Pelatihan LPM)</v>
      </c>
      <c r="E114" s="1040" t="s">
        <v>2217</v>
      </c>
      <c r="F114" s="133" t="s">
        <v>1479</v>
      </c>
      <c r="G114" s="1038">
        <v>1</v>
      </c>
      <c r="H114" s="124" t="s">
        <v>1373</v>
      </c>
      <c r="I114" s="125" t="s">
        <v>1377</v>
      </c>
      <c r="J114" s="126" t="s">
        <v>2247</v>
      </c>
      <c r="K114" s="126" t="s">
        <v>2197</v>
      </c>
      <c r="L114" s="470">
        <f>'BID III'!F979</f>
        <v>1205000</v>
      </c>
      <c r="M114" s="268" t="s">
        <v>1375</v>
      </c>
      <c r="N114" s="268" t="s">
        <v>1376</v>
      </c>
    </row>
    <row r="115" spans="1:14" ht="47.25" x14ac:dyDescent="0.25">
      <c r="A115" s="32"/>
      <c r="B115" s="66"/>
      <c r="C115" s="267">
        <v>22</v>
      </c>
      <c r="D115" s="66" t="str">
        <f>'BID III'!B992</f>
        <v>: Pembinaan PKK  ( Pembinaan administrasi )</v>
      </c>
      <c r="E115" s="1040" t="s">
        <v>2217</v>
      </c>
      <c r="F115" s="133" t="s">
        <v>1475</v>
      </c>
      <c r="G115" s="1038">
        <v>1</v>
      </c>
      <c r="H115" s="124" t="s">
        <v>1373</v>
      </c>
      <c r="I115" s="125" t="s">
        <v>1377</v>
      </c>
      <c r="J115" s="126" t="s">
        <v>2196</v>
      </c>
      <c r="K115" s="126" t="s">
        <v>2197</v>
      </c>
      <c r="L115" s="130">
        <f>'[2]BID III'!F238</f>
        <v>5048000</v>
      </c>
      <c r="M115" s="268" t="s">
        <v>1375</v>
      </c>
      <c r="N115" s="268" t="s">
        <v>1376</v>
      </c>
    </row>
    <row r="116" spans="1:14" ht="42.75" customHeight="1" x14ac:dyDescent="0.25">
      <c r="A116" s="251"/>
      <c r="B116" s="848"/>
      <c r="C116" s="267">
        <v>23</v>
      </c>
      <c r="D116" s="848" t="str">
        <f>'BID III'!B1027</f>
        <v>:Pelatihan Pembinaan Lembaga Kemasyarakatan (Input data  Dasawisma)</v>
      </c>
      <c r="E116" s="1043">
        <v>5</v>
      </c>
      <c r="F116" s="133" t="s">
        <v>1481</v>
      </c>
      <c r="G116" s="1038">
        <v>1</v>
      </c>
      <c r="H116" s="124" t="s">
        <v>1373</v>
      </c>
      <c r="I116" s="125" t="s">
        <v>1377</v>
      </c>
      <c r="J116" s="126" t="s">
        <v>2200</v>
      </c>
      <c r="K116" s="126" t="s">
        <v>2197</v>
      </c>
      <c r="L116" s="852">
        <f>'BID III'!F1048</f>
        <v>15190000</v>
      </c>
      <c r="M116" s="268" t="s">
        <v>1375</v>
      </c>
      <c r="N116" s="268" t="s">
        <v>1376</v>
      </c>
    </row>
    <row r="117" spans="1:14" ht="15.75" thickBot="1" x14ac:dyDescent="0.3">
      <c r="A117" s="251"/>
      <c r="B117" s="848"/>
      <c r="C117" s="251"/>
      <c r="D117" s="848"/>
      <c r="E117" s="251"/>
      <c r="F117" s="251"/>
      <c r="G117" s="251"/>
      <c r="H117" s="251"/>
      <c r="I117" s="251"/>
      <c r="J117" s="251"/>
      <c r="K117" s="251"/>
      <c r="L117" s="852"/>
      <c r="M117" s="268"/>
      <c r="N117" s="32"/>
    </row>
    <row r="118" spans="1:14" x14ac:dyDescent="0.25">
      <c r="A118" s="2075" t="s">
        <v>1910</v>
      </c>
      <c r="B118" s="2076"/>
      <c r="C118" s="2076"/>
      <c r="D118" s="2076"/>
      <c r="E118" s="2076"/>
      <c r="F118" s="2076"/>
      <c r="G118" s="2076"/>
      <c r="H118" s="2076"/>
      <c r="I118" s="2076"/>
      <c r="J118" s="2076"/>
      <c r="K118" s="2077"/>
      <c r="L118" s="857">
        <f>SUM(L94:L117)</f>
        <v>2052143418</v>
      </c>
      <c r="M118" s="985"/>
      <c r="N118" s="251"/>
    </row>
    <row r="119" spans="1:14" x14ac:dyDescent="0.25">
      <c r="A119" s="32"/>
      <c r="B119" s="66"/>
      <c r="C119" s="32"/>
      <c r="D119" s="66"/>
      <c r="E119" s="32"/>
      <c r="F119" s="32"/>
      <c r="G119" s="32"/>
      <c r="H119" s="32"/>
      <c r="I119" s="32"/>
      <c r="J119" s="32"/>
      <c r="K119" s="32"/>
      <c r="L119" s="470"/>
      <c r="M119" s="268"/>
      <c r="N119" s="32"/>
    </row>
    <row r="120" spans="1:14" ht="75" x14ac:dyDescent="0.25">
      <c r="A120" s="32"/>
      <c r="B120" s="66" t="str">
        <f>'BID IV'!B7</f>
        <v>: Pemberdayaan Masyarakat Desa</v>
      </c>
      <c r="C120" s="267">
        <v>1</v>
      </c>
      <c r="D120" s="851" t="str">
        <f>'BID IV'!B9</f>
        <v>: (Ketahanan Pangan) Pelatihan Budidaya Jamur</v>
      </c>
      <c r="E120" s="32" t="s">
        <v>2752</v>
      </c>
      <c r="F120" s="66" t="s">
        <v>2756</v>
      </c>
      <c r="G120" s="984">
        <v>1</v>
      </c>
      <c r="H120" s="66" t="s">
        <v>1373</v>
      </c>
      <c r="I120" s="32" t="s">
        <v>1414</v>
      </c>
      <c r="J120" s="32" t="s">
        <v>2222</v>
      </c>
      <c r="K120" s="32" t="s">
        <v>2768</v>
      </c>
      <c r="L120" s="470">
        <f>'BID IV'!F41</f>
        <v>12945000</v>
      </c>
      <c r="M120" s="268" t="s">
        <v>1375</v>
      </c>
      <c r="N120" s="268" t="s">
        <v>1376</v>
      </c>
    </row>
    <row r="121" spans="1:14" ht="75" x14ac:dyDescent="0.25">
      <c r="A121" s="32"/>
      <c r="B121" s="66"/>
      <c r="C121" s="267">
        <v>2</v>
      </c>
      <c r="D121" s="851" t="str">
        <f>'BID IV'!B56</f>
        <v>: Ketahanan Pangan ( Holti Kultural Budidaya Bawang Merah Dari Benih)</v>
      </c>
      <c r="E121" s="32" t="s">
        <v>2752</v>
      </c>
      <c r="F121" s="66" t="s">
        <v>2757</v>
      </c>
      <c r="G121" s="984">
        <v>1</v>
      </c>
      <c r="H121" s="66" t="s">
        <v>1373</v>
      </c>
      <c r="I121" s="32" t="s">
        <v>1414</v>
      </c>
      <c r="J121" s="32" t="s">
        <v>2222</v>
      </c>
      <c r="K121" s="32" t="s">
        <v>2768</v>
      </c>
      <c r="L121" s="470">
        <f>'BID IV'!F103</f>
        <v>50037000</v>
      </c>
      <c r="M121" s="268" t="s">
        <v>1375</v>
      </c>
      <c r="N121" s="268" t="s">
        <v>1376</v>
      </c>
    </row>
    <row r="122" spans="1:14" ht="43.5" customHeight="1" x14ac:dyDescent="0.25">
      <c r="A122" s="32"/>
      <c r="B122" s="66"/>
      <c r="C122" s="267">
        <v>3</v>
      </c>
      <c r="D122" s="851" t="str">
        <f>'BID IV'!B117</f>
        <v>: Penguatan Ketahanan Pangan Tingkat Desa ( Peningkatan ketersediaan Bibit/benih tanaman pangan)</v>
      </c>
      <c r="E122" s="32" t="s">
        <v>2752</v>
      </c>
      <c r="F122" s="66" t="s">
        <v>2758</v>
      </c>
      <c r="G122" s="984">
        <v>1</v>
      </c>
      <c r="H122" s="66" t="s">
        <v>1373</v>
      </c>
      <c r="I122" s="32" t="s">
        <v>1414</v>
      </c>
      <c r="J122" s="32" t="s">
        <v>2769</v>
      </c>
      <c r="K122" s="32" t="s">
        <v>2768</v>
      </c>
      <c r="L122" s="470">
        <f>'BID IV'!F147</f>
        <v>23430000</v>
      </c>
      <c r="M122" s="268" t="s">
        <v>1375</v>
      </c>
      <c r="N122" s="268" t="s">
        <v>1376</v>
      </c>
    </row>
    <row r="123" spans="1:14" ht="42.75" customHeight="1" x14ac:dyDescent="0.25">
      <c r="A123" s="32"/>
      <c r="B123" s="66"/>
      <c r="C123" s="267">
        <v>4</v>
      </c>
      <c r="D123" s="851" t="str">
        <f>'BID IV'!B162</f>
        <v>: Perbaikan Jalan Usaha Tani Subak Pohmanis</v>
      </c>
      <c r="E123" s="1040">
        <v>9</v>
      </c>
      <c r="F123" s="66" t="s">
        <v>2759</v>
      </c>
      <c r="G123" s="984">
        <v>1</v>
      </c>
      <c r="H123" s="66" t="s">
        <v>1373</v>
      </c>
      <c r="I123" s="32" t="s">
        <v>1414</v>
      </c>
      <c r="J123" s="126" t="s">
        <v>2200</v>
      </c>
      <c r="K123" s="32" t="s">
        <v>2768</v>
      </c>
      <c r="L123" s="470">
        <f>'BID II'!F1604+'BID II'!F1643+'BID II'!F1680+'BID II'!F1715+'BID II'!F1751+'BID II'!F1789</f>
        <v>241223250</v>
      </c>
      <c r="M123" s="268" t="s">
        <v>1375</v>
      </c>
      <c r="N123" s="268" t="s">
        <v>1376</v>
      </c>
    </row>
    <row r="124" spans="1:14" ht="54" customHeight="1" x14ac:dyDescent="0.25">
      <c r="A124" s="32"/>
      <c r="B124" s="66"/>
      <c r="C124" s="267">
        <v>5</v>
      </c>
      <c r="D124" s="851" t="str">
        <f>'BID IV'!B344</f>
        <v>:Pelatihan/Penyuluhan Pemberdayaan Perempuan (Pembinaan Kelompok P2WKSS)</v>
      </c>
      <c r="E124" s="1040" t="s">
        <v>2217</v>
      </c>
      <c r="F124" s="66" t="s">
        <v>2760</v>
      </c>
      <c r="G124" s="984">
        <v>1</v>
      </c>
      <c r="H124" s="66" t="s">
        <v>1373</v>
      </c>
      <c r="I124" s="32" t="s">
        <v>1414</v>
      </c>
      <c r="J124" s="126" t="s">
        <v>2200</v>
      </c>
      <c r="K124" s="32" t="s">
        <v>2768</v>
      </c>
      <c r="L124" s="470">
        <f>'BID IV'!F366</f>
        <v>1227000</v>
      </c>
      <c r="M124" s="268" t="s">
        <v>1375</v>
      </c>
      <c r="N124" s="268" t="s">
        <v>1376</v>
      </c>
    </row>
    <row r="125" spans="1:14" ht="60" x14ac:dyDescent="0.25">
      <c r="A125" s="32"/>
      <c r="B125" s="66"/>
      <c r="C125" s="267">
        <v>6</v>
      </c>
      <c r="D125" s="851" t="str">
        <f>'BID IV'!B187</f>
        <v>: Pelatihan Tim Verifikasi dan penyusunan RKP ( Pelatihan Penysunan RKPDes)</v>
      </c>
      <c r="E125" s="32" t="s">
        <v>2753</v>
      </c>
      <c r="F125" s="66" t="s">
        <v>2761</v>
      </c>
      <c r="G125" s="984">
        <v>1</v>
      </c>
      <c r="H125" s="66" t="s">
        <v>1373</v>
      </c>
      <c r="I125" s="32" t="s">
        <v>1414</v>
      </c>
      <c r="J125" s="126" t="s">
        <v>2200</v>
      </c>
      <c r="K125" s="32" t="s">
        <v>2768</v>
      </c>
      <c r="L125" s="470">
        <f>'BID IV'!F210</f>
        <v>1235000</v>
      </c>
      <c r="M125" s="268" t="s">
        <v>1375</v>
      </c>
      <c r="N125" s="268" t="s">
        <v>1376</v>
      </c>
    </row>
    <row r="126" spans="1:14" ht="60" x14ac:dyDescent="0.25">
      <c r="A126" s="32"/>
      <c r="B126" s="66"/>
      <c r="C126" s="267">
        <v>7</v>
      </c>
      <c r="D126" s="851" t="str">
        <f>'BID IV'!B226</f>
        <v>: Pelatihan Perangkat Desa</v>
      </c>
      <c r="E126" s="32" t="s">
        <v>2753</v>
      </c>
      <c r="F126" s="66" t="s">
        <v>2762</v>
      </c>
      <c r="G126" s="984">
        <v>1</v>
      </c>
      <c r="H126" s="66" t="s">
        <v>1373</v>
      </c>
      <c r="I126" s="32" t="s">
        <v>1414</v>
      </c>
      <c r="J126" s="126" t="s">
        <v>2200</v>
      </c>
      <c r="K126" s="32" t="s">
        <v>2768</v>
      </c>
      <c r="L126" s="470">
        <f>'BID IV'!F249</f>
        <v>43110000</v>
      </c>
      <c r="M126" s="268" t="s">
        <v>1375</v>
      </c>
      <c r="N126" s="268" t="s">
        <v>1376</v>
      </c>
    </row>
    <row r="127" spans="1:14" ht="60" x14ac:dyDescent="0.25">
      <c r="A127" s="32"/>
      <c r="B127" s="66"/>
      <c r="C127" s="267">
        <v>8</v>
      </c>
      <c r="D127" s="851" t="str">
        <f>'BID IV'!B266</f>
        <v>: Peningkatan Kapasitas BPD</v>
      </c>
      <c r="E127" s="32" t="s">
        <v>2753</v>
      </c>
      <c r="F127" s="66" t="s">
        <v>2763</v>
      </c>
      <c r="G127" s="984">
        <v>1</v>
      </c>
      <c r="H127" s="66" t="s">
        <v>1373</v>
      </c>
      <c r="I127" s="32" t="s">
        <v>1414</v>
      </c>
      <c r="J127" s="126" t="s">
        <v>2200</v>
      </c>
      <c r="K127" s="32" t="s">
        <v>2768</v>
      </c>
      <c r="L127" s="470">
        <f>'BID IV'!F292</f>
        <v>19120000</v>
      </c>
      <c r="M127" s="268" t="s">
        <v>1375</v>
      </c>
      <c r="N127" s="268" t="s">
        <v>1376</v>
      </c>
    </row>
    <row r="128" spans="1:14" ht="60" x14ac:dyDescent="0.25">
      <c r="A128" s="32"/>
      <c r="B128" s="66"/>
      <c r="C128" s="267">
        <v>9</v>
      </c>
      <c r="D128" s="851" t="str">
        <f>'BID IV'!B306</f>
        <v>: Pelatihan PKPKD, PPKD dan TPK</v>
      </c>
      <c r="E128" s="32" t="s">
        <v>2753</v>
      </c>
      <c r="F128" s="66" t="s">
        <v>2764</v>
      </c>
      <c r="G128" s="984">
        <v>1</v>
      </c>
      <c r="H128" s="66" t="s">
        <v>1373</v>
      </c>
      <c r="I128" s="32" t="s">
        <v>1414</v>
      </c>
      <c r="J128" s="126" t="s">
        <v>2200</v>
      </c>
      <c r="K128" s="32" t="s">
        <v>2768</v>
      </c>
      <c r="L128" s="470">
        <f>'BID IV'!F329</f>
        <v>1655000</v>
      </c>
      <c r="M128" s="268" t="s">
        <v>1375</v>
      </c>
      <c r="N128" s="268" t="s">
        <v>1376</v>
      </c>
    </row>
    <row r="129" spans="1:14" ht="75" x14ac:dyDescent="0.25">
      <c r="A129" s="32"/>
      <c r="B129" s="66"/>
      <c r="C129" s="267">
        <v>10</v>
      </c>
      <c r="D129" s="851" t="str">
        <f>'BID IV'!B381</f>
        <v>: Pengembangan sarana dan prasarana usaha mikro, kecil dan menengah serta koprasi  (Pelatihan Management BUMDes)</v>
      </c>
      <c r="E129" s="32" t="s">
        <v>2754</v>
      </c>
      <c r="F129" s="66" t="s">
        <v>2765</v>
      </c>
      <c r="G129" s="984">
        <v>1</v>
      </c>
      <c r="H129" s="66" t="s">
        <v>1373</v>
      </c>
      <c r="I129" s="32" t="s">
        <v>1414</v>
      </c>
      <c r="J129" s="126" t="s">
        <v>2200</v>
      </c>
      <c r="K129" s="32" t="s">
        <v>2768</v>
      </c>
      <c r="L129" s="470">
        <f>'BID IV'!F403</f>
        <v>1205000</v>
      </c>
      <c r="M129" s="268" t="s">
        <v>1375</v>
      </c>
      <c r="N129" s="268" t="s">
        <v>1376</v>
      </c>
    </row>
    <row r="130" spans="1:14" ht="60" x14ac:dyDescent="0.25">
      <c r="A130" s="251"/>
      <c r="B130" s="848"/>
      <c r="C130" s="267">
        <v>11</v>
      </c>
      <c r="D130" s="855" t="str">
        <f>'BID IV'!B417</f>
        <v>: Pelatihan Kelompok Usahan Ekonomi Produktif (Kelompok Pengerajin Lampion "Dewata Janur Desa Penatih Dangin Puri)</v>
      </c>
      <c r="E130" s="251" t="s">
        <v>2755</v>
      </c>
      <c r="F130" s="848" t="s">
        <v>2766</v>
      </c>
      <c r="G130" s="984">
        <v>1</v>
      </c>
      <c r="H130" s="66" t="s">
        <v>1373</v>
      </c>
      <c r="I130" s="32" t="s">
        <v>1414</v>
      </c>
      <c r="J130" s="126" t="s">
        <v>2497</v>
      </c>
      <c r="K130" s="32" t="s">
        <v>2768</v>
      </c>
      <c r="L130" s="852">
        <f>'BID IV'!F465</f>
        <v>46276296</v>
      </c>
      <c r="M130" s="268" t="s">
        <v>1375</v>
      </c>
      <c r="N130" s="268" t="s">
        <v>1376</v>
      </c>
    </row>
    <row r="131" spans="1:14" ht="60" x14ac:dyDescent="0.25">
      <c r="A131" s="251"/>
      <c r="B131" s="848"/>
      <c r="C131" s="267">
        <v>12</v>
      </c>
      <c r="D131" s="855" t="str">
        <f>'BID IV'!B479</f>
        <v>: Pelatihan Kelompok Usahan Ekonomi Produktif (Kelompok Pengerajin Furniture)</v>
      </c>
      <c r="E131" s="251" t="s">
        <v>2755</v>
      </c>
      <c r="F131" s="848" t="s">
        <v>2767</v>
      </c>
      <c r="G131" s="984">
        <v>1</v>
      </c>
      <c r="H131" s="66" t="s">
        <v>1373</v>
      </c>
      <c r="I131" s="32" t="s">
        <v>1414</v>
      </c>
      <c r="J131" s="126" t="s">
        <v>2497</v>
      </c>
      <c r="K131" s="32" t="s">
        <v>2768</v>
      </c>
      <c r="L131" s="852">
        <f>'BID IV'!F521</f>
        <v>86506000</v>
      </c>
      <c r="M131" s="268" t="s">
        <v>1375</v>
      </c>
      <c r="N131" s="268" t="s">
        <v>1376</v>
      </c>
    </row>
    <row r="132" spans="1:14" ht="42.75" customHeight="1" thickBot="1" x14ac:dyDescent="0.3">
      <c r="A132" s="251"/>
      <c r="B132" s="848"/>
      <c r="C132" s="267">
        <v>13</v>
      </c>
      <c r="D132" s="855" t="str">
        <f>'BID V'!B7</f>
        <v xml:space="preserve"> Penanggulangan Keadaan Mendesak Pemberian BLT</v>
      </c>
      <c r="E132" s="251">
        <v>1</v>
      </c>
      <c r="F132" s="848" t="s">
        <v>2751</v>
      </c>
      <c r="G132" s="984">
        <v>1</v>
      </c>
      <c r="H132" s="66" t="s">
        <v>1373</v>
      </c>
      <c r="I132" s="32" t="s">
        <v>2223</v>
      </c>
      <c r="J132" s="126" t="s">
        <v>2200</v>
      </c>
      <c r="K132" s="32" t="s">
        <v>2768</v>
      </c>
      <c r="L132" s="852">
        <f>'BID V'!F18</f>
        <v>151200000</v>
      </c>
      <c r="M132" s="268" t="s">
        <v>1375</v>
      </c>
      <c r="N132" s="268" t="s">
        <v>1376</v>
      </c>
    </row>
    <row r="133" spans="1:14" ht="15.75" thickBot="1" x14ac:dyDescent="0.3">
      <c r="A133" s="2075" t="s">
        <v>1911</v>
      </c>
      <c r="B133" s="2076"/>
      <c r="C133" s="2076"/>
      <c r="D133" s="2076"/>
      <c r="E133" s="2076"/>
      <c r="F133" s="2076"/>
      <c r="G133" s="2076"/>
      <c r="H133" s="2076"/>
      <c r="I133" s="2076"/>
      <c r="J133" s="2076"/>
      <c r="K133" s="2077"/>
      <c r="L133" s="857">
        <f>SUM(L120:L132)</f>
        <v>679169546</v>
      </c>
      <c r="M133" s="986"/>
      <c r="N133" s="861"/>
    </row>
    <row r="134" spans="1:14" ht="15.75" thickBot="1" x14ac:dyDescent="0.3">
      <c r="A134" s="2072" t="s">
        <v>1554</v>
      </c>
      <c r="B134" s="2073"/>
      <c r="C134" s="2073"/>
      <c r="D134" s="2073"/>
      <c r="E134" s="2073"/>
      <c r="F134" s="2073"/>
      <c r="G134" s="2073"/>
      <c r="H134" s="2073"/>
      <c r="I134" s="2073"/>
      <c r="J134" s="2073"/>
      <c r="K134" s="2073"/>
      <c r="L134" s="859" t="e">
        <f>L133+L118+L93+L47</f>
        <v>#REF!</v>
      </c>
      <c r="M134" s="987"/>
      <c r="N134" s="860"/>
    </row>
    <row r="136" spans="1:14" x14ac:dyDescent="0.25">
      <c r="A136" s="2053" t="s">
        <v>2770</v>
      </c>
      <c r="B136" s="2053"/>
      <c r="C136" s="2053"/>
      <c r="D136" s="2053"/>
      <c r="J136" s="2053" t="s">
        <v>2772</v>
      </c>
      <c r="K136" s="2053"/>
      <c r="L136" s="2053"/>
      <c r="M136" s="2053"/>
    </row>
    <row r="137" spans="1:14" x14ac:dyDescent="0.25">
      <c r="A137" s="2053" t="s">
        <v>2771</v>
      </c>
      <c r="B137" s="2053"/>
      <c r="C137" s="2053"/>
      <c r="D137" s="2053"/>
      <c r="J137" s="2053" t="s">
        <v>2773</v>
      </c>
      <c r="K137" s="2053"/>
      <c r="L137" s="2053"/>
      <c r="M137" s="2053"/>
    </row>
    <row r="138" spans="1:14" x14ac:dyDescent="0.25">
      <c r="A138" s="506"/>
      <c r="B138" s="506"/>
      <c r="C138" s="506"/>
      <c r="D138" s="506"/>
      <c r="J138" s="2053" t="s">
        <v>2774</v>
      </c>
      <c r="K138" s="2053"/>
      <c r="L138" s="2053"/>
      <c r="M138" s="2053"/>
    </row>
    <row r="139" spans="1:14" x14ac:dyDescent="0.25">
      <c r="A139" s="506"/>
      <c r="B139" s="506"/>
      <c r="C139" s="506"/>
      <c r="D139" s="506"/>
      <c r="J139" s="506"/>
      <c r="K139" s="506"/>
      <c r="L139" s="506"/>
    </row>
    <row r="142" spans="1:14" x14ac:dyDescent="0.25">
      <c r="A142" s="2053" t="s">
        <v>30</v>
      </c>
      <c r="B142" s="2053"/>
      <c r="C142" s="2053"/>
      <c r="D142" s="2053"/>
      <c r="J142" s="2053" t="s">
        <v>615</v>
      </c>
      <c r="K142" s="2053"/>
      <c r="L142" s="2053"/>
      <c r="M142" s="2053"/>
    </row>
  </sheetData>
  <mergeCells count="18">
    <mergeCell ref="O9:O10"/>
    <mergeCell ref="A1:N1"/>
    <mergeCell ref="A2:N2"/>
    <mergeCell ref="B9:D9"/>
    <mergeCell ref="L9:M9"/>
    <mergeCell ref="N9:N10"/>
    <mergeCell ref="A47:K47"/>
    <mergeCell ref="A93:K93"/>
    <mergeCell ref="A118:K118"/>
    <mergeCell ref="A133:K133"/>
    <mergeCell ref="A134:K134"/>
    <mergeCell ref="A136:D136"/>
    <mergeCell ref="A137:D137"/>
    <mergeCell ref="A142:D142"/>
    <mergeCell ref="J136:M136"/>
    <mergeCell ref="J137:M137"/>
    <mergeCell ref="J138:M138"/>
    <mergeCell ref="J142:M142"/>
  </mergeCells>
  <pageMargins left="0.7" right="1.45" top="0.75" bottom="0.75" header="0.3" footer="0.3"/>
  <pageSetup paperSize="5" scale="55" orientation="landscape" horizontalDpi="90" verticalDpi="9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5"/>
  <sheetViews>
    <sheetView topLeftCell="A18" zoomScale="90" zoomScaleNormal="90" workbookViewId="0">
      <selection sqref="A1:J35"/>
    </sheetView>
  </sheetViews>
  <sheetFormatPr defaultRowHeight="15" x14ac:dyDescent="0.25"/>
  <cols>
    <col min="1" max="1" width="4.5703125" customWidth="1"/>
    <col min="2" max="2" width="20.42578125" customWidth="1"/>
    <col min="3" max="3" width="3.5703125" customWidth="1"/>
    <col min="4" max="4" width="24.28515625" customWidth="1"/>
    <col min="5" max="5" width="9.85546875" customWidth="1"/>
    <col min="6" max="6" width="10.140625" customWidth="1"/>
    <col min="7" max="7" width="18.28515625" customWidth="1"/>
    <col min="8" max="8" width="16.5703125" customWidth="1"/>
    <col min="9" max="9" width="22" customWidth="1"/>
    <col min="10" max="10" width="14.7109375" customWidth="1"/>
  </cols>
  <sheetData>
    <row r="1" spans="1:10" ht="15.75" x14ac:dyDescent="0.25">
      <c r="A1" s="2092" t="s">
        <v>1532</v>
      </c>
      <c r="B1" s="2092"/>
      <c r="C1" s="2092"/>
      <c r="D1" s="2092"/>
      <c r="E1" s="2092"/>
      <c r="F1" s="2092"/>
      <c r="G1" s="2092"/>
      <c r="H1" s="2092"/>
      <c r="I1" s="2092"/>
      <c r="J1" s="2092"/>
    </row>
    <row r="2" spans="1:10" ht="15.75" x14ac:dyDescent="0.25">
      <c r="A2" s="2092" t="s">
        <v>1556</v>
      </c>
      <c r="B2" s="2092"/>
      <c r="C2" s="2092"/>
      <c r="D2" s="2092"/>
      <c r="E2" s="2092"/>
      <c r="F2" s="2092"/>
      <c r="G2" s="2092"/>
      <c r="H2" s="2092"/>
      <c r="I2" s="2092"/>
      <c r="J2" s="2092"/>
    </row>
    <row r="3" spans="1:10" ht="15.75" x14ac:dyDescent="0.25">
      <c r="A3" s="111" t="s">
        <v>1533</v>
      </c>
      <c r="B3" s="405"/>
      <c r="C3" s="406" t="s">
        <v>65</v>
      </c>
      <c r="D3" s="405" t="s">
        <v>1534</v>
      </c>
      <c r="E3" s="405"/>
      <c r="F3" s="405"/>
      <c r="G3" s="405"/>
      <c r="H3" s="405"/>
      <c r="I3" s="405"/>
    </row>
    <row r="4" spans="1:10" ht="15.75" x14ac:dyDescent="0.25">
      <c r="A4" s="111" t="s">
        <v>1535</v>
      </c>
      <c r="B4" s="407"/>
      <c r="C4" s="406" t="s">
        <v>65</v>
      </c>
      <c r="D4" s="405" t="s">
        <v>1536</v>
      </c>
      <c r="E4" s="405"/>
      <c r="F4" s="405"/>
      <c r="G4" s="405"/>
      <c r="H4" s="405"/>
      <c r="I4" s="405"/>
    </row>
    <row r="5" spans="1:10" ht="15.75" x14ac:dyDescent="0.25">
      <c r="A5" s="111" t="s">
        <v>1537</v>
      </c>
      <c r="B5" s="407"/>
      <c r="C5" s="406" t="s">
        <v>65</v>
      </c>
      <c r="D5" s="405" t="s">
        <v>1538</v>
      </c>
      <c r="E5" s="405"/>
      <c r="F5" s="405"/>
      <c r="G5" s="405"/>
      <c r="H5" s="405"/>
      <c r="I5" s="111"/>
    </row>
    <row r="6" spans="1:10" ht="15.75" x14ac:dyDescent="0.25">
      <c r="A6" s="111" t="s">
        <v>1539</v>
      </c>
      <c r="B6" s="407"/>
      <c r="C6" s="406" t="s">
        <v>65</v>
      </c>
      <c r="D6" s="405" t="s">
        <v>1540</v>
      </c>
      <c r="E6" s="405"/>
      <c r="F6" s="405"/>
      <c r="G6" s="405"/>
      <c r="H6" s="405"/>
      <c r="I6" s="111"/>
    </row>
    <row r="7" spans="1:10" ht="16.5" thickBot="1" x14ac:dyDescent="0.3">
      <c r="A7" s="405"/>
      <c r="B7" s="405"/>
      <c r="C7" s="405"/>
      <c r="D7" s="405"/>
      <c r="E7" s="405"/>
      <c r="F7" s="405"/>
      <c r="G7" s="405"/>
      <c r="H7" s="405"/>
      <c r="I7" s="405"/>
    </row>
    <row r="8" spans="1:10" ht="48" thickBot="1" x14ac:dyDescent="0.3">
      <c r="A8" s="408" t="s">
        <v>1295</v>
      </c>
      <c r="B8" s="409" t="s">
        <v>1354</v>
      </c>
      <c r="C8" s="409"/>
      <c r="D8" s="409" t="s">
        <v>1355</v>
      </c>
      <c r="E8" s="410" t="s">
        <v>1348</v>
      </c>
      <c r="F8" s="410" t="s">
        <v>610</v>
      </c>
      <c r="G8" s="409" t="s">
        <v>1541</v>
      </c>
      <c r="H8" s="409" t="s">
        <v>1542</v>
      </c>
      <c r="I8" s="411" t="s">
        <v>1543</v>
      </c>
      <c r="J8" s="411" t="s">
        <v>1544</v>
      </c>
    </row>
    <row r="9" spans="1:10" ht="15.75" x14ac:dyDescent="0.25">
      <c r="A9" s="2093">
        <v>1</v>
      </c>
      <c r="B9" s="2095" t="s">
        <v>59</v>
      </c>
      <c r="C9" s="412"/>
      <c r="D9" s="413"/>
      <c r="E9" s="414"/>
      <c r="F9" s="415"/>
      <c r="G9" s="415"/>
      <c r="H9" s="415"/>
      <c r="I9" s="416"/>
      <c r="J9" s="417"/>
    </row>
    <row r="10" spans="1:10" ht="15.75" x14ac:dyDescent="0.25">
      <c r="A10" s="2094"/>
      <c r="B10" s="2096"/>
      <c r="C10" s="418"/>
      <c r="D10" s="419"/>
      <c r="E10" s="420"/>
      <c r="F10" s="420"/>
      <c r="G10" s="421"/>
      <c r="H10" s="421"/>
      <c r="I10" s="422"/>
      <c r="J10" s="423"/>
    </row>
    <row r="11" spans="1:10" ht="28.5" customHeight="1" x14ac:dyDescent="0.25">
      <c r="A11" s="2088"/>
      <c r="B11" s="2090"/>
      <c r="C11" s="424"/>
      <c r="D11" s="419"/>
      <c r="E11" s="420"/>
      <c r="F11" s="420"/>
      <c r="G11" s="420"/>
      <c r="H11" s="420"/>
      <c r="I11" s="422"/>
      <c r="J11" s="423"/>
    </row>
    <row r="12" spans="1:10" ht="15.75" x14ac:dyDescent="0.25">
      <c r="A12" s="2085" t="s">
        <v>1378</v>
      </c>
      <c r="B12" s="2086"/>
      <c r="C12" s="2086"/>
      <c r="D12" s="2086"/>
      <c r="E12" s="2086"/>
      <c r="F12" s="2086"/>
      <c r="G12" s="2086"/>
      <c r="H12" s="2091"/>
      <c r="I12" s="422">
        <f>SUM(I9:I11)</f>
        <v>0</v>
      </c>
      <c r="J12" s="423"/>
    </row>
    <row r="13" spans="1:10" ht="78.75" x14ac:dyDescent="0.25">
      <c r="A13" s="1649">
        <v>2</v>
      </c>
      <c r="B13" s="419" t="s">
        <v>980</v>
      </c>
      <c r="C13" s="424"/>
      <c r="D13" s="425" t="s">
        <v>2388</v>
      </c>
      <c r="E13" s="426" t="s">
        <v>1373</v>
      </c>
      <c r="F13" s="427" t="s">
        <v>1545</v>
      </c>
      <c r="G13" s="419" t="s">
        <v>2983</v>
      </c>
      <c r="H13" s="428" t="s">
        <v>2389</v>
      </c>
      <c r="I13" s="422">
        <v>2500000000</v>
      </c>
      <c r="J13" s="429" t="s">
        <v>1546</v>
      </c>
    </row>
    <row r="14" spans="1:10" ht="126" x14ac:dyDescent="0.25">
      <c r="A14" s="1649"/>
      <c r="B14" s="419" t="s">
        <v>980</v>
      </c>
      <c r="C14" s="424"/>
      <c r="D14" s="425" t="s">
        <v>2981</v>
      </c>
      <c r="E14" s="426" t="s">
        <v>1373</v>
      </c>
      <c r="F14" s="427" t="s">
        <v>2982</v>
      </c>
      <c r="G14" s="419" t="s">
        <v>2984</v>
      </c>
      <c r="H14" s="428" t="s">
        <v>2985</v>
      </c>
      <c r="I14" s="422">
        <v>25000000000</v>
      </c>
      <c r="J14" s="429" t="s">
        <v>1546</v>
      </c>
    </row>
    <row r="15" spans="1:10" ht="78.75" x14ac:dyDescent="0.25">
      <c r="A15" s="1649"/>
      <c r="B15" s="419" t="s">
        <v>980</v>
      </c>
      <c r="C15" s="418"/>
      <c r="D15" s="425" t="s">
        <v>1547</v>
      </c>
      <c r="E15" s="426" t="s">
        <v>1373</v>
      </c>
      <c r="F15" s="430" t="s">
        <v>1548</v>
      </c>
      <c r="G15" s="419" t="s">
        <v>1549</v>
      </c>
      <c r="H15" s="428" t="s">
        <v>1550</v>
      </c>
      <c r="I15" s="431">
        <v>7180941216</v>
      </c>
      <c r="J15" s="429" t="s">
        <v>1546</v>
      </c>
    </row>
    <row r="16" spans="1:10" ht="78.75" x14ac:dyDescent="0.25">
      <c r="A16" s="1649"/>
      <c r="B16" s="419" t="s">
        <v>980</v>
      </c>
      <c r="C16" s="418"/>
      <c r="D16" s="425" t="s">
        <v>1693</v>
      </c>
      <c r="E16" s="426" t="s">
        <v>1373</v>
      </c>
      <c r="F16" s="427" t="s">
        <v>1694</v>
      </c>
      <c r="G16" s="426" t="s">
        <v>1695</v>
      </c>
      <c r="H16" s="428" t="s">
        <v>1696</v>
      </c>
      <c r="I16" s="422">
        <v>657000000</v>
      </c>
      <c r="J16" s="429" t="s">
        <v>1546</v>
      </c>
    </row>
    <row r="17" spans="1:11" ht="15.75" x14ac:dyDescent="0.25">
      <c r="A17" s="2085" t="s">
        <v>1551</v>
      </c>
      <c r="B17" s="2086"/>
      <c r="C17" s="2086"/>
      <c r="D17" s="2086"/>
      <c r="E17" s="2086"/>
      <c r="F17" s="2086"/>
      <c r="G17" s="2086"/>
      <c r="H17" s="2086"/>
      <c r="I17" s="422">
        <f>SUM(I13:I16)</f>
        <v>35337941216</v>
      </c>
      <c r="J17" s="423"/>
    </row>
    <row r="18" spans="1:11" ht="15.75" x14ac:dyDescent="0.25">
      <c r="A18" s="432"/>
      <c r="B18" s="427"/>
      <c r="C18" s="427"/>
      <c r="D18" s="427"/>
      <c r="E18" s="427"/>
      <c r="F18" s="427"/>
      <c r="G18" s="427"/>
      <c r="H18" s="433"/>
      <c r="I18" s="422"/>
      <c r="J18" s="423"/>
    </row>
    <row r="19" spans="1:11" ht="15.75" x14ac:dyDescent="0.25">
      <c r="A19" s="2087">
        <v>3</v>
      </c>
      <c r="B19" s="2089" t="s">
        <v>1381</v>
      </c>
      <c r="C19" s="418"/>
      <c r="D19" s="419"/>
      <c r="E19" s="421"/>
      <c r="F19" s="420"/>
      <c r="G19" s="420"/>
      <c r="H19" s="420"/>
      <c r="I19" s="422"/>
      <c r="J19" s="423"/>
    </row>
    <row r="20" spans="1:11" ht="15.75" x14ac:dyDescent="0.25">
      <c r="A20" s="2088"/>
      <c r="B20" s="2090"/>
      <c r="C20" s="418"/>
      <c r="D20" s="419"/>
      <c r="E20" s="421"/>
      <c r="F20" s="420"/>
      <c r="G20" s="420"/>
      <c r="H20" s="420"/>
      <c r="I20" s="422"/>
      <c r="J20" s="423"/>
    </row>
    <row r="21" spans="1:11" ht="15.75" x14ac:dyDescent="0.25">
      <c r="A21" s="2085" t="s">
        <v>1552</v>
      </c>
      <c r="B21" s="2086"/>
      <c r="C21" s="2086"/>
      <c r="D21" s="2086"/>
      <c r="E21" s="2086"/>
      <c r="F21" s="2086"/>
      <c r="G21" s="2086"/>
      <c r="H21" s="2091"/>
      <c r="I21" s="434">
        <f>SUM(I19:I20)</f>
        <v>0</v>
      </c>
      <c r="J21" s="423"/>
    </row>
    <row r="22" spans="1:11" ht="15.75" x14ac:dyDescent="0.25">
      <c r="A22" s="2087">
        <v>4</v>
      </c>
      <c r="B22" s="2089" t="s">
        <v>1384</v>
      </c>
      <c r="C22" s="418"/>
      <c r="D22" s="427"/>
      <c r="E22" s="427"/>
      <c r="F22" s="427"/>
      <c r="G22" s="427"/>
      <c r="H22" s="433"/>
      <c r="I22" s="434"/>
      <c r="J22" s="423"/>
    </row>
    <row r="23" spans="1:11" ht="15.75" x14ac:dyDescent="0.25">
      <c r="A23" s="2088"/>
      <c r="B23" s="2090"/>
      <c r="C23" s="418"/>
      <c r="D23" s="427"/>
      <c r="E23" s="427"/>
      <c r="F23" s="427"/>
      <c r="G23" s="427"/>
      <c r="H23" s="433"/>
      <c r="I23" s="434"/>
      <c r="J23" s="423"/>
    </row>
    <row r="24" spans="1:11" ht="15.75" x14ac:dyDescent="0.25">
      <c r="A24" s="2085" t="s">
        <v>1553</v>
      </c>
      <c r="B24" s="2086"/>
      <c r="C24" s="2086"/>
      <c r="D24" s="2086"/>
      <c r="E24" s="2086"/>
      <c r="F24" s="2086"/>
      <c r="G24" s="2086"/>
      <c r="H24" s="2091"/>
      <c r="I24" s="434"/>
      <c r="J24" s="423"/>
    </row>
    <row r="25" spans="1:11" ht="15.75" x14ac:dyDescent="0.25">
      <c r="A25" s="2085"/>
      <c r="B25" s="2086"/>
      <c r="C25" s="2086"/>
      <c r="D25" s="2086"/>
      <c r="E25" s="2086"/>
      <c r="F25" s="2086"/>
      <c r="G25" s="2086"/>
      <c r="H25" s="2091"/>
      <c r="I25" s="422"/>
      <c r="J25" s="423"/>
    </row>
    <row r="26" spans="1:11" ht="16.5" thickBot="1" x14ac:dyDescent="0.3">
      <c r="A26" s="2082" t="s">
        <v>1554</v>
      </c>
      <c r="B26" s="2083"/>
      <c r="C26" s="2083"/>
      <c r="D26" s="2083"/>
      <c r="E26" s="2083"/>
      <c r="F26" s="2083"/>
      <c r="G26" s="2083"/>
      <c r="H26" s="2083"/>
      <c r="I26" s="435">
        <f>I12+I17+I21+I24</f>
        <v>35337941216</v>
      </c>
      <c r="J26" s="436"/>
    </row>
    <row r="27" spans="1:11" ht="15.75" x14ac:dyDescent="0.25">
      <c r="A27" s="437"/>
      <c r="B27" s="437"/>
      <c r="C27" s="437"/>
      <c r="D27" s="437"/>
      <c r="E27" s="437"/>
      <c r="F27" s="437"/>
      <c r="G27" s="437"/>
      <c r="H27" s="437"/>
      <c r="I27" s="438"/>
    </row>
    <row r="28" spans="1:11" ht="15.75" x14ac:dyDescent="0.25">
      <c r="A28" s="111"/>
      <c r="B28" s="439"/>
      <c r="C28" s="439"/>
      <c r="D28" s="111"/>
      <c r="E28" s="405"/>
      <c r="F28" s="111"/>
      <c r="G28" s="111"/>
      <c r="H28" s="111"/>
      <c r="I28" s="111"/>
    </row>
    <row r="29" spans="1:11" ht="15.75" x14ac:dyDescent="0.25">
      <c r="A29" s="405"/>
      <c r="B29" s="111"/>
      <c r="C29" s="111"/>
      <c r="D29" s="111"/>
      <c r="E29" s="111"/>
      <c r="F29" s="111"/>
      <c r="G29" s="111"/>
      <c r="H29" s="111" t="s">
        <v>1677</v>
      </c>
      <c r="I29" s="111"/>
      <c r="J29" s="111"/>
      <c r="K29" s="111"/>
    </row>
    <row r="30" spans="1:11" ht="15.75" x14ac:dyDescent="0.25">
      <c r="A30" s="405"/>
      <c r="B30" s="2084" t="s">
        <v>1605</v>
      </c>
      <c r="C30" s="2084"/>
      <c r="D30" s="2084"/>
      <c r="E30" s="111"/>
      <c r="F30" s="111"/>
      <c r="G30" s="111"/>
      <c r="H30" s="111" t="s">
        <v>1386</v>
      </c>
      <c r="I30" s="111"/>
      <c r="J30" s="111"/>
      <c r="K30" s="111"/>
    </row>
    <row r="31" spans="1:11" ht="15.75" x14ac:dyDescent="0.25">
      <c r="A31" s="405"/>
      <c r="B31" s="2084" t="s">
        <v>1678</v>
      </c>
      <c r="C31" s="2084"/>
      <c r="D31" s="2084"/>
      <c r="E31" s="111"/>
      <c r="F31" s="111"/>
      <c r="G31" s="111"/>
      <c r="H31" s="111" t="s">
        <v>1676</v>
      </c>
      <c r="I31" s="111"/>
      <c r="J31" s="111"/>
      <c r="K31" s="111"/>
    </row>
    <row r="32" spans="1:11" ht="15.75" x14ac:dyDescent="0.25">
      <c r="A32" s="405"/>
      <c r="B32" s="111"/>
      <c r="C32" s="111"/>
      <c r="D32" s="111"/>
      <c r="E32" s="111"/>
      <c r="F32" s="111"/>
      <c r="G32" s="111"/>
      <c r="H32" s="111"/>
      <c r="I32" s="111"/>
      <c r="J32" s="111"/>
      <c r="K32" s="111"/>
    </row>
    <row r="33" spans="1:11" ht="15.75" x14ac:dyDescent="0.25">
      <c r="A33" s="405"/>
      <c r="B33" s="111"/>
      <c r="C33" s="111"/>
      <c r="D33" s="111"/>
      <c r="E33" s="111"/>
      <c r="F33" s="111"/>
      <c r="G33" s="111"/>
      <c r="H33" s="111"/>
      <c r="I33" s="111"/>
      <c r="J33" s="111"/>
      <c r="K33" s="111"/>
    </row>
    <row r="34" spans="1:11" ht="15.75" x14ac:dyDescent="0.25">
      <c r="A34" s="405"/>
      <c r="B34" s="111"/>
      <c r="C34" s="111"/>
      <c r="D34" s="111"/>
      <c r="E34" s="111"/>
      <c r="F34" s="111"/>
      <c r="G34" s="111"/>
      <c r="H34" s="111"/>
      <c r="I34" s="111"/>
      <c r="J34" s="111"/>
      <c r="K34" s="111"/>
    </row>
    <row r="35" spans="1:11" ht="15.75" x14ac:dyDescent="0.25">
      <c r="B35" s="2084" t="s">
        <v>1387</v>
      </c>
      <c r="C35" s="2084"/>
      <c r="D35" s="2084"/>
      <c r="E35" s="111"/>
      <c r="F35" s="111"/>
      <c r="G35" s="111"/>
      <c r="H35" s="111" t="s">
        <v>1388</v>
      </c>
      <c r="I35" s="111"/>
      <c r="J35" s="111"/>
      <c r="K35" s="111"/>
    </row>
  </sheetData>
  <mergeCells count="17">
    <mergeCell ref="A1:J1"/>
    <mergeCell ref="A2:J2"/>
    <mergeCell ref="A9:A11"/>
    <mergeCell ref="B9:B11"/>
    <mergeCell ref="A12:H12"/>
    <mergeCell ref="A26:H26"/>
    <mergeCell ref="B30:D30"/>
    <mergeCell ref="B31:D31"/>
    <mergeCell ref="B35:D35"/>
    <mergeCell ref="A17:H17"/>
    <mergeCell ref="A19:A20"/>
    <mergeCell ref="B19:B20"/>
    <mergeCell ref="A21:H21"/>
    <mergeCell ref="A22:A23"/>
    <mergeCell ref="B22:B23"/>
    <mergeCell ref="A24:H24"/>
    <mergeCell ref="A25:H25"/>
  </mergeCells>
  <pageMargins left="0.7" right="0.7" top="0.75" bottom="0.75" header="0.3" footer="0.3"/>
  <pageSetup paperSize="5" orientation="landscape" horizontalDpi="90" verticalDpi="9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M47"/>
  <sheetViews>
    <sheetView topLeftCell="C41" workbookViewId="0">
      <selection activeCell="L47" sqref="L47"/>
    </sheetView>
  </sheetViews>
  <sheetFormatPr defaultRowHeight="15" x14ac:dyDescent="0.25"/>
  <cols>
    <col min="1" max="1" width="13.7109375" customWidth="1"/>
    <col min="2" max="2" width="24.140625" customWidth="1"/>
    <col min="3" max="3" width="8" customWidth="1"/>
    <col min="4" max="4" width="29.5703125" customWidth="1"/>
    <col min="5" max="5" width="32.2851562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customWidth="1"/>
    <col min="13" max="13" width="12.85546875" customWidth="1"/>
    <col min="14" max="14" width="21.5703125" customWidth="1"/>
  </cols>
  <sheetData>
    <row r="1" spans="1:13" s="383" customFormat="1" ht="18.75" x14ac:dyDescent="0.3">
      <c r="A1" s="2097" t="s">
        <v>1673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  <c r="M1" s="2097"/>
    </row>
    <row r="2" spans="1:13" s="383" customFormat="1" ht="18.75" x14ac:dyDescent="0.3">
      <c r="A2" s="2097" t="s">
        <v>1496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  <c r="M2" s="2097"/>
    </row>
    <row r="3" spans="1:13" s="111" customFormat="1" ht="15.75" x14ac:dyDescent="0.25">
      <c r="E3" s="113"/>
      <c r="G3" s="112"/>
      <c r="L3" s="504"/>
    </row>
    <row r="4" spans="1:13" s="111" customFormat="1" ht="15.75" x14ac:dyDescent="0.25">
      <c r="A4" s="384" t="s">
        <v>1337</v>
      </c>
      <c r="B4" s="384" t="s">
        <v>1338</v>
      </c>
      <c r="C4" s="384"/>
      <c r="E4" s="113"/>
      <c r="G4" s="112"/>
      <c r="L4" s="504"/>
    </row>
    <row r="5" spans="1:13" s="111" customFormat="1" ht="15.75" x14ac:dyDescent="0.25">
      <c r="A5" s="384" t="s">
        <v>1339</v>
      </c>
      <c r="B5" s="384" t="s">
        <v>1340</v>
      </c>
      <c r="C5" s="384"/>
      <c r="E5" s="113"/>
      <c r="G5" s="112"/>
      <c r="L5" s="504"/>
    </row>
    <row r="6" spans="1:13" s="111" customFormat="1" ht="15.75" x14ac:dyDescent="0.25">
      <c r="A6" s="384" t="s">
        <v>1341</v>
      </c>
      <c r="B6" s="384" t="s">
        <v>1342</v>
      </c>
      <c r="C6" s="384"/>
      <c r="E6" s="113"/>
      <c r="G6" s="112"/>
      <c r="L6" s="504"/>
    </row>
    <row r="7" spans="1:13" s="111" customFormat="1" ht="15.75" x14ac:dyDescent="0.25">
      <c r="A7" s="384" t="s">
        <v>1343</v>
      </c>
      <c r="B7" s="384" t="s">
        <v>1344</v>
      </c>
      <c r="C7" s="384"/>
      <c r="E7" s="113"/>
      <c r="G7" s="112"/>
      <c r="L7" s="504"/>
    </row>
    <row r="8" spans="1:13" s="111" customFormat="1" ht="63" customHeight="1" x14ac:dyDescent="0.25">
      <c r="A8" s="2099" t="s">
        <v>1295</v>
      </c>
      <c r="B8" s="2099" t="s">
        <v>1345</v>
      </c>
      <c r="C8" s="2099"/>
      <c r="D8" s="2099"/>
      <c r="E8" s="2098" t="s">
        <v>1516</v>
      </c>
      <c r="F8" s="2098" t="s">
        <v>1517</v>
      </c>
      <c r="G8" s="2098" t="s">
        <v>1518</v>
      </c>
      <c r="H8" s="2098" t="s">
        <v>1519</v>
      </c>
      <c r="I8" s="2099" t="s">
        <v>1350</v>
      </c>
      <c r="J8" s="2099"/>
      <c r="K8" s="2099"/>
      <c r="L8" s="2098" t="s">
        <v>1520</v>
      </c>
      <c r="M8" s="2098"/>
    </row>
    <row r="9" spans="1:13" s="111" customFormat="1" ht="72.75" customHeight="1" x14ac:dyDescent="0.25">
      <c r="A9" s="2099"/>
      <c r="B9" s="452" t="s">
        <v>1354</v>
      </c>
      <c r="C9" s="453" t="s">
        <v>1521</v>
      </c>
      <c r="D9" s="453" t="s">
        <v>1522</v>
      </c>
      <c r="E9" s="2098"/>
      <c r="F9" s="2098"/>
      <c r="G9" s="2098"/>
      <c r="H9" s="2098"/>
      <c r="I9" s="452" t="s">
        <v>1523</v>
      </c>
      <c r="J9" s="452" t="s">
        <v>1524</v>
      </c>
      <c r="K9" s="452" t="s">
        <v>1525</v>
      </c>
      <c r="L9" s="507" t="s">
        <v>1526</v>
      </c>
      <c r="M9" s="452" t="s">
        <v>1357</v>
      </c>
    </row>
    <row r="10" spans="1:13" s="111" customFormat="1" ht="15.75" x14ac:dyDescent="0.25">
      <c r="A10" s="117" t="s">
        <v>1358</v>
      </c>
      <c r="B10" s="117" t="s">
        <v>1359</v>
      </c>
      <c r="C10" s="117" t="s">
        <v>1360</v>
      </c>
      <c r="D10" s="117" t="s">
        <v>1361</v>
      </c>
      <c r="E10" s="114" t="s">
        <v>1362</v>
      </c>
      <c r="F10" s="117" t="s">
        <v>1363</v>
      </c>
      <c r="G10" s="118" t="s">
        <v>1364</v>
      </c>
      <c r="H10" s="117" t="s">
        <v>1365</v>
      </c>
      <c r="I10" s="117" t="s">
        <v>1366</v>
      </c>
      <c r="J10" s="117" t="s">
        <v>1367</v>
      </c>
      <c r="K10" s="117" t="s">
        <v>1368</v>
      </c>
      <c r="L10" s="469" t="s">
        <v>1369</v>
      </c>
      <c r="M10" s="117" t="s">
        <v>539</v>
      </c>
    </row>
    <row r="11" spans="1:13" ht="75" x14ac:dyDescent="0.25">
      <c r="A11" s="849">
        <v>2</v>
      </c>
      <c r="B11" s="850" t="str">
        <f>'BID II'!B7</f>
        <v>Pelaksanaan Pembangunan Desa</v>
      </c>
      <c r="C11" s="858">
        <v>1</v>
      </c>
      <c r="D11" s="850" t="str">
        <f>'BID II'!B9</f>
        <v>Penyelenggaraan PAUD/TK/TKA/ Madrasah Non Formal Milik Desa (Pengelolaan Taman Kanak - kanak  TK Kumara Sari VI )</v>
      </c>
      <c r="E11" s="1039" t="s">
        <v>2220</v>
      </c>
      <c r="F11" s="133" t="s">
        <v>1379</v>
      </c>
      <c r="G11" s="1038">
        <v>1</v>
      </c>
      <c r="H11" s="125" t="s">
        <v>1377</v>
      </c>
      <c r="I11" s="125"/>
      <c r="J11" s="125"/>
      <c r="K11" s="126"/>
      <c r="L11" s="854">
        <f>'BID II'!F144</f>
        <v>237334529.18000001</v>
      </c>
      <c r="M11" s="268" t="s">
        <v>1375</v>
      </c>
    </row>
    <row r="12" spans="1:13" ht="63" x14ac:dyDescent="0.25">
      <c r="A12" s="849"/>
      <c r="B12" s="850"/>
      <c r="C12" s="858">
        <v>2</v>
      </c>
      <c r="D12" s="850" t="str">
        <f>'BID II'!B157</f>
        <v>: Penyuluhan dan Pelatihan Pendidikan Bagi Masyarakat ( Pelatihan Bahasa Bali Untuk Anak-Anak 7-12 Th )</v>
      </c>
      <c r="E12" s="1039" t="s">
        <v>2220</v>
      </c>
      <c r="F12" s="133" t="s">
        <v>2294</v>
      </c>
      <c r="G12" s="1038">
        <v>1</v>
      </c>
      <c r="H12" s="125" t="s">
        <v>1377</v>
      </c>
      <c r="I12" s="125"/>
      <c r="J12" s="125"/>
      <c r="K12" s="126"/>
      <c r="L12" s="854">
        <f>'BID II'!F176</f>
        <v>9015000</v>
      </c>
      <c r="M12" s="268" t="s">
        <v>1375</v>
      </c>
    </row>
    <row r="13" spans="1:13" ht="75" x14ac:dyDescent="0.25">
      <c r="A13" s="849"/>
      <c r="B13" s="850"/>
      <c r="C13" s="858">
        <v>3</v>
      </c>
      <c r="D13" s="850" t="str">
        <f>'BID II'!B189</f>
        <v>: Penyuluhan dan Pelatihan Pendidikan Bagi Masyarakat ( Pembinaan dan Penyelenggaraan Bunda Literasi )</v>
      </c>
      <c r="E13" s="1039" t="s">
        <v>2220</v>
      </c>
      <c r="F13" s="133" t="s">
        <v>2335</v>
      </c>
      <c r="G13" s="1038">
        <v>1</v>
      </c>
      <c r="H13" s="125" t="s">
        <v>1377</v>
      </c>
      <c r="I13" s="125"/>
      <c r="J13" s="125"/>
      <c r="K13" s="126"/>
      <c r="L13" s="854">
        <f>'BID II'!F213</f>
        <v>14178000</v>
      </c>
      <c r="M13" s="268" t="s">
        <v>1375</v>
      </c>
    </row>
    <row r="14" spans="1:13" ht="47.25" x14ac:dyDescent="0.25">
      <c r="A14" s="32"/>
      <c r="B14" s="66"/>
      <c r="C14" s="858">
        <v>4</v>
      </c>
      <c r="D14" s="66" t="str">
        <f>'BID II'!B444</f>
        <v>: Penyelenggaraan Posyandu (Pemberian PMT)</v>
      </c>
      <c r="E14" s="1040">
        <v>3</v>
      </c>
      <c r="F14" s="133" t="s">
        <v>1426</v>
      </c>
      <c r="G14" s="1038">
        <v>1</v>
      </c>
      <c r="H14" s="125" t="s">
        <v>1377</v>
      </c>
      <c r="I14" s="125"/>
      <c r="J14" s="125"/>
      <c r="K14" s="126"/>
      <c r="L14" s="470">
        <f>'BID II'!F483</f>
        <v>266295500</v>
      </c>
      <c r="M14" s="268" t="s">
        <v>1375</v>
      </c>
    </row>
    <row r="15" spans="1:13" ht="47.25" x14ac:dyDescent="0.25">
      <c r="A15" s="32"/>
      <c r="B15" s="66"/>
      <c r="C15" s="858">
        <v>5</v>
      </c>
      <c r="D15" s="66" t="str">
        <f>'BID II'!B496</f>
        <v>: Penyelenggaraan POSyandu (Pos Gizi dan Ibu Hamil)</v>
      </c>
      <c r="E15" s="1040">
        <v>3</v>
      </c>
      <c r="F15" s="133" t="s">
        <v>1426</v>
      </c>
      <c r="G15" s="1038">
        <v>1</v>
      </c>
      <c r="H15" s="125" t="s">
        <v>1377</v>
      </c>
      <c r="I15" s="125"/>
      <c r="J15" s="125"/>
      <c r="K15" s="126"/>
      <c r="L15" s="470">
        <f>'BID II'!F518</f>
        <v>4140000</v>
      </c>
      <c r="M15" s="268" t="s">
        <v>1375</v>
      </c>
    </row>
    <row r="16" spans="1:13" ht="47.25" x14ac:dyDescent="0.25">
      <c r="A16" s="32"/>
      <c r="B16" s="66"/>
      <c r="C16" s="858">
        <v>6</v>
      </c>
      <c r="D16" s="66" t="str">
        <f>'BID II'!B531</f>
        <v>: Penyelenggaraan Posyandu Lansia (Pemberian tambahan nutrisi bagi lansia)</v>
      </c>
      <c r="E16" s="1040">
        <v>3</v>
      </c>
      <c r="F16" s="133" t="s">
        <v>1428</v>
      </c>
      <c r="G16" s="1038">
        <v>1</v>
      </c>
      <c r="H16" s="125" t="s">
        <v>2223</v>
      </c>
      <c r="I16" s="125"/>
      <c r="J16" s="125"/>
      <c r="K16" s="126"/>
      <c r="L16" s="470">
        <f>'BID II'!F553</f>
        <v>104580000</v>
      </c>
      <c r="M16" s="268" t="s">
        <v>1375</v>
      </c>
    </row>
    <row r="17" spans="1:13" ht="63" x14ac:dyDescent="0.25">
      <c r="A17" s="32"/>
      <c r="B17" s="66"/>
      <c r="C17" s="858">
        <v>7</v>
      </c>
      <c r="D17" s="66" t="str">
        <f>'BID II'!B566</f>
        <v xml:space="preserve"> :Penyuluhan dan Pelatiah Bidang Kesehatan (Pendampingan calon pengantin Stunting)</v>
      </c>
      <c r="E17" s="1040">
        <v>3</v>
      </c>
      <c r="F17" s="133" t="s">
        <v>2224</v>
      </c>
      <c r="G17" s="1038">
        <v>1</v>
      </c>
      <c r="H17" s="125" t="s">
        <v>1566</v>
      </c>
      <c r="I17" s="125"/>
      <c r="J17" s="125"/>
      <c r="K17" s="126"/>
      <c r="L17" s="470">
        <f>'BID II'!F596</f>
        <v>6877440</v>
      </c>
      <c r="M17" s="268" t="s">
        <v>1375</v>
      </c>
    </row>
    <row r="18" spans="1:13" ht="76.5" customHeight="1" x14ac:dyDescent="0.25">
      <c r="A18" s="32"/>
      <c r="B18" s="66"/>
      <c r="C18" s="858">
        <v>8</v>
      </c>
      <c r="D18" s="66" t="str">
        <f>'BID II'!B608</f>
        <v>Penyuluhan dan Pelatihan Bidang Kesehatan (PHBS)</v>
      </c>
      <c r="E18" s="1040">
        <v>3</v>
      </c>
      <c r="F18" s="133" t="s">
        <v>2300</v>
      </c>
      <c r="G18" s="1038">
        <v>1</v>
      </c>
      <c r="H18" s="125" t="s">
        <v>1377</v>
      </c>
      <c r="I18" s="125"/>
      <c r="J18" s="125"/>
      <c r="K18" s="126"/>
      <c r="L18" s="470">
        <f>'BID II'!F637</f>
        <v>6460800</v>
      </c>
      <c r="M18" s="268" t="s">
        <v>1375</v>
      </c>
    </row>
    <row r="19" spans="1:13" ht="63" x14ac:dyDescent="0.25">
      <c r="A19" s="32" t="s">
        <v>521</v>
      </c>
      <c r="B19" s="66"/>
      <c r="C19" s="858">
        <v>9</v>
      </c>
      <c r="D19" s="66" t="str">
        <f>'BID II'!B650</f>
        <v>: Penyuluhan dan Pelatihan Bidang Kesehatan (Pembinaan Kader POSyandu)</v>
      </c>
      <c r="E19" s="1040">
        <v>3</v>
      </c>
      <c r="F19" s="133" t="s">
        <v>1429</v>
      </c>
      <c r="G19" s="1038">
        <v>1</v>
      </c>
      <c r="H19" s="125" t="s">
        <v>1377</v>
      </c>
      <c r="I19" s="125"/>
      <c r="J19" s="125"/>
      <c r="K19" s="126"/>
      <c r="L19" s="470">
        <f>'BID II'!F685</f>
        <v>31525000</v>
      </c>
      <c r="M19" s="268" t="s">
        <v>1375</v>
      </c>
    </row>
    <row r="20" spans="1:13" ht="78.75" x14ac:dyDescent="0.25">
      <c r="A20" s="32"/>
      <c r="B20" s="66"/>
      <c r="C20" s="858">
        <v>10</v>
      </c>
      <c r="D20" s="66" t="str">
        <f>'BID II'!B697</f>
        <v>: Penyuluhan dan Pelatihan Bidang Kesehatan (Penyuluhan Narkoba dan HIV/AIDS)</v>
      </c>
      <c r="E20" s="1040">
        <v>3</v>
      </c>
      <c r="F20" s="133" t="s">
        <v>1431</v>
      </c>
      <c r="G20" s="1038">
        <v>1</v>
      </c>
      <c r="H20" s="125" t="s">
        <v>1377</v>
      </c>
      <c r="I20" s="125"/>
      <c r="J20" s="126"/>
      <c r="K20" s="126"/>
      <c r="L20" s="470">
        <f>'BID II'!F731</f>
        <v>18340000</v>
      </c>
      <c r="M20" s="268" t="s">
        <v>1375</v>
      </c>
    </row>
    <row r="21" spans="1:13" ht="63" x14ac:dyDescent="0.25">
      <c r="A21" s="32"/>
      <c r="B21" s="66"/>
      <c r="C21" s="858">
        <v>11</v>
      </c>
      <c r="D21" s="66" t="str">
        <f>'BID II'!B744</f>
        <v>: Penyuluhan dan Pelatihan Bidang Kesehatan (Posbindu)</v>
      </c>
      <c r="E21" s="1040">
        <v>3</v>
      </c>
      <c r="F21" s="133" t="s">
        <v>1455</v>
      </c>
      <c r="G21" s="1038">
        <v>1</v>
      </c>
      <c r="H21" s="125" t="s">
        <v>1377</v>
      </c>
      <c r="I21" s="125"/>
      <c r="J21" s="126"/>
      <c r="K21" s="126"/>
      <c r="L21" s="470">
        <f>'BID II'!F784</f>
        <v>19924087.09</v>
      </c>
      <c r="M21" s="268" t="s">
        <v>1375</v>
      </c>
    </row>
    <row r="22" spans="1:13" ht="94.5" x14ac:dyDescent="0.25">
      <c r="A22" s="32"/>
      <c r="B22" s="66"/>
      <c r="C22" s="858">
        <v>12</v>
      </c>
      <c r="D22" s="66" t="str">
        <f>'BID II'!B797</f>
        <v>: Penyuluhan dan Pelatihan Bidang Kesehatan (Penyuluhan KB)</v>
      </c>
      <c r="E22" s="1040">
        <v>3</v>
      </c>
      <c r="F22" s="133" t="s">
        <v>1456</v>
      </c>
      <c r="G22" s="1038">
        <v>1</v>
      </c>
      <c r="H22" s="125" t="s">
        <v>1377</v>
      </c>
      <c r="I22" s="125"/>
      <c r="J22" s="125"/>
      <c r="K22" s="126"/>
      <c r="L22" s="470">
        <f>'BID II'!F838</f>
        <v>17635000</v>
      </c>
      <c r="M22" s="268" t="s">
        <v>1375</v>
      </c>
    </row>
    <row r="23" spans="1:13" ht="45" x14ac:dyDescent="0.25">
      <c r="A23" s="32"/>
      <c r="B23" s="66"/>
      <c r="C23" s="858">
        <v>13</v>
      </c>
      <c r="D23" s="66" t="str">
        <f>'BID II'!B852</f>
        <v>: Penyuluhan dan Pelatihan Bidang Kesehatan(Sosialisasi Germas)</v>
      </c>
      <c r="E23" s="1040"/>
      <c r="F23" s="133" t="s">
        <v>2414</v>
      </c>
      <c r="G23" s="1038">
        <v>1</v>
      </c>
      <c r="H23" s="125" t="s">
        <v>1377</v>
      </c>
      <c r="I23" s="125"/>
      <c r="J23" s="125"/>
      <c r="K23" s="126"/>
      <c r="L23" s="470">
        <f>'BID II'!F869</f>
        <v>2070000</v>
      </c>
      <c r="M23" s="268" t="s">
        <v>1375</v>
      </c>
    </row>
    <row r="24" spans="1:13" ht="42.75" customHeight="1" x14ac:dyDescent="0.25">
      <c r="A24" s="66"/>
      <c r="B24" s="66"/>
      <c r="C24" s="858">
        <v>14</v>
      </c>
      <c r="D24" s="66" t="str">
        <f>'BID II'!B882</f>
        <v>: Penyuluhan dan Pelatihan Bidang Kesehatan (Desa Siaga Kesehatan)</v>
      </c>
      <c r="E24" s="1040">
        <v>3</v>
      </c>
      <c r="F24" s="133" t="s">
        <v>1457</v>
      </c>
      <c r="G24" s="1038">
        <v>1</v>
      </c>
      <c r="H24" s="125" t="s">
        <v>1408</v>
      </c>
      <c r="I24" s="125"/>
      <c r="J24" s="125"/>
      <c r="K24" s="126"/>
      <c r="L24" s="851">
        <f>'BID II'!F914</f>
        <v>2592000</v>
      </c>
      <c r="M24" s="268" t="s">
        <v>1375</v>
      </c>
    </row>
    <row r="25" spans="1:13" ht="63.75" customHeight="1" x14ac:dyDescent="0.25">
      <c r="A25" s="66"/>
      <c r="B25" s="66"/>
      <c r="C25" s="858">
        <v>15</v>
      </c>
      <c r="D25" s="66" t="str">
        <f>'BID II'!B982</f>
        <v xml:space="preserve"> :  Pengasuhan Bersama atau Bina Keluarga Balita (Pelaksanaan Kegiatan Bina keluarga Balita BKB )</v>
      </c>
      <c r="E25" s="1040">
        <v>3</v>
      </c>
      <c r="F25" s="133" t="s">
        <v>1458</v>
      </c>
      <c r="G25" s="1038">
        <v>1</v>
      </c>
      <c r="H25" s="125" t="s">
        <v>1377</v>
      </c>
      <c r="I25" s="125"/>
      <c r="J25" s="125"/>
      <c r="K25" s="126"/>
      <c r="L25" s="851">
        <f>'BID II'!F1009</f>
        <v>50145500</v>
      </c>
      <c r="M25" s="268" t="s">
        <v>1375</v>
      </c>
    </row>
    <row r="26" spans="1:13" ht="42.75" customHeight="1" x14ac:dyDescent="0.25">
      <c r="A26" s="66"/>
      <c r="B26" s="66"/>
      <c r="C26" s="858">
        <v>16</v>
      </c>
      <c r="D26" s="66" t="str">
        <f>'BID II'!B1021</f>
        <v xml:space="preserve"> :  Pengasuhan Bersama atau Bina Keluarga Lansia ( Pembinaan dan Penyelenggaraan BKL)</v>
      </c>
      <c r="E26" s="1040">
        <v>3</v>
      </c>
      <c r="F26" s="133" t="s">
        <v>1428</v>
      </c>
      <c r="G26" s="1038">
        <v>1</v>
      </c>
      <c r="H26" s="125" t="s">
        <v>1377</v>
      </c>
      <c r="I26" s="125"/>
      <c r="J26" s="125"/>
      <c r="K26" s="126"/>
      <c r="L26" s="851">
        <f>'BID II'!F1063</f>
        <v>9990000</v>
      </c>
      <c r="M26" s="268" t="s">
        <v>1375</v>
      </c>
    </row>
    <row r="27" spans="1:13" ht="42.75" customHeight="1" x14ac:dyDescent="0.25">
      <c r="A27" s="66"/>
      <c r="B27" s="66"/>
      <c r="C27" s="858">
        <v>17</v>
      </c>
      <c r="D27" s="66" t="str">
        <f>'BID II'!B1076</f>
        <v>: Pengasuhan Bersama atau Bina Keluarga Balita (Pembinaan Kader BKB)</v>
      </c>
      <c r="E27" s="1040">
        <v>3</v>
      </c>
      <c r="F27" s="133" t="s">
        <v>1458</v>
      </c>
      <c r="G27" s="1038">
        <v>1</v>
      </c>
      <c r="H27" s="125" t="s">
        <v>1377</v>
      </c>
      <c r="I27" s="125"/>
      <c r="J27" s="125"/>
      <c r="K27" s="126"/>
      <c r="L27" s="851">
        <f>'BID II'!F1114</f>
        <v>18283000</v>
      </c>
      <c r="M27" s="268" t="s">
        <v>1375</v>
      </c>
    </row>
    <row r="28" spans="1:13" ht="71.25" customHeight="1" x14ac:dyDescent="0.25">
      <c r="A28" s="66"/>
      <c r="B28" s="66"/>
      <c r="C28" s="858">
        <v>18</v>
      </c>
      <c r="D28" s="66" t="str">
        <f>'BID II'!B1127</f>
        <v xml:space="preserve"> :  Pengasuhan Bersama atau Bina Keluarga Balita (Pembinaan Kegiatan Bina keluarga Remaja BKR )</v>
      </c>
      <c r="E28" s="1040">
        <v>3</v>
      </c>
      <c r="F28" s="66" t="s">
        <v>2475</v>
      </c>
      <c r="G28" s="984">
        <v>1</v>
      </c>
      <c r="H28" s="125" t="s">
        <v>1377</v>
      </c>
      <c r="I28" s="125"/>
      <c r="J28" s="355"/>
      <c r="K28" s="126"/>
      <c r="L28" s="851">
        <f>'BID II'!F1161</f>
        <v>4875000</v>
      </c>
      <c r="M28" s="268" t="s">
        <v>1375</v>
      </c>
    </row>
    <row r="29" spans="1:13" ht="71.25" customHeight="1" x14ac:dyDescent="0.25">
      <c r="A29" s="66"/>
      <c r="B29" s="66"/>
      <c r="C29" s="858">
        <v>19</v>
      </c>
      <c r="D29" s="66" t="str">
        <f>'BID II'!B1173</f>
        <v xml:space="preserve"> :  Pengasuhan Bersama atau Bina Keluarga Remaja (Penyelenggaraan BKR)</v>
      </c>
      <c r="E29" s="1040">
        <v>3</v>
      </c>
      <c r="F29" s="133" t="s">
        <v>1459</v>
      </c>
      <c r="G29" s="1038">
        <v>1</v>
      </c>
      <c r="H29" s="125" t="s">
        <v>1377</v>
      </c>
      <c r="I29" s="125"/>
      <c r="J29" s="125"/>
      <c r="K29" s="126"/>
      <c r="L29" s="851">
        <f>'BID II'!F1193</f>
        <v>7471000</v>
      </c>
      <c r="M29" s="268"/>
    </row>
    <row r="30" spans="1:13" ht="42.75" customHeight="1" x14ac:dyDescent="0.25">
      <c r="A30" s="66"/>
      <c r="B30" s="66"/>
      <c r="C30" s="858">
        <v>20</v>
      </c>
      <c r="D30" s="66" t="str">
        <f>'BID II'!B1270</f>
        <v>:  Foging Fokus</v>
      </c>
      <c r="E30" s="1041">
        <v>3</v>
      </c>
      <c r="F30" s="133" t="s">
        <v>1462</v>
      </c>
      <c r="G30" s="1038">
        <v>1</v>
      </c>
      <c r="H30" s="125" t="s">
        <v>1568</v>
      </c>
      <c r="I30" s="125"/>
      <c r="J30" s="126"/>
      <c r="K30" s="126"/>
      <c r="L30" s="851">
        <f>'BID II'!F1303</f>
        <v>42360000</v>
      </c>
      <c r="M30" s="268" t="s">
        <v>1375</v>
      </c>
    </row>
    <row r="31" spans="1:13" ht="42.75" customHeight="1" x14ac:dyDescent="0.25">
      <c r="A31" s="66"/>
      <c r="B31" s="66"/>
      <c r="C31" s="858">
        <v>21</v>
      </c>
      <c r="D31" s="66" t="str">
        <f>'BID II'!B1316</f>
        <v>: Gerakan Serentak PSN dan Lomba PSN</v>
      </c>
      <c r="E31" s="1041">
        <v>3</v>
      </c>
      <c r="F31" s="133" t="s">
        <v>1462</v>
      </c>
      <c r="G31" s="1038">
        <v>1</v>
      </c>
      <c r="H31" s="125" t="s">
        <v>1377</v>
      </c>
      <c r="I31" s="125"/>
      <c r="J31" s="126"/>
      <c r="K31" s="126"/>
      <c r="L31" s="851">
        <f>'BID II'!F1371</f>
        <v>45123000</v>
      </c>
      <c r="M31" s="268" t="s">
        <v>1375</v>
      </c>
    </row>
    <row r="32" spans="1:13" ht="42.75" customHeight="1" x14ac:dyDescent="0.25">
      <c r="A32" s="66"/>
      <c r="B32" s="66"/>
      <c r="C32" s="858">
        <v>22</v>
      </c>
      <c r="D32" s="66" t="str">
        <f>'BID II'!B1384</f>
        <v xml:space="preserve">Penyelengggaraan TPPS Desa </v>
      </c>
      <c r="E32" s="1041">
        <v>3</v>
      </c>
      <c r="F32" s="66" t="s">
        <v>2232</v>
      </c>
      <c r="G32" s="984">
        <v>1</v>
      </c>
      <c r="H32" s="351" t="s">
        <v>2207</v>
      </c>
      <c r="I32" s="351"/>
      <c r="J32" s="126"/>
      <c r="K32" s="126"/>
      <c r="L32" s="851">
        <f>'BID II'!F1413</f>
        <v>6108500</v>
      </c>
      <c r="M32" s="268" t="s">
        <v>1375</v>
      </c>
    </row>
    <row r="33" spans="1:13" ht="68.25" customHeight="1" x14ac:dyDescent="0.25">
      <c r="A33" s="66"/>
      <c r="B33" s="66"/>
      <c r="C33" s="858">
        <v>23</v>
      </c>
      <c r="D33" s="66" t="str">
        <f>'BID II'!B1425</f>
        <v>: Rembuk Stunting</v>
      </c>
      <c r="E33" s="1041">
        <v>3</v>
      </c>
      <c r="F33" s="66" t="s">
        <v>2233</v>
      </c>
      <c r="G33" s="984">
        <v>1</v>
      </c>
      <c r="H33" s="351" t="s">
        <v>1414</v>
      </c>
      <c r="I33" s="351"/>
      <c r="J33" s="126"/>
      <c r="K33" s="126"/>
      <c r="L33" s="851">
        <f>'BID II'!F1453</f>
        <v>3160000</v>
      </c>
      <c r="M33" s="268"/>
    </row>
    <row r="34" spans="1:13" ht="57" customHeight="1" x14ac:dyDescent="0.25">
      <c r="A34" s="66"/>
      <c r="B34" s="66"/>
      <c r="C34" s="858">
        <v>24</v>
      </c>
      <c r="D34" s="66" t="str">
        <f>'BID II'!B1467</f>
        <v>: Pembinaan Posyandu Remaja</v>
      </c>
      <c r="E34" s="1041">
        <v>3</v>
      </c>
      <c r="F34" s="133" t="s">
        <v>1424</v>
      </c>
      <c r="G34" s="1038">
        <v>1</v>
      </c>
      <c r="H34" s="125" t="s">
        <v>1408</v>
      </c>
      <c r="I34" s="125"/>
      <c r="J34" s="125"/>
      <c r="K34" s="126"/>
      <c r="L34" s="851">
        <f>'BID II'!F1493</f>
        <v>3526500</v>
      </c>
      <c r="M34" s="268"/>
    </row>
    <row r="35" spans="1:13" ht="42.75" customHeight="1" thickBot="1" x14ac:dyDescent="0.3">
      <c r="A35" s="66"/>
      <c r="B35" s="66"/>
      <c r="C35" s="858">
        <v>25</v>
      </c>
      <c r="D35" s="66" t="str">
        <f>'BID II'!B1505</f>
        <v>Penyelenggaraan Posyandu Remaja</v>
      </c>
      <c r="E35" s="1041">
        <v>3</v>
      </c>
      <c r="F35" s="133" t="s">
        <v>1424</v>
      </c>
      <c r="G35" s="1038">
        <v>1</v>
      </c>
      <c r="H35" s="125" t="s">
        <v>1408</v>
      </c>
      <c r="I35" s="125"/>
      <c r="J35" s="125"/>
      <c r="K35" s="126"/>
      <c r="L35" s="851">
        <f>'BID II'!F1531</f>
        <v>35530000</v>
      </c>
      <c r="M35" s="268" t="s">
        <v>1375</v>
      </c>
    </row>
    <row r="36" spans="1:13" x14ac:dyDescent="0.25">
      <c r="A36" s="2075" t="s">
        <v>1909</v>
      </c>
      <c r="B36" s="2076"/>
      <c r="C36" s="2076"/>
      <c r="D36" s="2076"/>
      <c r="E36" s="2076"/>
      <c r="F36" s="2076"/>
      <c r="G36" s="2076"/>
      <c r="H36" s="2076"/>
      <c r="I36" s="2076"/>
      <c r="J36" s="2076"/>
      <c r="K36" s="2077"/>
      <c r="L36" s="857">
        <f>SUM(L11:L35)</f>
        <v>967539856.2700001</v>
      </c>
      <c r="M36" s="985"/>
    </row>
    <row r="37" spans="1:13" x14ac:dyDescent="0.25">
      <c r="A37" s="32"/>
      <c r="B37" s="66"/>
      <c r="C37" s="32"/>
      <c r="D37" s="66"/>
      <c r="E37" s="32"/>
      <c r="F37" s="32"/>
      <c r="G37" s="32"/>
      <c r="H37" s="32"/>
      <c r="I37" s="32"/>
      <c r="J37" s="32"/>
      <c r="K37" s="32"/>
      <c r="L37" s="470"/>
      <c r="M37" s="268"/>
    </row>
    <row r="38" spans="1:13" ht="42.75" customHeight="1" x14ac:dyDescent="0.25">
      <c r="A38" s="251"/>
      <c r="B38" s="848" t="s">
        <v>486</v>
      </c>
      <c r="C38" s="267">
        <v>1</v>
      </c>
      <c r="D38" s="855" t="e">
        <f>'BID IV'!#REF!</f>
        <v>#REF!</v>
      </c>
      <c r="E38" s="251">
        <v>1</v>
      </c>
      <c r="F38" s="848" t="s">
        <v>2482</v>
      </c>
      <c r="G38" s="984">
        <v>1</v>
      </c>
      <c r="H38" s="66" t="s">
        <v>1373</v>
      </c>
      <c r="I38" s="251" t="s">
        <v>1414</v>
      </c>
      <c r="J38" s="251" t="s">
        <v>2496</v>
      </c>
      <c r="K38" s="251" t="s">
        <v>295</v>
      </c>
      <c r="L38" s="852" t="e">
        <f>'BID IV'!#REF!</f>
        <v>#REF!</v>
      </c>
      <c r="M38" s="268" t="s">
        <v>1375</v>
      </c>
    </row>
    <row r="39" spans="1:13" ht="60" x14ac:dyDescent="0.25">
      <c r="A39" s="32"/>
      <c r="B39" s="66"/>
      <c r="C39" s="267">
        <v>2</v>
      </c>
      <c r="D39" s="851" t="str">
        <f>'BID IV'!B56</f>
        <v>: Ketahanan Pangan ( Holti Kultural Budidaya Bawang Merah Dari Benih)</v>
      </c>
      <c r="E39" s="32" t="s">
        <v>2486</v>
      </c>
      <c r="F39" s="66" t="s">
        <v>2483</v>
      </c>
      <c r="G39" s="984">
        <v>1</v>
      </c>
      <c r="H39" s="66" t="s">
        <v>1373</v>
      </c>
      <c r="I39" s="251" t="s">
        <v>1414</v>
      </c>
      <c r="J39" s="32" t="s">
        <v>2497</v>
      </c>
      <c r="K39" s="251" t="s">
        <v>295</v>
      </c>
      <c r="L39" s="470">
        <f>'BID IV'!F103</f>
        <v>50037000</v>
      </c>
      <c r="M39" s="268" t="s">
        <v>1375</v>
      </c>
    </row>
    <row r="40" spans="1:13" ht="43.5" customHeight="1" x14ac:dyDescent="0.25">
      <c r="A40" s="32"/>
      <c r="B40" s="66"/>
      <c r="C40" s="267">
        <v>3</v>
      </c>
      <c r="D40" s="851" t="str">
        <f>'BID IV'!B117</f>
        <v>: Penguatan Ketahanan Pangan Tingkat Desa ( Peningkatan ketersediaan Bibit/benih tanaman pangan)</v>
      </c>
      <c r="E40" s="32" t="s">
        <v>2486</v>
      </c>
      <c r="F40" s="66" t="s">
        <v>2483</v>
      </c>
      <c r="G40" s="984">
        <v>1</v>
      </c>
      <c r="H40" s="66" t="s">
        <v>1373</v>
      </c>
      <c r="I40" s="251" t="s">
        <v>1414</v>
      </c>
      <c r="J40" s="126" t="s">
        <v>2200</v>
      </c>
      <c r="K40" s="251" t="s">
        <v>295</v>
      </c>
      <c r="L40" s="470">
        <f>'BID IV'!F147</f>
        <v>23430000</v>
      </c>
      <c r="M40" s="268" t="s">
        <v>1375</v>
      </c>
    </row>
    <row r="41" spans="1:13" ht="60" x14ac:dyDescent="0.25">
      <c r="A41" s="251"/>
      <c r="B41" s="848"/>
      <c r="C41" s="267">
        <v>4</v>
      </c>
      <c r="D41" s="855" t="str">
        <f>'BID IV'!B417</f>
        <v>: Pelatihan Kelompok Usahan Ekonomi Produktif (Kelompok Pengerajin Lampion "Dewata Janur Desa Penatih Dangin Puri)</v>
      </c>
      <c r="E41" s="251" t="s">
        <v>2487</v>
      </c>
      <c r="F41" s="848" t="s">
        <v>2484</v>
      </c>
      <c r="G41" s="984">
        <v>1</v>
      </c>
      <c r="H41" s="66" t="s">
        <v>1373</v>
      </c>
      <c r="I41" s="251" t="s">
        <v>1414</v>
      </c>
      <c r="J41" s="251" t="s">
        <v>2498</v>
      </c>
      <c r="K41" s="251" t="s">
        <v>295</v>
      </c>
      <c r="L41" s="852">
        <f>'BID IV'!F465</f>
        <v>46276296</v>
      </c>
      <c r="M41" s="268" t="s">
        <v>1375</v>
      </c>
    </row>
    <row r="42" spans="1:13" ht="42.75" customHeight="1" x14ac:dyDescent="0.25">
      <c r="A42" s="32"/>
      <c r="B42" s="66"/>
      <c r="C42" s="267">
        <v>5</v>
      </c>
      <c r="D42" s="851" t="str">
        <f>'BID IV'!B162</f>
        <v>: Perbaikan Jalan Usaha Tani Subak Pohmanis</v>
      </c>
      <c r="E42" s="251" t="s">
        <v>2487</v>
      </c>
      <c r="F42" s="66" t="s">
        <v>2485</v>
      </c>
      <c r="G42" s="984">
        <v>1</v>
      </c>
      <c r="H42" s="66" t="s">
        <v>1373</v>
      </c>
      <c r="I42" s="251" t="s">
        <v>1414</v>
      </c>
      <c r="J42" s="126" t="s">
        <v>2200</v>
      </c>
      <c r="K42" s="251" t="s">
        <v>295</v>
      </c>
      <c r="L42" s="470">
        <f>'BID IV'!F172</f>
        <v>500000000</v>
      </c>
      <c r="M42" s="268" t="s">
        <v>1375</v>
      </c>
    </row>
    <row r="43" spans="1:13" ht="54" customHeight="1" thickBot="1" x14ac:dyDescent="0.3">
      <c r="A43" s="32"/>
      <c r="B43" s="66"/>
      <c r="C43" s="267">
        <v>6</v>
      </c>
      <c r="D43" s="851" t="str">
        <f>'BID IV'!B344</f>
        <v>:Pelatihan/Penyuluhan Pemberdayaan Perempuan (Pembinaan Kelompok P2WKSS)</v>
      </c>
      <c r="E43" s="32" t="s">
        <v>2486</v>
      </c>
      <c r="F43" s="66" t="s">
        <v>2490</v>
      </c>
      <c r="G43" s="984">
        <v>1</v>
      </c>
      <c r="H43" s="66" t="s">
        <v>1373</v>
      </c>
      <c r="I43" s="251" t="s">
        <v>1414</v>
      </c>
      <c r="J43" s="32" t="s">
        <v>2222</v>
      </c>
      <c r="K43" s="251" t="s">
        <v>295</v>
      </c>
      <c r="L43" s="470">
        <f>'BID IV'!F366</f>
        <v>1227000</v>
      </c>
      <c r="M43" s="268" t="s">
        <v>1375</v>
      </c>
    </row>
    <row r="44" spans="1:13" ht="15.75" thickBot="1" x14ac:dyDescent="0.3">
      <c r="A44" s="2075" t="s">
        <v>1911</v>
      </c>
      <c r="B44" s="2076"/>
      <c r="C44" s="2076"/>
      <c r="D44" s="2076"/>
      <c r="E44" s="2076"/>
      <c r="F44" s="2076"/>
      <c r="G44" s="2076"/>
      <c r="H44" s="2076"/>
      <c r="I44" s="2076"/>
      <c r="J44" s="2076"/>
      <c r="K44" s="2077"/>
      <c r="L44" s="857">
        <f>SUM(L39:L43)</f>
        <v>620970296</v>
      </c>
      <c r="M44" s="986"/>
    </row>
    <row r="45" spans="1:13" ht="15.75" thickBot="1" x14ac:dyDescent="0.3">
      <c r="A45" s="2072" t="s">
        <v>1554</v>
      </c>
      <c r="B45" s="2073"/>
      <c r="C45" s="2073"/>
      <c r="D45" s="2073"/>
      <c r="E45" s="2073"/>
      <c r="F45" s="2073"/>
      <c r="G45" s="2073"/>
      <c r="H45" s="2073"/>
      <c r="I45" s="2073"/>
      <c r="J45" s="2073"/>
      <c r="K45" s="2073"/>
      <c r="L45" s="859">
        <f>L44+L36</f>
        <v>1588510152.27</v>
      </c>
      <c r="M45" s="987"/>
    </row>
    <row r="46" spans="1:13" x14ac:dyDescent="0.25">
      <c r="K46" t="s">
        <v>2476</v>
      </c>
      <c r="L46" s="451">
        <v>1134951000</v>
      </c>
    </row>
    <row r="47" spans="1:13" x14ac:dyDescent="0.25">
      <c r="L47" s="175"/>
    </row>
  </sheetData>
  <mergeCells count="13">
    <mergeCell ref="A45:K45"/>
    <mergeCell ref="A1:M1"/>
    <mergeCell ref="A2:M2"/>
    <mergeCell ref="H8:H9"/>
    <mergeCell ref="I8:K8"/>
    <mergeCell ref="L8:M8"/>
    <mergeCell ref="A36:K36"/>
    <mergeCell ref="A44:K44"/>
    <mergeCell ref="A8:A9"/>
    <mergeCell ref="B8:D8"/>
    <mergeCell ref="E8:E9"/>
    <mergeCell ref="F8:F9"/>
    <mergeCell ref="G8:G9"/>
  </mergeCells>
  <pageMargins left="0.7" right="1.45" top="0.75" bottom="0.75" header="0.3" footer="0.3"/>
  <pageSetup paperSize="5" scale="60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O47"/>
  <sheetViews>
    <sheetView topLeftCell="A10" workbookViewId="0">
      <selection activeCell="L47" sqref="L47"/>
    </sheetView>
  </sheetViews>
  <sheetFormatPr defaultRowHeight="15" x14ac:dyDescent="0.25"/>
  <cols>
    <col min="1" max="1" width="13.7109375" customWidth="1"/>
    <col min="2" max="2" width="24.140625" customWidth="1"/>
    <col min="3" max="3" width="8" customWidth="1"/>
    <col min="4" max="4" width="29.5703125" customWidth="1"/>
    <col min="5" max="5" width="27.4257812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customWidth="1"/>
    <col min="13" max="13" width="12.85546875" customWidth="1"/>
    <col min="14" max="14" width="21.5703125" customWidth="1"/>
  </cols>
  <sheetData>
    <row r="1" spans="1:15" s="111" customFormat="1" ht="29.25" customHeight="1" x14ac:dyDescent="0.25">
      <c r="A1" s="2079" t="s">
        <v>2480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110"/>
    </row>
    <row r="2" spans="1:15" s="111" customFormat="1" ht="29.25" customHeight="1" x14ac:dyDescent="0.25">
      <c r="A2" s="2079" t="s">
        <v>1336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110"/>
    </row>
    <row r="3" spans="1:15" s="111" customFormat="1" ht="23.25" customHeight="1" x14ac:dyDescent="0.25">
      <c r="A3" s="2079" t="s">
        <v>1912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110"/>
    </row>
    <row r="4" spans="1:15" s="111" customFormat="1" ht="15.75" x14ac:dyDescent="0.25">
      <c r="B4" s="112"/>
      <c r="D4" s="112"/>
      <c r="H4" s="112"/>
      <c r="J4" s="113"/>
      <c r="L4" s="380"/>
      <c r="M4" s="846"/>
      <c r="O4" s="110"/>
    </row>
    <row r="5" spans="1:15" s="111" customFormat="1" ht="31.5" x14ac:dyDescent="0.25">
      <c r="A5" s="111" t="s">
        <v>1337</v>
      </c>
      <c r="B5" s="112" t="s">
        <v>1338</v>
      </c>
      <c r="D5" s="112"/>
      <c r="H5" s="112"/>
      <c r="J5" s="113"/>
      <c r="L5" s="380"/>
      <c r="M5" s="846"/>
      <c r="O5" s="110"/>
    </row>
    <row r="6" spans="1:15" s="111" customFormat="1" ht="31.5" x14ac:dyDescent="0.25">
      <c r="A6" s="111" t="s">
        <v>1339</v>
      </c>
      <c r="B6" s="112" t="s">
        <v>1340</v>
      </c>
      <c r="D6" s="112"/>
      <c r="H6" s="112"/>
      <c r="J6" s="113"/>
      <c r="L6" s="380"/>
      <c r="M6" s="846"/>
      <c r="O6" s="110"/>
    </row>
    <row r="7" spans="1:15" s="111" customFormat="1" ht="15.75" x14ac:dyDescent="0.25">
      <c r="A7" s="111" t="s">
        <v>1341</v>
      </c>
      <c r="B7" s="112" t="s">
        <v>1342</v>
      </c>
      <c r="D7" s="112"/>
      <c r="H7" s="112"/>
      <c r="J7" s="113"/>
      <c r="L7" s="380"/>
      <c r="M7" s="846"/>
      <c r="O7" s="110"/>
    </row>
    <row r="8" spans="1:15" s="111" customFormat="1" ht="15.75" x14ac:dyDescent="0.25">
      <c r="A8" s="111" t="s">
        <v>1343</v>
      </c>
      <c r="B8" s="112" t="s">
        <v>1344</v>
      </c>
      <c r="D8" s="112"/>
      <c r="H8" s="112"/>
      <c r="J8" s="113"/>
      <c r="L8" s="380"/>
      <c r="M8" s="846"/>
      <c r="O8" s="110"/>
    </row>
    <row r="9" spans="1:15" s="111" customFormat="1" ht="15.75" x14ac:dyDescent="0.25">
      <c r="B9" s="112"/>
      <c r="D9" s="112"/>
      <c r="H9" s="112"/>
      <c r="J9" s="113"/>
      <c r="L9" s="380"/>
      <c r="M9" s="846"/>
      <c r="O9" s="110"/>
    </row>
    <row r="10" spans="1:15" s="111" customFormat="1" ht="72.75" customHeight="1" x14ac:dyDescent="0.25">
      <c r="A10" s="114" t="s">
        <v>1295</v>
      </c>
      <c r="B10" s="2080" t="s">
        <v>1345</v>
      </c>
      <c r="C10" s="2080"/>
      <c r="D10" s="2080"/>
      <c r="E10" s="115" t="s">
        <v>1346</v>
      </c>
      <c r="F10" s="115" t="s">
        <v>1347</v>
      </c>
      <c r="G10" s="115" t="s">
        <v>2188</v>
      </c>
      <c r="H10" s="115" t="s">
        <v>1348</v>
      </c>
      <c r="I10" s="115" t="s">
        <v>1349</v>
      </c>
      <c r="J10" s="115" t="s">
        <v>1350</v>
      </c>
      <c r="K10" s="115" t="s">
        <v>464</v>
      </c>
      <c r="L10" s="2081" t="s">
        <v>1351</v>
      </c>
      <c r="M10" s="2081"/>
      <c r="N10" s="2081" t="s">
        <v>1352</v>
      </c>
      <c r="O10" s="2078" t="s">
        <v>1353</v>
      </c>
    </row>
    <row r="11" spans="1:15" s="111" customFormat="1" ht="15.75" x14ac:dyDescent="0.25">
      <c r="A11" s="116"/>
      <c r="B11" s="118" t="s">
        <v>1354</v>
      </c>
      <c r="C11" s="117"/>
      <c r="D11" s="118" t="s">
        <v>521</v>
      </c>
      <c r="E11" s="116"/>
      <c r="F11" s="116"/>
      <c r="G11" s="116"/>
      <c r="H11" s="121"/>
      <c r="I11" s="116"/>
      <c r="J11" s="119"/>
      <c r="K11" s="116"/>
      <c r="L11" s="381" t="s">
        <v>1356</v>
      </c>
      <c r="M11" s="117" t="s">
        <v>1357</v>
      </c>
      <c r="N11" s="2081"/>
      <c r="O11" s="2078"/>
    </row>
    <row r="12" spans="1:15" s="111" customFormat="1" ht="18" customHeight="1" x14ac:dyDescent="0.25">
      <c r="A12" s="117" t="s">
        <v>1358</v>
      </c>
      <c r="B12" s="118" t="s">
        <v>1359</v>
      </c>
      <c r="C12" s="117" t="s">
        <v>1360</v>
      </c>
      <c r="D12" s="118" t="s">
        <v>1361</v>
      </c>
      <c r="E12" s="117" t="s">
        <v>1362</v>
      </c>
      <c r="F12" s="117" t="s">
        <v>1363</v>
      </c>
      <c r="G12" s="117" t="s">
        <v>1364</v>
      </c>
      <c r="H12" s="118" t="s">
        <v>1365</v>
      </c>
      <c r="I12" s="117" t="s">
        <v>1366</v>
      </c>
      <c r="J12" s="114" t="s">
        <v>1367</v>
      </c>
      <c r="K12" s="117" t="s">
        <v>1368</v>
      </c>
      <c r="L12" s="381" t="s">
        <v>1369</v>
      </c>
      <c r="M12" s="117" t="s">
        <v>539</v>
      </c>
      <c r="N12" s="117" t="s">
        <v>1370</v>
      </c>
      <c r="O12" s="110" t="s">
        <v>1371</v>
      </c>
    </row>
    <row r="13" spans="1:15" ht="60" x14ac:dyDescent="0.25">
      <c r="A13" s="32">
        <v>1</v>
      </c>
      <c r="B13" s="66" t="str">
        <f>'BID I'!B5</f>
        <v>: Penyelenggaraan Pemerintahan Desa</v>
      </c>
      <c r="C13" s="267">
        <v>1</v>
      </c>
      <c r="D13" s="66" t="str">
        <f>'BID I'!B7</f>
        <v>: Penyediaan Penghasilan tetap dan Tunjangan Perbekel</v>
      </c>
      <c r="E13" s="32" t="s">
        <v>2215</v>
      </c>
      <c r="F13" s="66" t="s">
        <v>2187</v>
      </c>
      <c r="G13" s="984">
        <v>1</v>
      </c>
      <c r="H13" s="66" t="s">
        <v>1373</v>
      </c>
      <c r="I13" s="32" t="s">
        <v>2189</v>
      </c>
      <c r="J13" s="32" t="s">
        <v>2190</v>
      </c>
      <c r="K13" s="32" t="s">
        <v>295</v>
      </c>
      <c r="L13" s="470">
        <f>'BID I'!F20</f>
        <v>159920000</v>
      </c>
      <c r="M13" s="268" t="s">
        <v>1375</v>
      </c>
      <c r="N13" s="268" t="s">
        <v>1376</v>
      </c>
    </row>
    <row r="14" spans="1:15" ht="60" x14ac:dyDescent="0.25">
      <c r="A14" s="32"/>
      <c r="B14" s="66"/>
      <c r="C14" s="267">
        <v>2</v>
      </c>
      <c r="D14" s="66" t="str">
        <f>'BID I'!B35</f>
        <v>: Penyediaan Penghasilan tetap dan Tunjangan Perangkat Desa</v>
      </c>
      <c r="E14" s="32" t="s">
        <v>2215</v>
      </c>
      <c r="F14" s="66" t="s">
        <v>2191</v>
      </c>
      <c r="G14" s="984">
        <v>1</v>
      </c>
      <c r="H14" s="66" t="s">
        <v>1373</v>
      </c>
      <c r="I14" s="32" t="s">
        <v>2189</v>
      </c>
      <c r="J14" s="32" t="s">
        <v>2192</v>
      </c>
      <c r="K14" s="32" t="s">
        <v>295</v>
      </c>
      <c r="L14" s="470">
        <f>'BID I'!F60</f>
        <v>939625760</v>
      </c>
      <c r="M14" s="268" t="s">
        <v>1375</v>
      </c>
      <c r="N14" s="268" t="s">
        <v>1376</v>
      </c>
    </row>
    <row r="15" spans="1:15" ht="60" x14ac:dyDescent="0.25">
      <c r="A15" s="32"/>
      <c r="B15" s="66"/>
      <c r="C15" s="267">
        <v>3</v>
      </c>
      <c r="D15" s="66" t="str">
        <f>'BID I'!B76</f>
        <v>Penyediaan Jaminan Kesehatan dan Ketenaga Kerjaan Bagi Perbekel dan Perangkat Desa</v>
      </c>
      <c r="E15" s="32" t="s">
        <v>2215</v>
      </c>
      <c r="F15" s="66" t="s">
        <v>2193</v>
      </c>
      <c r="G15" s="984">
        <v>1</v>
      </c>
      <c r="H15" s="66" t="s">
        <v>1373</v>
      </c>
      <c r="I15" s="32" t="s">
        <v>1374</v>
      </c>
      <c r="J15" s="32" t="s">
        <v>2194</v>
      </c>
      <c r="K15" s="32" t="s">
        <v>295</v>
      </c>
      <c r="L15" s="470">
        <f>'BID I'!F94</f>
        <v>70001760</v>
      </c>
      <c r="M15" s="268" t="s">
        <v>1375</v>
      </c>
      <c r="N15" s="268" t="s">
        <v>1376</v>
      </c>
    </row>
    <row r="16" spans="1:15" ht="60" x14ac:dyDescent="0.25">
      <c r="A16" s="32"/>
      <c r="B16" s="66"/>
      <c r="C16" s="267">
        <v>4</v>
      </c>
      <c r="D16" s="66" t="str">
        <f>'BID I'!B110</f>
        <v>: Penyediaan Operasional Pemerintah Desa</v>
      </c>
      <c r="E16" s="32" t="s">
        <v>2215</v>
      </c>
      <c r="F16" s="66" t="s">
        <v>2195</v>
      </c>
      <c r="G16" s="984">
        <v>1</v>
      </c>
      <c r="H16" s="66" t="s">
        <v>1373</v>
      </c>
      <c r="I16" s="32"/>
      <c r="J16" s="32"/>
      <c r="K16" s="32"/>
      <c r="L16" s="470">
        <f>'BID I'!F277</f>
        <v>486652349</v>
      </c>
      <c r="M16" s="268" t="s">
        <v>1375</v>
      </c>
      <c r="N16" s="268" t="s">
        <v>1376</v>
      </c>
    </row>
    <row r="17" spans="1:14" ht="60" x14ac:dyDescent="0.25">
      <c r="A17" s="32"/>
      <c r="B17" s="66"/>
      <c r="C17" s="267">
        <v>5</v>
      </c>
      <c r="D17" s="66" t="str">
        <f>'BID I'!B293</f>
        <v>: Penyediaan Oprasional Pemerinthanan Desa ( Kegiatan Rapat - Rapat)</v>
      </c>
      <c r="E17" s="32" t="s">
        <v>2215</v>
      </c>
      <c r="F17" s="124" t="s">
        <v>1405</v>
      </c>
      <c r="G17" s="984">
        <v>1</v>
      </c>
      <c r="H17" s="66" t="s">
        <v>1373</v>
      </c>
      <c r="I17" s="125" t="s">
        <v>1374</v>
      </c>
      <c r="J17" s="126" t="s">
        <v>2196</v>
      </c>
      <c r="K17" s="1037" t="s">
        <v>2197</v>
      </c>
      <c r="L17" s="470">
        <f>'BID I'!F308</f>
        <v>25560000</v>
      </c>
      <c r="M17" s="268" t="s">
        <v>1375</v>
      </c>
      <c r="N17" s="268" t="s">
        <v>1376</v>
      </c>
    </row>
    <row r="18" spans="1:14" ht="47.25" x14ac:dyDescent="0.25">
      <c r="A18" s="32"/>
      <c r="B18" s="66"/>
      <c r="C18" s="267">
        <v>6</v>
      </c>
      <c r="D18" s="66" t="str">
        <f>'BID I'!B323</f>
        <v>: Penyediaan tunjangan BPD</v>
      </c>
      <c r="E18" s="32" t="s">
        <v>2215</v>
      </c>
      <c r="F18" s="124" t="s">
        <v>1406</v>
      </c>
      <c r="G18" s="1038">
        <v>1</v>
      </c>
      <c r="H18" s="124" t="s">
        <v>1373</v>
      </c>
      <c r="I18" s="125" t="s">
        <v>1374</v>
      </c>
      <c r="J18" s="126" t="s">
        <v>2198</v>
      </c>
      <c r="K18" s="1037" t="s">
        <v>2197</v>
      </c>
      <c r="L18" s="470">
        <f>'BID I'!F349</f>
        <v>410200000</v>
      </c>
      <c r="M18" s="268" t="s">
        <v>1375</v>
      </c>
      <c r="N18" s="268" t="s">
        <v>1376</v>
      </c>
    </row>
    <row r="19" spans="1:14" ht="47.25" x14ac:dyDescent="0.25">
      <c r="A19" s="32"/>
      <c r="B19" s="66"/>
      <c r="C19" s="267">
        <v>7</v>
      </c>
      <c r="D19" s="66" t="str">
        <f>'BID I'!B365</f>
        <v>: Penyediaan Operasional BPD</v>
      </c>
      <c r="E19" s="32" t="s">
        <v>2215</v>
      </c>
      <c r="F19" s="124" t="s">
        <v>1407</v>
      </c>
      <c r="G19" s="1038">
        <v>1</v>
      </c>
      <c r="H19" s="124" t="s">
        <v>1373</v>
      </c>
      <c r="I19" s="125" t="s">
        <v>1408</v>
      </c>
      <c r="J19" s="126" t="s">
        <v>2199</v>
      </c>
      <c r="K19" s="1037" t="s">
        <v>2197</v>
      </c>
      <c r="L19" s="470">
        <f>'BID I'!F390</f>
        <v>15999000</v>
      </c>
      <c r="M19" s="268" t="s">
        <v>1375</v>
      </c>
      <c r="N19" s="268" t="s">
        <v>1376</v>
      </c>
    </row>
    <row r="20" spans="1:14" ht="63" x14ac:dyDescent="0.25">
      <c r="A20" s="32"/>
      <c r="B20" s="66"/>
      <c r="C20" s="267">
        <v>8</v>
      </c>
      <c r="D20" s="66" t="str">
        <f>'BID I'!B406</f>
        <v>: Penyediaan Operasional BPD (Musyawarah BPD)</v>
      </c>
      <c r="E20" s="32" t="s">
        <v>2215</v>
      </c>
      <c r="F20" s="124" t="s">
        <v>1409</v>
      </c>
      <c r="G20" s="1038">
        <v>1</v>
      </c>
      <c r="H20" s="124" t="s">
        <v>1373</v>
      </c>
      <c r="I20" s="125" t="s">
        <v>1410</v>
      </c>
      <c r="J20" s="126" t="s">
        <v>2200</v>
      </c>
      <c r="K20" s="1037" t="s">
        <v>2197</v>
      </c>
      <c r="L20" s="470">
        <f>'BID I'!F429</f>
        <v>12400000</v>
      </c>
      <c r="M20" s="268" t="s">
        <v>1375</v>
      </c>
      <c r="N20" s="268" t="s">
        <v>1376</v>
      </c>
    </row>
    <row r="21" spans="1:14" ht="42.75" customHeight="1" x14ac:dyDescent="0.25">
      <c r="A21" s="32"/>
      <c r="B21" s="66"/>
      <c r="C21" s="267">
        <v>9</v>
      </c>
      <c r="D21" s="66" t="str">
        <f>'BID I'!B444</f>
        <v>: Penyediaan Operasional BPD (Rapat FKAKD)</v>
      </c>
      <c r="E21" s="32" t="s">
        <v>2215</v>
      </c>
      <c r="F21" s="32"/>
      <c r="G21" s="984"/>
      <c r="H21" s="66"/>
      <c r="I21" s="32"/>
      <c r="J21" s="32"/>
      <c r="K21" s="32"/>
      <c r="L21" s="470">
        <f>'BID I'!F465</f>
        <v>6685000</v>
      </c>
      <c r="M21" s="268"/>
      <c r="N21" s="268"/>
    </row>
    <row r="22" spans="1:14" ht="47.25" x14ac:dyDescent="0.25">
      <c r="A22" s="32"/>
      <c r="B22" s="66"/>
      <c r="C22" s="267">
        <v>10</v>
      </c>
      <c r="D22" s="66" t="str">
        <f>'BID I'!B479</f>
        <v xml:space="preserve">: Penyediaan Penghasilan Staf Desa </v>
      </c>
      <c r="E22" s="32" t="s">
        <v>2215</v>
      </c>
      <c r="F22" s="124" t="s">
        <v>1411</v>
      </c>
      <c r="G22" s="1038">
        <v>1</v>
      </c>
      <c r="H22" s="124" t="s">
        <v>1373</v>
      </c>
      <c r="I22" s="125" t="s">
        <v>1412</v>
      </c>
      <c r="J22" s="126" t="s">
        <v>2208</v>
      </c>
      <c r="K22" s="1037" t="s">
        <v>2197</v>
      </c>
      <c r="L22" s="470">
        <f>'BID I'!F495</f>
        <v>482054400</v>
      </c>
      <c r="M22" s="268" t="s">
        <v>1375</v>
      </c>
      <c r="N22" s="268" t="s">
        <v>1376</v>
      </c>
    </row>
    <row r="23" spans="1:14" ht="63" x14ac:dyDescent="0.25">
      <c r="A23" s="32"/>
      <c r="B23" s="66"/>
      <c r="C23" s="267">
        <v>11</v>
      </c>
      <c r="D23" s="66" t="str">
        <f>'BID I'!B510</f>
        <v>Penjaringan dan Penyaringan Perangkat Desa/Staf</v>
      </c>
      <c r="E23" s="32" t="s">
        <v>2215</v>
      </c>
      <c r="F23" s="124" t="s">
        <v>1630</v>
      </c>
      <c r="G23" s="1038">
        <v>1</v>
      </c>
      <c r="H23" s="124" t="s">
        <v>1373</v>
      </c>
      <c r="I23" s="125" t="s">
        <v>1417</v>
      </c>
      <c r="J23" s="126" t="s">
        <v>2201</v>
      </c>
      <c r="K23" s="1037" t="s">
        <v>2197</v>
      </c>
      <c r="L23" s="470">
        <f>'BID I'!F538</f>
        <v>6699000</v>
      </c>
      <c r="M23" s="268" t="s">
        <v>1375</v>
      </c>
      <c r="N23" s="268" t="s">
        <v>1376</v>
      </c>
    </row>
    <row r="24" spans="1:14" ht="60" x14ac:dyDescent="0.25">
      <c r="A24" s="32"/>
      <c r="B24" s="66"/>
      <c r="C24" s="267">
        <v>12</v>
      </c>
      <c r="D24" s="66" t="str">
        <f>'BID I'!B552</f>
        <v>Penyedian Jaminan Keshatan dan ketenagakerjaan BPD</v>
      </c>
      <c r="E24" s="32" t="s">
        <v>2215</v>
      </c>
      <c r="F24" s="124" t="s">
        <v>1406</v>
      </c>
      <c r="G24" s="984">
        <v>1</v>
      </c>
      <c r="H24" s="66" t="s">
        <v>1373</v>
      </c>
      <c r="I24" s="32" t="s">
        <v>2209</v>
      </c>
      <c r="J24" s="32" t="s">
        <v>2210</v>
      </c>
      <c r="K24" s="1037" t="s">
        <v>2197</v>
      </c>
      <c r="L24" s="470">
        <f>'BID I'!F570</f>
        <v>36717720</v>
      </c>
      <c r="M24" s="268"/>
      <c r="N24" s="268"/>
    </row>
    <row r="25" spans="1:14" ht="60" x14ac:dyDescent="0.25">
      <c r="A25" s="32"/>
      <c r="B25" s="66"/>
      <c r="C25" s="267">
        <v>13</v>
      </c>
      <c r="D25" s="66" t="str">
        <f>'BID I'!B584</f>
        <v>Penyedian Jaminan Keshatan dan ketenagakerjaan Staf Desa</v>
      </c>
      <c r="E25" s="32" t="s">
        <v>2215</v>
      </c>
      <c r="F25" s="124" t="s">
        <v>1411</v>
      </c>
      <c r="G25" s="984">
        <v>1</v>
      </c>
      <c r="H25" s="66" t="s">
        <v>1373</v>
      </c>
      <c r="I25" s="32" t="s">
        <v>2209</v>
      </c>
      <c r="J25" s="32" t="s">
        <v>2212</v>
      </c>
      <c r="K25" s="1037" t="s">
        <v>2197</v>
      </c>
      <c r="L25" s="470">
        <f>'BID I'!F606</f>
        <v>24226512</v>
      </c>
      <c r="M25" s="268"/>
      <c r="N25" s="268"/>
    </row>
    <row r="26" spans="1:14" ht="60" x14ac:dyDescent="0.25">
      <c r="A26" s="32"/>
      <c r="B26" s="66"/>
      <c r="C26" s="267">
        <v>14</v>
      </c>
      <c r="D26" s="66" t="str">
        <f>'BID I'!B620</f>
        <v>Penyedian Jaminan Ketenagakerjaan Ekosistem Desa</v>
      </c>
      <c r="E26" s="32" t="s">
        <v>2215</v>
      </c>
      <c r="F26" s="124" t="s">
        <v>2213</v>
      </c>
      <c r="G26" s="984">
        <v>1</v>
      </c>
      <c r="H26" s="66" t="s">
        <v>1373</v>
      </c>
      <c r="I26" s="32" t="s">
        <v>2189</v>
      </c>
      <c r="J26" s="32" t="s">
        <v>2214</v>
      </c>
      <c r="K26" s="32" t="s">
        <v>295</v>
      </c>
      <c r="L26" s="470">
        <f>'BID I'!F642</f>
        <v>42537600</v>
      </c>
      <c r="M26" s="268"/>
      <c r="N26" s="268"/>
    </row>
    <row r="27" spans="1:14" ht="47.25" x14ac:dyDescent="0.25">
      <c r="A27" s="32"/>
      <c r="B27" s="66"/>
      <c r="C27" s="267">
        <v>15</v>
      </c>
      <c r="D27" s="66" t="str">
        <f>'BID I'!B657</f>
        <v>: Penyediaan Kegiatan Sosial Desa</v>
      </c>
      <c r="E27" s="32" t="s">
        <v>2215</v>
      </c>
      <c r="F27" s="124" t="s">
        <v>1413</v>
      </c>
      <c r="G27" s="1038">
        <v>1</v>
      </c>
      <c r="H27" s="124" t="s">
        <v>1373</v>
      </c>
      <c r="I27" s="125" t="s">
        <v>1374</v>
      </c>
      <c r="J27" s="126" t="s">
        <v>2202</v>
      </c>
      <c r="K27" s="1037" t="s">
        <v>2197</v>
      </c>
      <c r="L27" s="470">
        <f>'BID I'!F674</f>
        <v>34032000</v>
      </c>
      <c r="M27" s="268" t="s">
        <v>1375</v>
      </c>
      <c r="N27" s="268" t="s">
        <v>1376</v>
      </c>
    </row>
    <row r="28" spans="1:14" ht="47.25" x14ac:dyDescent="0.25">
      <c r="A28" s="32"/>
      <c r="B28" s="66"/>
      <c r="C28" s="267">
        <v>16</v>
      </c>
      <c r="D28" s="66" t="str">
        <f>'BID I'!B689</f>
        <v>: Administrasi Bank</v>
      </c>
      <c r="E28" s="32" t="s">
        <v>2215</v>
      </c>
      <c r="F28" s="124" t="s">
        <v>1413</v>
      </c>
      <c r="G28" s="1038">
        <v>1</v>
      </c>
      <c r="H28" s="124" t="s">
        <v>1373</v>
      </c>
      <c r="I28" s="125" t="s">
        <v>1374</v>
      </c>
      <c r="J28" s="126" t="s">
        <v>2203</v>
      </c>
      <c r="K28" s="1037" t="s">
        <v>2197</v>
      </c>
      <c r="L28" s="470">
        <f>'BID I'!F700</f>
        <v>0</v>
      </c>
      <c r="M28" s="268" t="s">
        <v>1375</v>
      </c>
      <c r="N28" s="268" t="s">
        <v>1376</v>
      </c>
    </row>
    <row r="29" spans="1:14" ht="47.25" x14ac:dyDescent="0.25">
      <c r="A29" s="32"/>
      <c r="B29" s="66"/>
      <c r="C29" s="267">
        <v>17</v>
      </c>
      <c r="D29" s="66" t="str">
        <f>'BID I'!B716</f>
        <v>: Tambahan  Penghasilan Perbekel dari BKK</v>
      </c>
      <c r="E29" s="32" t="s">
        <v>2215</v>
      </c>
      <c r="F29" s="124" t="s">
        <v>1372</v>
      </c>
      <c r="G29" s="1038">
        <v>1</v>
      </c>
      <c r="H29" s="124" t="s">
        <v>1373</v>
      </c>
      <c r="I29" s="125" t="s">
        <v>1374</v>
      </c>
      <c r="J29" s="126" t="s">
        <v>2201</v>
      </c>
      <c r="K29" s="1037" t="s">
        <v>2197</v>
      </c>
      <c r="L29" s="470">
        <f>'BID I'!F728</f>
        <v>22500000</v>
      </c>
      <c r="M29" s="268" t="s">
        <v>1375</v>
      </c>
      <c r="N29" s="268" t="s">
        <v>1376</v>
      </c>
    </row>
    <row r="30" spans="1:14" ht="47.25" x14ac:dyDescent="0.25">
      <c r="A30" s="32"/>
      <c r="B30" s="66"/>
      <c r="C30" s="267">
        <v>18</v>
      </c>
      <c r="D30" s="66" t="str">
        <f>'BID I'!B742</f>
        <v>: Tambahan  Penghasilan Perangkat Desa dari BKK</v>
      </c>
      <c r="E30" s="32" t="s">
        <v>2215</v>
      </c>
      <c r="F30" s="124" t="s">
        <v>1402</v>
      </c>
      <c r="G30" s="1038">
        <v>1</v>
      </c>
      <c r="H30" s="124" t="s">
        <v>1373</v>
      </c>
      <c r="I30" s="125" t="s">
        <v>1374</v>
      </c>
      <c r="J30" s="126" t="s">
        <v>2204</v>
      </c>
      <c r="K30" s="1037" t="s">
        <v>2197</v>
      </c>
      <c r="L30" s="470">
        <f>'BID I'!F763</f>
        <v>70500000</v>
      </c>
      <c r="M30" s="268" t="s">
        <v>1375</v>
      </c>
      <c r="N30" s="268" t="s">
        <v>1376</v>
      </c>
    </row>
    <row r="31" spans="1:14" ht="47.25" x14ac:dyDescent="0.25">
      <c r="A31" s="32"/>
      <c r="B31" s="66"/>
      <c r="C31" s="267">
        <v>19</v>
      </c>
      <c r="D31" s="66" t="str">
        <f>'BID I'!B778</f>
        <v>: Penyediaan Aset Tetap (Prasarana Kantor Desa)</v>
      </c>
      <c r="E31" s="32" t="s">
        <v>2215</v>
      </c>
      <c r="F31" s="124" t="s">
        <v>2205</v>
      </c>
      <c r="G31" s="1038">
        <v>1</v>
      </c>
      <c r="H31" s="124" t="s">
        <v>1373</v>
      </c>
      <c r="I31" s="125" t="s">
        <v>1414</v>
      </c>
      <c r="J31" s="126" t="s">
        <v>2203</v>
      </c>
      <c r="K31" s="1037" t="s">
        <v>2197</v>
      </c>
      <c r="L31" s="470">
        <f>'BID I'!F802</f>
        <v>84962003.659999996</v>
      </c>
      <c r="M31" s="268" t="s">
        <v>1375</v>
      </c>
      <c r="N31" s="268" t="s">
        <v>1376</v>
      </c>
    </row>
    <row r="32" spans="1:14" ht="45" customHeight="1" x14ac:dyDescent="0.25">
      <c r="A32" s="32"/>
      <c r="B32" s="66"/>
      <c r="C32" s="267">
        <v>20</v>
      </c>
      <c r="D32" s="66" t="e">
        <f>'BID I'!#REF!</f>
        <v>#REF!</v>
      </c>
      <c r="E32" s="32" t="s">
        <v>2215</v>
      </c>
      <c r="F32" s="124" t="s">
        <v>2206</v>
      </c>
      <c r="G32" s="1038">
        <v>1</v>
      </c>
      <c r="H32" s="124" t="s">
        <v>1373</v>
      </c>
      <c r="I32" s="125" t="s">
        <v>1417</v>
      </c>
      <c r="J32" s="126" t="s">
        <v>2200</v>
      </c>
      <c r="K32" s="1037" t="s">
        <v>2197</v>
      </c>
      <c r="L32" s="470" t="e">
        <f>'BID I'!#REF!</f>
        <v>#REF!</v>
      </c>
      <c r="M32" s="268" t="s">
        <v>1375</v>
      </c>
      <c r="N32" s="268" t="s">
        <v>1376</v>
      </c>
    </row>
    <row r="33" spans="1:14" ht="45" customHeight="1" x14ac:dyDescent="0.25">
      <c r="A33" s="32"/>
      <c r="B33" s="66"/>
      <c r="C33" s="267">
        <v>21</v>
      </c>
      <c r="D33" s="66" t="str">
        <f>'BID I'!B853</f>
        <v xml:space="preserve">Pemeliharaan Gedung/Prasarana Kantor Desa (Pengelasan Atap Parkir) </v>
      </c>
      <c r="E33" s="32" t="s">
        <v>2215</v>
      </c>
      <c r="F33" s="124" t="s">
        <v>2420</v>
      </c>
      <c r="G33" s="1038">
        <v>1</v>
      </c>
      <c r="H33" s="124" t="s">
        <v>1373</v>
      </c>
      <c r="I33" s="125" t="s">
        <v>1417</v>
      </c>
      <c r="J33" s="126" t="s">
        <v>2200</v>
      </c>
      <c r="K33" s="1037" t="s">
        <v>2197</v>
      </c>
      <c r="L33" s="470">
        <f>'BID I'!F871</f>
        <v>22899750</v>
      </c>
      <c r="M33" s="268" t="s">
        <v>1375</v>
      </c>
      <c r="N33" s="268" t="s">
        <v>1376</v>
      </c>
    </row>
    <row r="34" spans="1:14" ht="45" customHeight="1" x14ac:dyDescent="0.25">
      <c r="A34" s="32"/>
      <c r="B34" s="66"/>
      <c r="C34" s="267">
        <v>22</v>
      </c>
      <c r="D34" s="66" t="str">
        <f>'BID I'!B884</f>
        <v>Pemeliharaan/ Rehabilitasi/ Peningkatan Gedung/ Prasarana Kantor Desa (Penataan Kebun dan Vertical Garden)</v>
      </c>
      <c r="E34" s="32" t="s">
        <v>2215</v>
      </c>
      <c r="F34" s="124" t="s">
        <v>2278</v>
      </c>
      <c r="G34" s="1038">
        <v>1</v>
      </c>
      <c r="H34" s="124" t="s">
        <v>1373</v>
      </c>
      <c r="I34" s="125" t="s">
        <v>1417</v>
      </c>
      <c r="J34" s="126" t="s">
        <v>2200</v>
      </c>
      <c r="K34" s="1037" t="s">
        <v>2197</v>
      </c>
      <c r="L34" s="470">
        <f>'BID I'!F906</f>
        <v>32007000</v>
      </c>
      <c r="M34" s="268" t="s">
        <v>1375</v>
      </c>
      <c r="N34" s="268" t="s">
        <v>1376</v>
      </c>
    </row>
    <row r="35" spans="1:14" ht="60" x14ac:dyDescent="0.25">
      <c r="A35" s="32"/>
      <c r="B35" s="66"/>
      <c r="C35" s="267">
        <v>23</v>
      </c>
      <c r="D35" s="66" t="str">
        <f>'BID I'!B919</f>
        <v>: Penyusunan/ Pendataan/Pemuktahiran Profil Desa (Profil Kependudukan dan potensi Desa )</v>
      </c>
      <c r="E35" s="32" t="s">
        <v>2216</v>
      </c>
      <c r="F35" s="124" t="s">
        <v>1418</v>
      </c>
      <c r="G35" s="1038">
        <v>1</v>
      </c>
      <c r="H35" s="124" t="s">
        <v>1373</v>
      </c>
      <c r="I35" s="125" t="s">
        <v>1417</v>
      </c>
      <c r="J35" s="126" t="s">
        <v>2200</v>
      </c>
      <c r="K35" s="1037" t="s">
        <v>2197</v>
      </c>
      <c r="L35" s="470">
        <f>'BID I'!F959</f>
        <v>51506000</v>
      </c>
      <c r="M35" s="268" t="s">
        <v>1375</v>
      </c>
      <c r="N35" s="268" t="s">
        <v>1376</v>
      </c>
    </row>
    <row r="36" spans="1:14" ht="47.25" x14ac:dyDescent="0.25">
      <c r="A36" s="32"/>
      <c r="B36" s="66"/>
      <c r="C36" s="267">
        <v>24</v>
      </c>
      <c r="D36" s="66" t="str">
        <f>'BID I'!B975</f>
        <v>: Pengelolaan Administrasi dan Kearsipan pemerintahan Desa ( Pelatihan )</v>
      </c>
      <c r="E36" s="32" t="s">
        <v>2216</v>
      </c>
      <c r="F36" s="123" t="s">
        <v>1419</v>
      </c>
      <c r="G36" s="1038">
        <v>1</v>
      </c>
      <c r="H36" s="124" t="s">
        <v>1373</v>
      </c>
      <c r="I36" s="125" t="s">
        <v>1417</v>
      </c>
      <c r="J36" s="126" t="s">
        <v>2200</v>
      </c>
      <c r="K36" s="1037" t="s">
        <v>2197</v>
      </c>
      <c r="L36" s="470">
        <f>'BID I'!F998</f>
        <v>910000</v>
      </c>
      <c r="M36" s="268" t="s">
        <v>1375</v>
      </c>
      <c r="N36" s="268" t="s">
        <v>1376</v>
      </c>
    </row>
    <row r="37" spans="1:14" ht="63" x14ac:dyDescent="0.25">
      <c r="A37" s="32"/>
      <c r="B37" s="66"/>
      <c r="C37" s="267">
        <v>25</v>
      </c>
      <c r="D37" s="66" t="str">
        <f>'BID I'!B1013</f>
        <v>: Pendataan Administrasi Penduduk Non Permanen (Penertiban Penduduk Pendatang dan Sidak Dialogis)</v>
      </c>
      <c r="E37" s="32" t="s">
        <v>2216</v>
      </c>
      <c r="F37" s="124" t="s">
        <v>1420</v>
      </c>
      <c r="G37" s="1038">
        <v>1</v>
      </c>
      <c r="H37" s="124" t="s">
        <v>1373</v>
      </c>
      <c r="I37" s="125" t="s">
        <v>1423</v>
      </c>
      <c r="J37" s="126" t="s">
        <v>2200</v>
      </c>
      <c r="K37" s="1037" t="s">
        <v>2197</v>
      </c>
      <c r="L37" s="470">
        <f>'BID I'!F1038</f>
        <v>41205000</v>
      </c>
      <c r="M37" s="268" t="s">
        <v>1375</v>
      </c>
      <c r="N37" s="268" t="s">
        <v>1376</v>
      </c>
    </row>
    <row r="38" spans="1:14" ht="47.25" x14ac:dyDescent="0.25">
      <c r="A38" s="32"/>
      <c r="B38" s="66"/>
      <c r="C38" s="267">
        <v>26</v>
      </c>
      <c r="D38" s="66" t="str">
        <f>'BID I'!B1054</f>
        <v>Penyelenggaraan Musyawarah Desa/ Pembahasan APBDes (Musrenbangdes)</v>
      </c>
      <c r="E38" s="32" t="s">
        <v>2216</v>
      </c>
      <c r="F38" s="124" t="s">
        <v>1413</v>
      </c>
      <c r="G38" s="1038">
        <v>1</v>
      </c>
      <c r="H38" s="124" t="s">
        <v>1373</v>
      </c>
      <c r="I38" s="125" t="s">
        <v>1377</v>
      </c>
      <c r="J38" s="126" t="s">
        <v>2200</v>
      </c>
      <c r="K38" s="1037" t="s">
        <v>2197</v>
      </c>
      <c r="L38" s="470">
        <f>'BID I'!F1082</f>
        <v>22595200</v>
      </c>
      <c r="M38" s="268" t="s">
        <v>1375</v>
      </c>
      <c r="N38" s="268" t="s">
        <v>1376</v>
      </c>
    </row>
    <row r="39" spans="1:14" ht="75" x14ac:dyDescent="0.25">
      <c r="A39" s="32"/>
      <c r="B39" s="66"/>
      <c r="C39" s="267">
        <v>27</v>
      </c>
      <c r="D39" s="66" t="str">
        <f>'BID I'!B1098</f>
        <v>Penyelenggaraan Musyawarah Desa/ Pembahasan APBDes (Musdes, Musrenbangdes/pra musrenbangdes, dll yang bersifat reguler )</v>
      </c>
      <c r="E39" s="32" t="s">
        <v>2216</v>
      </c>
      <c r="F39" s="124" t="s">
        <v>1413</v>
      </c>
      <c r="G39" s="1038">
        <v>1</v>
      </c>
      <c r="H39" s="124" t="s">
        <v>1373</v>
      </c>
      <c r="I39" s="125" t="s">
        <v>2207</v>
      </c>
      <c r="J39" s="126" t="s">
        <v>2200</v>
      </c>
      <c r="K39" s="1037" t="s">
        <v>2197</v>
      </c>
      <c r="L39" s="470">
        <f>'BID I'!F1126</f>
        <v>41416000</v>
      </c>
      <c r="M39" s="268" t="s">
        <v>1375</v>
      </c>
      <c r="N39" s="268" t="s">
        <v>1376</v>
      </c>
    </row>
    <row r="40" spans="1:14" ht="47.25" x14ac:dyDescent="0.25">
      <c r="A40" s="32"/>
      <c r="B40" s="66"/>
      <c r="C40" s="267">
        <v>28</v>
      </c>
      <c r="D40" s="66" t="str">
        <f>'BID I'!B1143</f>
        <v>: Penyelenggaraan Musyawarah Desa lainya (yang bersifat non reguler )</v>
      </c>
      <c r="E40" s="32" t="s">
        <v>2216</v>
      </c>
      <c r="F40" s="124" t="s">
        <v>1413</v>
      </c>
      <c r="G40" s="1038">
        <v>1</v>
      </c>
      <c r="H40" s="124" t="s">
        <v>1373</v>
      </c>
      <c r="I40" s="125" t="s">
        <v>1422</v>
      </c>
      <c r="J40" s="126" t="s">
        <v>2200</v>
      </c>
      <c r="K40" s="32"/>
      <c r="L40" s="470">
        <f>'BID I'!F1171</f>
        <v>41412000</v>
      </c>
      <c r="M40" s="268" t="s">
        <v>1375</v>
      </c>
      <c r="N40" s="268" t="s">
        <v>1376</v>
      </c>
    </row>
    <row r="41" spans="1:14" ht="47.25" x14ac:dyDescent="0.25">
      <c r="A41" s="32"/>
      <c r="B41" s="66"/>
      <c r="C41" s="267">
        <v>29</v>
      </c>
      <c r="D41" s="66" t="str">
        <f>'BID I'!B1219</f>
        <v>Penyusunan Dokumen Perencanaan Desa (RKP Desa 2025)</v>
      </c>
      <c r="E41" s="32" t="s">
        <v>2216</v>
      </c>
      <c r="F41" s="124" t="s">
        <v>1413</v>
      </c>
      <c r="G41" s="1038">
        <v>1</v>
      </c>
      <c r="H41" s="124" t="s">
        <v>1373</v>
      </c>
      <c r="I41" s="125" t="s">
        <v>1377</v>
      </c>
      <c r="J41" s="126" t="s">
        <v>2200</v>
      </c>
      <c r="K41" s="1037" t="s">
        <v>2197</v>
      </c>
      <c r="L41" s="470">
        <f>'BID I'!F1245</f>
        <v>25930000</v>
      </c>
      <c r="M41" s="268" t="s">
        <v>1375</v>
      </c>
      <c r="N41" s="268" t="s">
        <v>1376</v>
      </c>
    </row>
    <row r="42" spans="1:14" ht="47.25" x14ac:dyDescent="0.25">
      <c r="A42" s="32"/>
      <c r="B42" s="66"/>
      <c r="C42" s="267">
        <v>30</v>
      </c>
      <c r="D42" s="66" t="str">
        <f>'BID I'!B1260</f>
        <v>: Penyusunan dokumen keuangan Desa (APBDesa 2025 )</v>
      </c>
      <c r="E42" s="32" t="s">
        <v>2216</v>
      </c>
      <c r="F42" s="124" t="s">
        <v>1413</v>
      </c>
      <c r="G42" s="1038">
        <v>1</v>
      </c>
      <c r="H42" s="124" t="s">
        <v>1373</v>
      </c>
      <c r="I42" s="125" t="s">
        <v>1377</v>
      </c>
      <c r="J42" s="126" t="s">
        <v>2200</v>
      </c>
      <c r="K42" s="1037" t="s">
        <v>2197</v>
      </c>
      <c r="L42" s="470">
        <f>'BID I'!F1275</f>
        <v>5175000</v>
      </c>
      <c r="M42" s="268" t="s">
        <v>1375</v>
      </c>
      <c r="N42" s="268" t="s">
        <v>1376</v>
      </c>
    </row>
    <row r="43" spans="1:14" ht="63" x14ac:dyDescent="0.25">
      <c r="A43" s="32"/>
      <c r="B43" s="66"/>
      <c r="C43" s="267">
        <v>31</v>
      </c>
      <c r="D43" s="66" t="str">
        <f>'BID I'!B1291</f>
        <v>: Penyusunan dokumen keuangan Desa (APBDesa Perubahan 2024)</v>
      </c>
      <c r="E43" s="32" t="s">
        <v>2216</v>
      </c>
      <c r="F43" s="124" t="s">
        <v>1413</v>
      </c>
      <c r="G43" s="1038">
        <v>1</v>
      </c>
      <c r="H43" s="124" t="s">
        <v>1413</v>
      </c>
      <c r="I43" s="1038">
        <v>1</v>
      </c>
      <c r="J43" s="124" t="s">
        <v>1373</v>
      </c>
      <c r="K43" s="125" t="s">
        <v>1377</v>
      </c>
      <c r="L43" s="1150">
        <f>'BID I'!F1306</f>
        <v>4805000</v>
      </c>
      <c r="M43" s="1037" t="s">
        <v>2197</v>
      </c>
      <c r="N43" s="268" t="s">
        <v>1376</v>
      </c>
    </row>
    <row r="44" spans="1:14" ht="47.25" x14ac:dyDescent="0.25">
      <c r="A44" s="32"/>
      <c r="B44" s="66"/>
      <c r="C44" s="267">
        <v>32</v>
      </c>
      <c r="D44" s="66" t="str">
        <f>'BID I'!B1321</f>
        <v>: Penyusunan dokumen keuangan Desa ( LPJ APBDesa 2023)</v>
      </c>
      <c r="E44" s="32" t="s">
        <v>2216</v>
      </c>
      <c r="F44" s="124" t="s">
        <v>1413</v>
      </c>
      <c r="G44" s="1038">
        <v>1</v>
      </c>
      <c r="H44" s="124" t="s">
        <v>1373</v>
      </c>
      <c r="I44" s="125" t="s">
        <v>1377</v>
      </c>
      <c r="J44" s="126" t="s">
        <v>2200</v>
      </c>
      <c r="K44" s="1037" t="s">
        <v>2197</v>
      </c>
      <c r="L44" s="470">
        <f>'BID I'!F1333</f>
        <v>1575000</v>
      </c>
      <c r="M44" s="268" t="s">
        <v>1375</v>
      </c>
      <c r="N44" s="268" t="s">
        <v>1376</v>
      </c>
    </row>
    <row r="45" spans="1:14" ht="60" x14ac:dyDescent="0.25">
      <c r="A45" s="32"/>
      <c r="B45" s="66"/>
      <c r="C45" s="267">
        <v>33</v>
      </c>
      <c r="D45" s="66" t="str">
        <f>'BID I'!B1349</f>
        <v>: Penyusunan laporan Kepala Desa/ Penyelenggaraan Pemerintah Desa (Laporan akhir tahun anggaran )</v>
      </c>
      <c r="E45" s="32" t="s">
        <v>2216</v>
      </c>
      <c r="F45" s="124" t="s">
        <v>1413</v>
      </c>
      <c r="G45" s="1038">
        <v>1</v>
      </c>
      <c r="H45" s="124" t="s">
        <v>1373</v>
      </c>
      <c r="I45" s="125" t="s">
        <v>1377</v>
      </c>
      <c r="J45" s="126" t="s">
        <v>2200</v>
      </c>
      <c r="K45" s="1037" t="s">
        <v>2197</v>
      </c>
      <c r="L45" s="470">
        <f>'BID I'!F1362</f>
        <v>1625000</v>
      </c>
      <c r="M45" s="268" t="s">
        <v>1375</v>
      </c>
      <c r="N45" s="268" t="s">
        <v>1376</v>
      </c>
    </row>
    <row r="46" spans="1:14" ht="48" customHeight="1" thickBot="1" x14ac:dyDescent="0.3">
      <c r="A46" s="251"/>
      <c r="B46" s="848"/>
      <c r="C46" s="267">
        <v>34</v>
      </c>
      <c r="D46" s="848" t="str">
        <f>'BID I'!B1377</f>
        <v xml:space="preserve">: Penyelenggaraan Lomba antar kewilayahan dan pengiriman kontingen dalam mengikuti Lomba Desa </v>
      </c>
      <c r="E46" s="251" t="s">
        <v>2217</v>
      </c>
      <c r="F46" s="848" t="s">
        <v>2218</v>
      </c>
      <c r="G46" s="984">
        <v>1</v>
      </c>
      <c r="H46" s="66" t="s">
        <v>1373</v>
      </c>
      <c r="I46" s="125" t="s">
        <v>1377</v>
      </c>
      <c r="J46" s="126" t="s">
        <v>2200</v>
      </c>
      <c r="K46" s="1037" t="s">
        <v>2197</v>
      </c>
      <c r="L46" s="852">
        <f>'BID I'!F1428</f>
        <v>110468445</v>
      </c>
      <c r="M46" s="268" t="s">
        <v>1375</v>
      </c>
      <c r="N46" s="268" t="s">
        <v>1376</v>
      </c>
    </row>
    <row r="47" spans="1:14" ht="15.75" thickBot="1" x14ac:dyDescent="0.3">
      <c r="A47" s="2072" t="s">
        <v>1908</v>
      </c>
      <c r="B47" s="2073"/>
      <c r="C47" s="2073"/>
      <c r="D47" s="2073"/>
      <c r="E47" s="2073"/>
      <c r="F47" s="2073"/>
      <c r="G47" s="2073"/>
      <c r="H47" s="2073"/>
      <c r="I47" s="2073"/>
      <c r="J47" s="2073"/>
      <c r="K47" s="2074"/>
      <c r="L47" s="853" t="e">
        <f>SUM(L13:L45)</f>
        <v>#REF!</v>
      </c>
      <c r="M47" s="268"/>
      <c r="N47" s="32"/>
    </row>
  </sheetData>
  <mergeCells count="8">
    <mergeCell ref="A1:N1"/>
    <mergeCell ref="O10:O11"/>
    <mergeCell ref="A47:K47"/>
    <mergeCell ref="A2:N2"/>
    <mergeCell ref="A3:N3"/>
    <mergeCell ref="B10:D10"/>
    <mergeCell ref="L10:M10"/>
    <mergeCell ref="N10:N11"/>
  </mergeCells>
  <pageMargins left="0.7" right="1.45" top="0.75" bottom="0.75" header="0.3" footer="0.3"/>
  <pageSetup paperSize="5" scale="60" orientation="landscape" horizontalDpi="90" verticalDpi="9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D118"/>
  <sheetViews>
    <sheetView topLeftCell="A115" workbookViewId="0">
      <selection activeCell="F118" sqref="F118"/>
    </sheetView>
  </sheetViews>
  <sheetFormatPr defaultRowHeight="15" x14ac:dyDescent="0.25"/>
  <cols>
    <col min="2" max="2" width="36.42578125" customWidth="1"/>
    <col min="3" max="3" width="23.140625" customWidth="1"/>
    <col min="4" max="4" width="17.42578125" style="473" customWidth="1"/>
  </cols>
  <sheetData>
    <row r="1" spans="1:4" x14ac:dyDescent="0.25">
      <c r="A1" s="2103" t="s">
        <v>2505</v>
      </c>
      <c r="B1" s="2103"/>
      <c r="C1" s="1151" t="s">
        <v>2504</v>
      </c>
      <c r="D1" s="1152" t="s">
        <v>1348</v>
      </c>
    </row>
    <row r="2" spans="1:4" x14ac:dyDescent="0.25">
      <c r="A2" s="2100" t="s">
        <v>2506</v>
      </c>
      <c r="B2" s="2100"/>
      <c r="C2" s="32"/>
      <c r="D2" s="356"/>
    </row>
    <row r="3" spans="1:4" ht="45" x14ac:dyDescent="0.25">
      <c r="A3" s="267">
        <f>'Prioritas Kegiatan Bidang I'!C13</f>
        <v>1</v>
      </c>
      <c r="B3" s="66" t="str">
        <f>'Prioritas Kegiatan Bidang I'!D13</f>
        <v>: Penyediaan Penghasilan tetap dan Tunjangan Perbekel</v>
      </c>
      <c r="C3" s="66" t="s">
        <v>2507</v>
      </c>
      <c r="D3" s="356" t="s">
        <v>2502</v>
      </c>
    </row>
    <row r="4" spans="1:4" ht="45" x14ac:dyDescent="0.25">
      <c r="A4" s="267">
        <f>'Prioritas Kegiatan Bidang I'!C14</f>
        <v>2</v>
      </c>
      <c r="B4" s="66" t="str">
        <f>'Prioritas Kegiatan Bidang I'!D14</f>
        <v>: Penyediaan Penghasilan tetap dan Tunjangan Perangkat Desa</v>
      </c>
      <c r="C4" s="66" t="s">
        <v>2507</v>
      </c>
      <c r="D4" s="356" t="s">
        <v>2502</v>
      </c>
    </row>
    <row r="5" spans="1:4" ht="45" x14ac:dyDescent="0.25">
      <c r="A5" s="267">
        <f>'Prioritas Kegiatan Bidang I'!C15</f>
        <v>3</v>
      </c>
      <c r="B5" s="66" t="str">
        <f>'Prioritas Kegiatan Bidang I'!D15</f>
        <v>Penyediaan Jaminan Kesehatan dan Ketenaga Kerjaan Bagi Perbekel dan Perangkat Desa</v>
      </c>
      <c r="C5" s="66" t="s">
        <v>2507</v>
      </c>
      <c r="D5" s="356" t="s">
        <v>2502</v>
      </c>
    </row>
    <row r="6" spans="1:4" ht="30" x14ac:dyDescent="0.25">
      <c r="A6" s="267">
        <f>'Prioritas Kegiatan Bidang I'!C16</f>
        <v>4</v>
      </c>
      <c r="B6" s="66" t="str">
        <f>'Prioritas Kegiatan Bidang I'!D16</f>
        <v>: Penyediaan Operasional Pemerintah Desa</v>
      </c>
      <c r="C6" s="66" t="s">
        <v>2508</v>
      </c>
      <c r="D6" s="356" t="s">
        <v>2502</v>
      </c>
    </row>
    <row r="7" spans="1:4" ht="45" x14ac:dyDescent="0.25">
      <c r="A7" s="267">
        <f>'Prioritas Kegiatan Bidang I'!C17</f>
        <v>5</v>
      </c>
      <c r="B7" s="66" t="str">
        <f>'Prioritas Kegiatan Bidang I'!D17</f>
        <v>: Penyediaan Oprasional Pemerinthanan Desa ( Kegiatan Rapat - Rapat)</v>
      </c>
      <c r="C7" s="66" t="s">
        <v>2508</v>
      </c>
      <c r="D7" s="356" t="s">
        <v>2502</v>
      </c>
    </row>
    <row r="8" spans="1:4" ht="45" x14ac:dyDescent="0.25">
      <c r="A8" s="267">
        <f>'Prioritas Kegiatan Bidang I'!C18</f>
        <v>6</v>
      </c>
      <c r="B8" s="66" t="str">
        <f>'Prioritas Kegiatan Bidang I'!D18</f>
        <v>: Penyediaan tunjangan BPD</v>
      </c>
      <c r="C8" s="66" t="s">
        <v>2509</v>
      </c>
      <c r="D8" s="356" t="s">
        <v>2502</v>
      </c>
    </row>
    <row r="9" spans="1:4" x14ac:dyDescent="0.25">
      <c r="A9" s="267">
        <f>'Prioritas Kegiatan Bidang I'!C19</f>
        <v>7</v>
      </c>
      <c r="B9" s="66" t="str">
        <f>'Prioritas Kegiatan Bidang I'!D19</f>
        <v>: Penyediaan Operasional BPD</v>
      </c>
      <c r="C9" s="32" t="s">
        <v>2510</v>
      </c>
      <c r="D9" s="356" t="s">
        <v>2502</v>
      </c>
    </row>
    <row r="10" spans="1:4" ht="30" x14ac:dyDescent="0.25">
      <c r="A10" s="267">
        <f>'Prioritas Kegiatan Bidang I'!C20</f>
        <v>8</v>
      </c>
      <c r="B10" s="66" t="str">
        <f>'Prioritas Kegiatan Bidang I'!D20</f>
        <v>: Penyediaan Operasional BPD (Musyawarah BPD)</v>
      </c>
      <c r="C10" s="32" t="s">
        <v>2510</v>
      </c>
      <c r="D10" s="356" t="s">
        <v>2502</v>
      </c>
    </row>
    <row r="11" spans="1:4" ht="45" x14ac:dyDescent="0.25">
      <c r="A11" s="267">
        <f>'Prioritas Kegiatan Bidang I'!C21</f>
        <v>9</v>
      </c>
      <c r="B11" s="66" t="str">
        <f>'Prioritas Kegiatan Bidang I'!D21</f>
        <v>: Penyediaan Operasional BPD (Rapat FKAKD)</v>
      </c>
      <c r="C11" s="66" t="s">
        <v>2511</v>
      </c>
      <c r="D11" s="356" t="s">
        <v>2502</v>
      </c>
    </row>
    <row r="12" spans="1:4" ht="30" x14ac:dyDescent="0.25">
      <c r="A12" s="267">
        <f>'Prioritas Kegiatan Bidang I'!C22</f>
        <v>10</v>
      </c>
      <c r="B12" s="66" t="str">
        <f>'Prioritas Kegiatan Bidang I'!D22</f>
        <v xml:space="preserve">: Penyediaan Penghasilan Staf Desa </v>
      </c>
      <c r="C12" s="66" t="s">
        <v>2512</v>
      </c>
      <c r="D12" s="356" t="s">
        <v>2502</v>
      </c>
    </row>
    <row r="13" spans="1:4" ht="45" x14ac:dyDescent="0.25">
      <c r="A13" s="267">
        <f>'Prioritas Kegiatan Bidang I'!C23</f>
        <v>11</v>
      </c>
      <c r="B13" s="66" t="str">
        <f>'Prioritas Kegiatan Bidang I'!D23</f>
        <v>Penjaringan dan Penyaringan Perangkat Desa/Staf</v>
      </c>
      <c r="C13" s="66" t="s">
        <v>2513</v>
      </c>
      <c r="D13" s="356" t="s">
        <v>2502</v>
      </c>
    </row>
    <row r="14" spans="1:4" ht="30" x14ac:dyDescent="0.25">
      <c r="A14" s="267">
        <f>'Prioritas Kegiatan Bidang I'!C24</f>
        <v>12</v>
      </c>
      <c r="B14" s="66" t="str">
        <f>'Prioritas Kegiatan Bidang I'!D24</f>
        <v>Penyedian Jaminan Keshatan dan ketenagakerjaan BPD</v>
      </c>
      <c r="C14" s="66" t="s">
        <v>2514</v>
      </c>
      <c r="D14" s="356" t="s">
        <v>2502</v>
      </c>
    </row>
    <row r="15" spans="1:4" ht="30" x14ac:dyDescent="0.25">
      <c r="A15" s="267">
        <f>'Prioritas Kegiatan Bidang I'!C25</f>
        <v>13</v>
      </c>
      <c r="B15" s="66" t="str">
        <f>'Prioritas Kegiatan Bidang I'!D25</f>
        <v>Penyedian Jaminan Keshatan dan ketenagakerjaan Staf Desa</v>
      </c>
      <c r="C15" s="66" t="s">
        <v>2512</v>
      </c>
      <c r="D15" s="356" t="s">
        <v>2502</v>
      </c>
    </row>
    <row r="16" spans="1:4" ht="45" x14ac:dyDescent="0.25">
      <c r="A16" s="267">
        <f>'Prioritas Kegiatan Bidang I'!C26</f>
        <v>14</v>
      </c>
      <c r="B16" s="66" t="str">
        <f>'Prioritas Kegiatan Bidang I'!D26</f>
        <v>Penyedian Jaminan Ketenagakerjaan Ekosistem Desa</v>
      </c>
      <c r="C16" s="66" t="s">
        <v>2515</v>
      </c>
      <c r="D16" s="356" t="s">
        <v>2502</v>
      </c>
    </row>
    <row r="17" spans="1:4" ht="30" x14ac:dyDescent="0.25">
      <c r="A17" s="267">
        <f>'Prioritas Kegiatan Bidang I'!C27</f>
        <v>15</v>
      </c>
      <c r="B17" s="66" t="str">
        <f>'Prioritas Kegiatan Bidang I'!D27</f>
        <v>: Penyediaan Kegiatan Sosial Desa</v>
      </c>
      <c r="C17" s="66" t="s">
        <v>2516</v>
      </c>
      <c r="D17" s="356" t="s">
        <v>2502</v>
      </c>
    </row>
    <row r="18" spans="1:4" ht="30" x14ac:dyDescent="0.25">
      <c r="A18" s="267">
        <f>'Prioritas Kegiatan Bidang I'!C28</f>
        <v>16</v>
      </c>
      <c r="B18" s="66" t="str">
        <f>'Prioritas Kegiatan Bidang I'!D28</f>
        <v>: Administrasi Bank</v>
      </c>
      <c r="C18" s="66" t="s">
        <v>2517</v>
      </c>
      <c r="D18" s="356" t="s">
        <v>2502</v>
      </c>
    </row>
    <row r="19" spans="1:4" ht="45" x14ac:dyDescent="0.25">
      <c r="A19" s="267">
        <f>'Prioritas Kegiatan Bidang I'!C29</f>
        <v>17</v>
      </c>
      <c r="B19" s="66" t="str">
        <f>'Prioritas Kegiatan Bidang I'!D29</f>
        <v>: Tambahan  Penghasilan Perbekel dari BKK</v>
      </c>
      <c r="C19" s="66" t="s">
        <v>2518</v>
      </c>
      <c r="D19" s="356" t="s">
        <v>2502</v>
      </c>
    </row>
    <row r="20" spans="1:4" ht="45" x14ac:dyDescent="0.25">
      <c r="A20" s="267">
        <f>'Prioritas Kegiatan Bidang I'!C30</f>
        <v>18</v>
      </c>
      <c r="B20" s="66" t="str">
        <f>'Prioritas Kegiatan Bidang I'!D30</f>
        <v>: Tambahan  Penghasilan Perangkat Desa dari BKK</v>
      </c>
      <c r="C20" s="66" t="s">
        <v>2518</v>
      </c>
      <c r="D20" s="356" t="s">
        <v>2502</v>
      </c>
    </row>
    <row r="21" spans="1:4" ht="45" x14ac:dyDescent="0.25">
      <c r="A21" s="267">
        <f>'Prioritas Kegiatan Bidang I'!C31</f>
        <v>19</v>
      </c>
      <c r="B21" s="66" t="str">
        <f>'Prioritas Kegiatan Bidang I'!D31</f>
        <v>: Penyediaan Aset Tetap (Prasarana Kantor Desa)</v>
      </c>
      <c r="C21" s="66" t="s">
        <v>2519</v>
      </c>
      <c r="D21" s="356" t="s">
        <v>2502</v>
      </c>
    </row>
    <row r="22" spans="1:4" ht="45" x14ac:dyDescent="0.25">
      <c r="A22" s="267">
        <f>'Prioritas Kegiatan Bidang I'!C32</f>
        <v>20</v>
      </c>
      <c r="B22" s="66" t="e">
        <f>'Prioritas Kegiatan Bidang I'!D32</f>
        <v>#REF!</v>
      </c>
      <c r="C22" s="66" t="s">
        <v>2519</v>
      </c>
      <c r="D22" s="356" t="s">
        <v>2502</v>
      </c>
    </row>
    <row r="23" spans="1:4" ht="45" x14ac:dyDescent="0.25">
      <c r="A23" s="267">
        <f>'Prioritas Kegiatan Bidang I'!C33</f>
        <v>21</v>
      </c>
      <c r="B23" s="66" t="str">
        <f>'Prioritas Kegiatan Bidang I'!D33</f>
        <v xml:space="preserve">Pemeliharaan Gedung/Prasarana Kantor Desa (Pengelasan Atap Parkir) </v>
      </c>
      <c r="C23" s="66" t="s">
        <v>2519</v>
      </c>
      <c r="D23" s="356" t="s">
        <v>2502</v>
      </c>
    </row>
    <row r="24" spans="1:4" ht="60" x14ac:dyDescent="0.25">
      <c r="A24" s="267">
        <f>'Prioritas Kegiatan Bidang I'!C34</f>
        <v>22</v>
      </c>
      <c r="B24" s="66" t="str">
        <f>'Prioritas Kegiatan Bidang I'!D34</f>
        <v>Pemeliharaan/ Rehabilitasi/ Peningkatan Gedung/ Prasarana Kantor Desa (Penataan Kebun dan Vertical Garden)</v>
      </c>
      <c r="C24" s="66" t="s">
        <v>2519</v>
      </c>
      <c r="D24" s="356" t="s">
        <v>2502</v>
      </c>
    </row>
    <row r="25" spans="1:4" ht="60" x14ac:dyDescent="0.25">
      <c r="A25" s="267">
        <f>'Prioritas Kegiatan Bidang I'!C35</f>
        <v>23</v>
      </c>
      <c r="B25" s="66" t="str">
        <f>'Prioritas Kegiatan Bidang I'!D35</f>
        <v>: Penyusunan/ Pendataan/Pemuktahiran Profil Desa (Profil Kependudukan dan potensi Desa )</v>
      </c>
      <c r="C25" s="66" t="s">
        <v>2520</v>
      </c>
      <c r="D25" s="356" t="s">
        <v>2502</v>
      </c>
    </row>
    <row r="26" spans="1:4" ht="45" x14ac:dyDescent="0.25">
      <c r="A26" s="267">
        <f>'Prioritas Kegiatan Bidang I'!C36</f>
        <v>24</v>
      </c>
      <c r="B26" s="66" t="str">
        <f>'Prioritas Kegiatan Bidang I'!D36</f>
        <v>: Pengelolaan Administrasi dan Kearsipan pemerintahan Desa ( Pelatihan )</v>
      </c>
      <c r="C26" s="66" t="s">
        <v>2521</v>
      </c>
      <c r="D26" s="356" t="s">
        <v>2502</v>
      </c>
    </row>
    <row r="27" spans="1:4" ht="45" x14ac:dyDescent="0.25">
      <c r="A27" s="267">
        <f>'Prioritas Kegiatan Bidang I'!C37</f>
        <v>25</v>
      </c>
      <c r="B27" s="66" t="str">
        <f>'Prioritas Kegiatan Bidang I'!D37</f>
        <v>: Pendataan Administrasi Penduduk Non Permanen (Penertiban Penduduk Pendatang dan Sidak Dialogis)</v>
      </c>
      <c r="C27" s="66" t="s">
        <v>2522</v>
      </c>
      <c r="D27" s="356" t="s">
        <v>2502</v>
      </c>
    </row>
    <row r="28" spans="1:4" ht="45" x14ac:dyDescent="0.25">
      <c r="A28" s="267">
        <f>'Prioritas Kegiatan Bidang I'!C38</f>
        <v>26</v>
      </c>
      <c r="B28" s="66" t="str">
        <f>'Prioritas Kegiatan Bidang I'!D38</f>
        <v>Penyelenggaraan Musyawarah Desa/ Pembahasan APBDes (Musrenbangdes)</v>
      </c>
      <c r="C28" s="66" t="s">
        <v>2523</v>
      </c>
      <c r="D28" s="356" t="s">
        <v>2502</v>
      </c>
    </row>
    <row r="29" spans="1:4" ht="60" x14ac:dyDescent="0.25">
      <c r="A29" s="267">
        <f>'Prioritas Kegiatan Bidang I'!C39</f>
        <v>27</v>
      </c>
      <c r="B29" s="66" t="str">
        <f>'Prioritas Kegiatan Bidang I'!D39</f>
        <v>Penyelenggaraan Musyawarah Desa/ Pembahasan APBDes (Musdes, Musrenbangdes/pra musrenbangdes, dll yang bersifat reguler )</v>
      </c>
      <c r="C29" s="66" t="s">
        <v>2524</v>
      </c>
      <c r="D29" s="356" t="s">
        <v>2502</v>
      </c>
    </row>
    <row r="30" spans="1:4" ht="30" x14ac:dyDescent="0.25">
      <c r="A30" s="267">
        <f>'Prioritas Kegiatan Bidang I'!C40</f>
        <v>28</v>
      </c>
      <c r="B30" s="66" t="str">
        <f>'Prioritas Kegiatan Bidang I'!D40</f>
        <v>: Penyelenggaraan Musyawarah Desa lainya (yang bersifat non reguler )</v>
      </c>
      <c r="C30" s="66" t="s">
        <v>2524</v>
      </c>
      <c r="D30" s="356" t="s">
        <v>2502</v>
      </c>
    </row>
    <row r="31" spans="1:4" ht="30" x14ac:dyDescent="0.25">
      <c r="A31" s="267">
        <f>'Prioritas Kegiatan Bidang I'!C41</f>
        <v>29</v>
      </c>
      <c r="B31" s="66" t="str">
        <f>'Prioritas Kegiatan Bidang I'!D41</f>
        <v>Penyusunan Dokumen Perencanaan Desa (RKP Desa 2025)</v>
      </c>
      <c r="C31" s="66" t="s">
        <v>2525</v>
      </c>
      <c r="D31" s="356" t="s">
        <v>2502</v>
      </c>
    </row>
    <row r="32" spans="1:4" ht="30" x14ac:dyDescent="0.25">
      <c r="A32" s="267">
        <f>'Prioritas Kegiatan Bidang I'!C42</f>
        <v>30</v>
      </c>
      <c r="B32" s="66" t="str">
        <f>'Prioritas Kegiatan Bidang I'!D42</f>
        <v>: Penyusunan dokumen keuangan Desa (APBDesa 2025 )</v>
      </c>
      <c r="C32" s="66" t="s">
        <v>2526</v>
      </c>
      <c r="D32" s="356" t="s">
        <v>2502</v>
      </c>
    </row>
    <row r="33" spans="1:4" ht="30" x14ac:dyDescent="0.25">
      <c r="A33" s="267">
        <f>'Prioritas Kegiatan Bidang I'!C43</f>
        <v>31</v>
      </c>
      <c r="B33" s="66" t="str">
        <f>'Prioritas Kegiatan Bidang I'!D43</f>
        <v>: Penyusunan dokumen keuangan Desa (APBDesa Perubahan 2024)</v>
      </c>
      <c r="C33" s="66" t="s">
        <v>2526</v>
      </c>
      <c r="D33" s="356" t="s">
        <v>2502</v>
      </c>
    </row>
    <row r="34" spans="1:4" ht="30" x14ac:dyDescent="0.25">
      <c r="A34" s="267">
        <f>'Prioritas Kegiatan Bidang I'!C44</f>
        <v>32</v>
      </c>
      <c r="B34" s="66" t="str">
        <f>'Prioritas Kegiatan Bidang I'!D44</f>
        <v>: Penyusunan dokumen keuangan Desa ( LPJ APBDesa 2023)</v>
      </c>
      <c r="C34" s="66" t="s">
        <v>2527</v>
      </c>
      <c r="D34" s="356" t="s">
        <v>2502</v>
      </c>
    </row>
    <row r="35" spans="1:4" ht="45" x14ac:dyDescent="0.25">
      <c r="A35" s="267">
        <f>'Prioritas Kegiatan Bidang I'!C45</f>
        <v>33</v>
      </c>
      <c r="B35" s="66" t="str">
        <f>'Prioritas Kegiatan Bidang I'!D45</f>
        <v>: Penyusunan laporan Kepala Desa/ Penyelenggaraan Pemerintah Desa (Laporan akhir tahun anggaran )</v>
      </c>
      <c r="C35" s="66" t="s">
        <v>2527</v>
      </c>
      <c r="D35" s="356" t="s">
        <v>2502</v>
      </c>
    </row>
    <row r="36" spans="1:4" ht="60" x14ac:dyDescent="0.25">
      <c r="A36" s="267">
        <f>'Prioritas Kegiatan Bidang I'!C46</f>
        <v>34</v>
      </c>
      <c r="B36" s="66" t="str">
        <f>'Prioritas Kegiatan Bidang I'!D46</f>
        <v xml:space="preserve">: Penyelenggaraan Lomba antar kewilayahan dan pengiriman kontingen dalam mengikuti Lomba Desa </v>
      </c>
      <c r="C36" s="66" t="s">
        <v>2528</v>
      </c>
      <c r="D36" s="356" t="s">
        <v>2502</v>
      </c>
    </row>
    <row r="37" spans="1:4" x14ac:dyDescent="0.25">
      <c r="A37" s="2101" t="s">
        <v>2503</v>
      </c>
      <c r="B37" s="2102"/>
      <c r="C37" s="32"/>
      <c r="D37" s="356"/>
    </row>
    <row r="38" spans="1:4" ht="60" x14ac:dyDescent="0.25">
      <c r="A38" s="267">
        <f>'Prioritas Kegiatan Bidang II'!C13</f>
        <v>1</v>
      </c>
      <c r="B38" s="66" t="str">
        <f>'Prioritas Kegiatan Bidang II'!D13</f>
        <v>Penyelenggaraan PAUD/TK/TKA/ Madrasah Non Formal Milik Desa (Pengelolaan Taman Kanak - kanak  TK Kumara Sari VI )</v>
      </c>
      <c r="C38" s="66" t="s">
        <v>2529</v>
      </c>
      <c r="D38" s="356" t="s">
        <v>2557</v>
      </c>
    </row>
    <row r="39" spans="1:4" ht="45" x14ac:dyDescent="0.25">
      <c r="A39" s="267">
        <f>'Prioritas Kegiatan Bidang II'!C14</f>
        <v>2</v>
      </c>
      <c r="B39" s="66" t="str">
        <f>'Prioritas Kegiatan Bidang II'!D14</f>
        <v>: Penyuluhan dan Pelatihan Pendidikan Bagi Masyarakat ( Pelatihan Bahasa Bali Untuk Anak-Anak 7-12 Th )</v>
      </c>
      <c r="C39" s="66" t="s">
        <v>2530</v>
      </c>
      <c r="D39" s="356" t="s">
        <v>2502</v>
      </c>
    </row>
    <row r="40" spans="1:4" ht="45" x14ac:dyDescent="0.25">
      <c r="A40" s="267">
        <f>'Prioritas Kegiatan Bidang II'!C15</f>
        <v>3</v>
      </c>
      <c r="B40" s="66" t="str">
        <f>'Prioritas Kegiatan Bidang II'!D15</f>
        <v>: Penyuluhan dan Pelatihan Pendidikan Bagi Masyarakat ( Pembinaan dan Penyelenggaraan Bunda Literasi )</v>
      </c>
      <c r="C40" s="66" t="s">
        <v>2335</v>
      </c>
      <c r="D40" s="356" t="s">
        <v>2502</v>
      </c>
    </row>
    <row r="41" spans="1:4" ht="30" x14ac:dyDescent="0.25">
      <c r="A41" s="267">
        <f>'Prioritas Kegiatan Bidang II'!C16</f>
        <v>4</v>
      </c>
      <c r="B41" s="66" t="str">
        <f>'Prioritas Kegiatan Bidang II'!D16</f>
        <v>Pemeliharaan Sarana dan Prasarana TK Milik Desa (Pemagaran)</v>
      </c>
      <c r="C41" s="66" t="s">
        <v>2531</v>
      </c>
      <c r="D41" s="356" t="s">
        <v>2557</v>
      </c>
    </row>
    <row r="42" spans="1:4" ht="30" x14ac:dyDescent="0.25">
      <c r="A42" s="267">
        <f>'Prioritas Kegiatan Bidang II'!C17</f>
        <v>5</v>
      </c>
      <c r="B42" s="66" t="str">
        <f>'Prioritas Kegiatan Bidang II'!D17</f>
        <v>Pemeliharaan Sarana dan Prasarana TK Milik Desa (Cat Tembok Dalam)</v>
      </c>
      <c r="C42" s="66" t="s">
        <v>2531</v>
      </c>
      <c r="D42" s="356" t="s">
        <v>2557</v>
      </c>
    </row>
    <row r="43" spans="1:4" ht="30" x14ac:dyDescent="0.25">
      <c r="A43" s="267">
        <f>'Prioritas Kegiatan Bidang II'!C18</f>
        <v>6</v>
      </c>
      <c r="B43" s="66" t="str">
        <f>'Prioritas Kegiatan Bidang II'!D18</f>
        <v>Pemeliharaan Sarana dan Prasarana TK Milik Desa (Lapis Water Proofig)</v>
      </c>
      <c r="C43" s="66" t="s">
        <v>2531</v>
      </c>
      <c r="D43" s="356" t="s">
        <v>2557</v>
      </c>
    </row>
    <row r="44" spans="1:4" ht="30" x14ac:dyDescent="0.25">
      <c r="A44" s="267">
        <f>'Prioritas Kegiatan Bidang II'!C19</f>
        <v>7</v>
      </c>
      <c r="B44" s="66" t="str">
        <f>'Prioritas Kegiatan Bidang II'!D19</f>
        <v>Pemeliharaan Sarana dan Prasarana TK Milik Desa (Cat Plafon)</v>
      </c>
      <c r="C44" s="66" t="s">
        <v>2531</v>
      </c>
      <c r="D44" s="356" t="s">
        <v>2557</v>
      </c>
    </row>
    <row r="45" spans="1:4" ht="30" x14ac:dyDescent="0.25">
      <c r="A45" s="267">
        <f>'Prioritas Kegiatan Bidang II'!C20</f>
        <v>8</v>
      </c>
      <c r="B45" s="66" t="str">
        <f>'Prioritas Kegiatan Bidang II'!D20</f>
        <v>Pemeliharaan Sarana dan Prasarana TK Milik Desa (Mural)</v>
      </c>
      <c r="C45" s="66" t="s">
        <v>2531</v>
      </c>
      <c r="D45" s="356" t="s">
        <v>2557</v>
      </c>
    </row>
    <row r="46" spans="1:4" ht="30" x14ac:dyDescent="0.25">
      <c r="A46" s="267">
        <f>'Prioritas Kegiatan Bidang II'!C21</f>
        <v>9</v>
      </c>
      <c r="B46" s="66" t="str">
        <f>'Prioritas Kegiatan Bidang II'!D21</f>
        <v>: Penyelenggaraan Posyandu (Pemberian PMT)</v>
      </c>
      <c r="C46" s="66" t="s">
        <v>2532</v>
      </c>
      <c r="D46" s="356" t="s">
        <v>2558</v>
      </c>
    </row>
    <row r="47" spans="1:4" ht="30" x14ac:dyDescent="0.25">
      <c r="A47" s="267">
        <f>'Prioritas Kegiatan Bidang II'!C22</f>
        <v>10</v>
      </c>
      <c r="B47" s="66" t="str">
        <f>'Prioritas Kegiatan Bidang II'!D22</f>
        <v>: Penyelenggaraan POSyandu (Pos Gizi dan Ibu Hamil)</v>
      </c>
      <c r="C47" s="66" t="s">
        <v>2533</v>
      </c>
      <c r="D47" s="356" t="s">
        <v>2558</v>
      </c>
    </row>
    <row r="48" spans="1:4" ht="45" x14ac:dyDescent="0.25">
      <c r="A48" s="267">
        <f>'Prioritas Kegiatan Bidang II'!C23</f>
        <v>11</v>
      </c>
      <c r="B48" s="66" t="str">
        <f>'Prioritas Kegiatan Bidang II'!D23</f>
        <v>: Penyelenggaraan Posyandu Lansia (Pemberian tambahan nutrisi bagi lansia)</v>
      </c>
      <c r="C48" s="66" t="s">
        <v>2534</v>
      </c>
      <c r="D48" s="356" t="s">
        <v>2558</v>
      </c>
    </row>
    <row r="49" spans="1:4" ht="45" x14ac:dyDescent="0.25">
      <c r="A49" s="267">
        <f>'Prioritas Kegiatan Bidang II'!C24</f>
        <v>12</v>
      </c>
      <c r="B49" s="66" t="str">
        <f>'Prioritas Kegiatan Bidang II'!D24</f>
        <v xml:space="preserve"> :Penyuluhan dan Pelatiah Bidang Kesehatan (Pendampingan calon pengantin Stunting)</v>
      </c>
      <c r="C49" s="66" t="s">
        <v>2535</v>
      </c>
      <c r="D49" s="356" t="s">
        <v>2558</v>
      </c>
    </row>
    <row r="50" spans="1:4" ht="45" x14ac:dyDescent="0.25">
      <c r="A50" s="267">
        <f>'Prioritas Kegiatan Bidang II'!C25</f>
        <v>13</v>
      </c>
      <c r="B50" s="66" t="str">
        <f>'Prioritas Kegiatan Bidang II'!D25</f>
        <v>Penyuluhan dan Pelatihan Bidang Kesehatan (PHBS)</v>
      </c>
      <c r="C50" s="66" t="s">
        <v>2536</v>
      </c>
      <c r="D50" s="356" t="s">
        <v>2502</v>
      </c>
    </row>
    <row r="51" spans="1:4" ht="45" x14ac:dyDescent="0.25">
      <c r="A51" s="267">
        <f>'Prioritas Kegiatan Bidang II'!C26</f>
        <v>14</v>
      </c>
      <c r="B51" s="66" t="str">
        <f>'Prioritas Kegiatan Bidang II'!D26</f>
        <v>: Penyuluhan dan Pelatihan Bidang Kesehatan (Pembinaan Kader POSyandu)</v>
      </c>
      <c r="C51" s="66" t="s">
        <v>2537</v>
      </c>
      <c r="D51" s="356" t="s">
        <v>2502</v>
      </c>
    </row>
    <row r="52" spans="1:4" ht="45" x14ac:dyDescent="0.25">
      <c r="A52" s="267">
        <f>'Prioritas Kegiatan Bidang II'!C27</f>
        <v>15</v>
      </c>
      <c r="B52" s="66" t="str">
        <f>'Prioritas Kegiatan Bidang II'!D27</f>
        <v>: Penyuluhan dan Pelatihan Bidang Kesehatan (Penyuluhan Narkoba dan HIV/AIDS)</v>
      </c>
      <c r="C52" s="66" t="s">
        <v>2538</v>
      </c>
      <c r="D52" s="356" t="s">
        <v>2502</v>
      </c>
    </row>
    <row r="53" spans="1:4" ht="30" x14ac:dyDescent="0.25">
      <c r="A53" s="267">
        <f>'Prioritas Kegiatan Bidang II'!C28</f>
        <v>16</v>
      </c>
      <c r="B53" s="66" t="str">
        <f>'Prioritas Kegiatan Bidang II'!D28</f>
        <v>: Penyuluhan dan Pelatihan Bidang Kesehatan (Posbindu)</v>
      </c>
      <c r="C53" s="66" t="s">
        <v>2539</v>
      </c>
      <c r="D53" s="356" t="s">
        <v>2502</v>
      </c>
    </row>
    <row r="54" spans="1:4" ht="30" x14ac:dyDescent="0.25">
      <c r="A54" s="267">
        <f>'Prioritas Kegiatan Bidang II'!C29</f>
        <v>17</v>
      </c>
      <c r="B54" s="66" t="str">
        <f>'Prioritas Kegiatan Bidang II'!D29</f>
        <v>: Penyuluhan dan Pelatihan Bidang Kesehatan (Penyuluhan KB)</v>
      </c>
      <c r="C54" s="66" t="s">
        <v>2540</v>
      </c>
      <c r="D54" s="356" t="s">
        <v>2502</v>
      </c>
    </row>
    <row r="55" spans="1:4" ht="45" x14ac:dyDescent="0.25">
      <c r="A55" s="267">
        <f>'Prioritas Kegiatan Bidang II'!C30</f>
        <v>18</v>
      </c>
      <c r="B55" s="66" t="str">
        <f>'Prioritas Kegiatan Bidang II'!D30</f>
        <v>: Penyuluhan dan Pelatihan Bidang Kesehatan(Sosialisasi Germas)</v>
      </c>
      <c r="C55" s="66" t="s">
        <v>2541</v>
      </c>
      <c r="D55" s="356" t="s">
        <v>2502</v>
      </c>
    </row>
    <row r="56" spans="1:4" ht="45" x14ac:dyDescent="0.25">
      <c r="A56" s="267">
        <f>'Prioritas Kegiatan Bidang II'!C31</f>
        <v>19</v>
      </c>
      <c r="B56" s="66" t="str">
        <f>'Prioritas Kegiatan Bidang II'!D31</f>
        <v>: Penyuluhan dan Pelatihan Bidang Kesehatan (Desa Siaga Kesehatan)</v>
      </c>
      <c r="C56" s="66" t="s">
        <v>2541</v>
      </c>
      <c r="D56" s="356" t="s">
        <v>2502</v>
      </c>
    </row>
    <row r="57" spans="1:4" ht="45" x14ac:dyDescent="0.25">
      <c r="A57" s="267">
        <f>'Prioritas Kegiatan Bidang II'!C32</f>
        <v>20</v>
      </c>
      <c r="B57" s="66" t="str">
        <f>'Prioritas Kegiatan Bidang II'!D32</f>
        <v xml:space="preserve"> :  Pengasuhan Bersama atau Bina Keluarga Balita (Pelaksanaan Kegiatan Bina keluarga Balita BKB )</v>
      </c>
      <c r="C57" s="66" t="s">
        <v>2542</v>
      </c>
      <c r="D57" s="356" t="s">
        <v>2558</v>
      </c>
    </row>
    <row r="58" spans="1:4" ht="45" x14ac:dyDescent="0.25">
      <c r="A58" s="267">
        <f>'Prioritas Kegiatan Bidang II'!C33</f>
        <v>21</v>
      </c>
      <c r="B58" s="66" t="str">
        <f>'Prioritas Kegiatan Bidang II'!D33</f>
        <v xml:space="preserve"> :  Pengasuhan Bersama atau Bina Keluarga Lansia ( Pembinaan dan Penyelenggaraan BKL)</v>
      </c>
      <c r="C58" s="66" t="s">
        <v>2543</v>
      </c>
      <c r="D58" s="356" t="s">
        <v>2558</v>
      </c>
    </row>
    <row r="59" spans="1:4" ht="30" x14ac:dyDescent="0.25">
      <c r="A59" s="267">
        <f>'Prioritas Kegiatan Bidang II'!C34</f>
        <v>22</v>
      </c>
      <c r="B59" s="66" t="str">
        <f>'Prioritas Kegiatan Bidang II'!D34</f>
        <v>: Pengasuhan Bersama atau Bina Keluarga Balita (Pembinaan Kader BKB)</v>
      </c>
      <c r="C59" s="66" t="s">
        <v>2544</v>
      </c>
      <c r="D59" s="356" t="s">
        <v>2502</v>
      </c>
    </row>
    <row r="60" spans="1:4" ht="45" x14ac:dyDescent="0.25">
      <c r="A60" s="267">
        <f>'Prioritas Kegiatan Bidang II'!C35</f>
        <v>23</v>
      </c>
      <c r="B60" s="66" t="str">
        <f>'Prioritas Kegiatan Bidang II'!D35</f>
        <v xml:space="preserve"> :  Pengasuhan Bersama atau Bina Keluarga Balita (Pembinaan Kegiatan Bina keluarga Remaja BKR )</v>
      </c>
      <c r="C60" s="66" t="s">
        <v>2545</v>
      </c>
      <c r="D60" s="356" t="s">
        <v>2502</v>
      </c>
    </row>
    <row r="61" spans="1:4" ht="45" x14ac:dyDescent="0.25">
      <c r="A61" s="267">
        <f>'Prioritas Kegiatan Bidang II'!C36</f>
        <v>24</v>
      </c>
      <c r="B61" s="66" t="str">
        <f>'Prioritas Kegiatan Bidang II'!D36</f>
        <v xml:space="preserve"> :  Pengasuhan Bersama atau Bina Keluarga Remaja (Penyelenggaraan BKR)</v>
      </c>
      <c r="C61" s="66" t="s">
        <v>2546</v>
      </c>
      <c r="D61" s="356" t="s">
        <v>2502</v>
      </c>
    </row>
    <row r="62" spans="1:4" ht="30" x14ac:dyDescent="0.25">
      <c r="A62" s="267">
        <f>'Prioritas Kegiatan Bidang II'!C37</f>
        <v>25</v>
      </c>
      <c r="B62" s="66" t="str">
        <f>'Prioritas Kegiatan Bidang II'!D37</f>
        <v>:Penyelenggaraan Pembinaan dan Lomba Balita Sehat</v>
      </c>
      <c r="C62" s="66" t="s">
        <v>2547</v>
      </c>
      <c r="D62" s="356" t="s">
        <v>2502</v>
      </c>
    </row>
    <row r="63" spans="1:4" ht="30" x14ac:dyDescent="0.25">
      <c r="A63" s="267">
        <f>'Prioritas Kegiatan Bidang II'!C38</f>
        <v>26</v>
      </c>
      <c r="B63" s="66" t="str">
        <f>'Prioritas Kegiatan Bidang II'!D38</f>
        <v>:  Foging Fokus</v>
      </c>
      <c r="C63" s="66" t="s">
        <v>2548</v>
      </c>
      <c r="D63" s="356" t="s">
        <v>2558</v>
      </c>
    </row>
    <row r="64" spans="1:4" ht="30" x14ac:dyDescent="0.25">
      <c r="A64" s="267">
        <f>'Prioritas Kegiatan Bidang II'!C39</f>
        <v>27</v>
      </c>
      <c r="B64" s="66" t="str">
        <f>'Prioritas Kegiatan Bidang II'!D39</f>
        <v>: Gerakan Serentak PSN dan Lomba PSN</v>
      </c>
      <c r="C64" s="66" t="s">
        <v>2548</v>
      </c>
      <c r="D64" s="356" t="s">
        <v>2558</v>
      </c>
    </row>
    <row r="65" spans="1:4" ht="30" x14ac:dyDescent="0.25">
      <c r="A65" s="267">
        <f>'Prioritas Kegiatan Bidang II'!C40</f>
        <v>28</v>
      </c>
      <c r="B65" s="66" t="str">
        <f>'Prioritas Kegiatan Bidang II'!D40</f>
        <v xml:space="preserve">Penyelengggaraan TPPS Desa </v>
      </c>
      <c r="C65" s="66" t="s">
        <v>2549</v>
      </c>
      <c r="D65" s="356" t="s">
        <v>2502</v>
      </c>
    </row>
    <row r="66" spans="1:4" ht="30" x14ac:dyDescent="0.25">
      <c r="A66" s="267">
        <f>'Prioritas Kegiatan Bidang II'!C41</f>
        <v>29</v>
      </c>
      <c r="B66" s="66" t="str">
        <f>'Prioritas Kegiatan Bidang II'!D41</f>
        <v>: Rembuk Stunting</v>
      </c>
      <c r="C66" s="66" t="s">
        <v>2550</v>
      </c>
      <c r="D66" s="356" t="s">
        <v>2502</v>
      </c>
    </row>
    <row r="67" spans="1:4" ht="30" x14ac:dyDescent="0.25">
      <c r="A67" s="267">
        <f>'Prioritas Kegiatan Bidang II'!C42</f>
        <v>30</v>
      </c>
      <c r="B67" s="66" t="str">
        <f>'Prioritas Kegiatan Bidang II'!D42</f>
        <v>: Pembinaan Posyandu Remaja</v>
      </c>
      <c r="C67" s="66" t="s">
        <v>2551</v>
      </c>
      <c r="D67" s="356" t="s">
        <v>2502</v>
      </c>
    </row>
    <row r="68" spans="1:4" ht="30" x14ac:dyDescent="0.25">
      <c r="A68" s="267">
        <f>'Prioritas Kegiatan Bidang II'!C43</f>
        <v>31</v>
      </c>
      <c r="B68" s="66" t="str">
        <f>'Prioritas Kegiatan Bidang II'!D43</f>
        <v>Penyelenggaraan Posyandu Remaja</v>
      </c>
      <c r="C68" s="66" t="s">
        <v>2546</v>
      </c>
      <c r="D68" s="356" t="s">
        <v>2558</v>
      </c>
    </row>
    <row r="69" spans="1:4" ht="45" x14ac:dyDescent="0.25">
      <c r="A69" s="267">
        <f>'Prioritas Kegiatan Bidang II'!C44</f>
        <v>32</v>
      </c>
      <c r="B69" s="66" t="str">
        <f>'Prioritas Kegiatan Bidang II'!D44</f>
        <v>Pemeliharaan Jalan Lingkungan Permukiman/Gang Sekar Gunung</v>
      </c>
      <c r="C69" s="66" t="s">
        <v>2552</v>
      </c>
      <c r="D69" s="356" t="s">
        <v>2559</v>
      </c>
    </row>
    <row r="70" spans="1:4" ht="45" x14ac:dyDescent="0.25">
      <c r="A70" s="267">
        <f>'Prioritas Kegiatan Bidang II'!C45</f>
        <v>33</v>
      </c>
      <c r="B70" s="66" t="str">
        <f>'Prioritas Kegiatan Bidang II'!D45</f>
        <v>: Kegiatan Pengelolaan Sampah Tingkat Desa</v>
      </c>
      <c r="C70" s="66" t="s">
        <v>2553</v>
      </c>
      <c r="D70" s="356" t="s">
        <v>2502</v>
      </c>
    </row>
    <row r="71" spans="1:4" ht="60" x14ac:dyDescent="0.25">
      <c r="A71" s="267">
        <f>'Prioritas Kegiatan Bidang II'!C46</f>
        <v>34</v>
      </c>
      <c r="B71" s="66" t="str">
        <f>'Prioritas Kegiatan Bidang II'!D46</f>
        <v>: Pemeiliharaan Fasilitas Pengelolaan Sampah Desa/ Pemukiman ( Operasional Kegiatan Bank Sampah Desa)</v>
      </c>
      <c r="C71" s="66" t="s">
        <v>2553</v>
      </c>
      <c r="D71" s="356" t="s">
        <v>2502</v>
      </c>
    </row>
    <row r="72" spans="1:4" ht="45" x14ac:dyDescent="0.25">
      <c r="A72" s="267">
        <f>'Prioritas Kegiatan Bidang II'!C47</f>
        <v>35</v>
      </c>
      <c r="B72" s="66" t="str">
        <f>'Prioritas Kegiatan Bidang II'!D47</f>
        <v>: Operasional Tim Kebersihan Lingkungan</v>
      </c>
      <c r="C72" s="66" t="s">
        <v>2553</v>
      </c>
      <c r="D72" s="356" t="s">
        <v>2502</v>
      </c>
    </row>
    <row r="73" spans="1:4" ht="45" x14ac:dyDescent="0.25">
      <c r="A73" s="267">
        <f>'Prioritas Kegiatan Bidang II'!C48</f>
        <v>36</v>
      </c>
      <c r="B73" s="66" t="e">
        <f>'Prioritas Kegiatan Bidang II'!D48</f>
        <v>#REF!</v>
      </c>
      <c r="C73" s="66" t="s">
        <v>2553</v>
      </c>
      <c r="D73" s="356" t="s">
        <v>2502</v>
      </c>
    </row>
    <row r="74" spans="1:4" ht="45" x14ac:dyDescent="0.25">
      <c r="A74" s="267">
        <f>'Prioritas Kegiatan Bidang II'!C49</f>
        <v>37</v>
      </c>
      <c r="B74" s="66" t="str">
        <f>'Prioritas Kegiatan Bidang II'!D49</f>
        <v>Pemeliharaan taman Milik Desa (Biopori dan Penataan Taman di Patung Petani, depan kertapala)</v>
      </c>
      <c r="C74" s="66" t="s">
        <v>2317</v>
      </c>
      <c r="D74" s="356" t="s">
        <v>2502</v>
      </c>
    </row>
    <row r="75" spans="1:4" ht="30" x14ac:dyDescent="0.25">
      <c r="A75" s="267">
        <f>'Prioritas Kegiatan Bidang II'!C50</f>
        <v>38</v>
      </c>
      <c r="B75" s="66" t="e">
        <f>'Prioritas Kegiatan Bidang II'!D50</f>
        <v>#REF!</v>
      </c>
      <c r="C75" s="66" t="s">
        <v>2554</v>
      </c>
      <c r="D75" s="356" t="s">
        <v>2560</v>
      </c>
    </row>
    <row r="76" spans="1:4" ht="30" x14ac:dyDescent="0.25">
      <c r="A76" s="267">
        <f>'Prioritas Kegiatan Bidang II'!C51</f>
        <v>39</v>
      </c>
      <c r="B76" s="66" t="e">
        <f>'Prioritas Kegiatan Bidang II'!D51</f>
        <v>#REF!</v>
      </c>
      <c r="C76" s="66" t="s">
        <v>2554</v>
      </c>
      <c r="D76" s="356" t="s">
        <v>2560</v>
      </c>
    </row>
    <row r="77" spans="1:4" ht="30" x14ac:dyDescent="0.25">
      <c r="A77" s="267">
        <f>'Prioritas Kegiatan Bidang II'!C52</f>
        <v>40</v>
      </c>
      <c r="B77" s="66" t="e">
        <f>'Prioritas Kegiatan Bidang II'!D52</f>
        <v>#REF!</v>
      </c>
      <c r="C77" s="66" t="s">
        <v>2554</v>
      </c>
      <c r="D77" s="356" t="s">
        <v>2560</v>
      </c>
    </row>
    <row r="78" spans="1:4" ht="75" x14ac:dyDescent="0.25">
      <c r="A78" s="267">
        <f>'Prioritas Kegiatan Bidang II'!C53</f>
        <v>41</v>
      </c>
      <c r="B78" s="66" t="str">
        <f>'Prioritas Kegiatan Bidang II'!D53</f>
        <v>:Peningkatan Sarana Prasarana Perpustakaan/Taman Bacaan Desa/ Sanggar Belajar Milik Desa (Perpustakaan Desa, Digital dan keliling)</v>
      </c>
      <c r="C78" s="66" t="s">
        <v>2555</v>
      </c>
      <c r="D78" s="356" t="s">
        <v>2502</v>
      </c>
    </row>
    <row r="79" spans="1:4" ht="45" x14ac:dyDescent="0.25">
      <c r="A79" s="267">
        <f>'Prioritas Kegiatan Bidang II'!C54</f>
        <v>42</v>
      </c>
      <c r="B79" s="66" t="str">
        <f>'Prioritas Kegiatan Bidang II'!D54</f>
        <v>: Penyelenggaraan Informasi Publik Desa ( Pembuatan dan Pemasangan Baliho APBDesa )</v>
      </c>
      <c r="C79" s="66" t="s">
        <v>2556</v>
      </c>
      <c r="D79" s="356" t="s">
        <v>2502</v>
      </c>
    </row>
    <row r="80" spans="1:4" x14ac:dyDescent="0.25">
      <c r="A80" s="2101" t="s">
        <v>2561</v>
      </c>
      <c r="B80" s="2102"/>
      <c r="C80" s="32"/>
      <c r="D80" s="356"/>
    </row>
    <row r="81" spans="1:4" ht="45" x14ac:dyDescent="0.25">
      <c r="A81" s="267">
        <v>1</v>
      </c>
      <c r="B81" s="66" t="str">
        <f>'RKP2024'!D94</f>
        <v xml:space="preserve">Pengadaan/Pen (pembangunan pos, Perbaikan Pos Keamanan di Depan Pura Dalem Laplap) </v>
      </c>
      <c r="C81" s="66" t="s">
        <v>2562</v>
      </c>
      <c r="D81" s="356" t="s">
        <v>2579</v>
      </c>
    </row>
    <row r="82" spans="1:4" ht="60" x14ac:dyDescent="0.25">
      <c r="A82" s="267">
        <v>2</v>
      </c>
      <c r="B82" s="66" t="str">
        <f>'RKP2024'!D95</f>
        <v>:Koordinasi Pembinaan Ketentraman, Ketertiban, dan Perlindungan Masyarakat (Pengamanan Pengerupukan)</v>
      </c>
      <c r="C82" s="66" t="s">
        <v>2563</v>
      </c>
      <c r="D82" s="356" t="s">
        <v>2502</v>
      </c>
    </row>
    <row r="83" spans="1:4" ht="45" x14ac:dyDescent="0.25">
      <c r="A83" s="267">
        <v>3</v>
      </c>
      <c r="B83" s="66" t="str">
        <f>'RKP2024'!D96</f>
        <v>: Koordinasi Pembinaan Ketentraman, Ketertiban, dan Perlindungan Masyarakat (Pengamanan Tahun Baru)</v>
      </c>
      <c r="C83" s="66" t="s">
        <v>2563</v>
      </c>
      <c r="D83" s="356" t="s">
        <v>2502</v>
      </c>
    </row>
    <row r="84" spans="1:4" ht="45" x14ac:dyDescent="0.25">
      <c r="A84" s="267">
        <v>4</v>
      </c>
      <c r="B84" s="66" t="str">
        <f>'RKP2024'!D97</f>
        <v>:Koordinasi Pembinaan Ketentraman, Ketertiban, dan Perlindungan Masyarakat (Penjagaan Linmas Desa)</v>
      </c>
      <c r="C84" s="66" t="s">
        <v>2563</v>
      </c>
      <c r="D84" s="356" t="s">
        <v>2502</v>
      </c>
    </row>
    <row r="85" spans="1:4" ht="45" x14ac:dyDescent="0.25">
      <c r="A85" s="267">
        <v>5</v>
      </c>
      <c r="B85" s="66" t="str">
        <f>'RKP2024'!D98</f>
        <v>: Pelatihan Kesiapsiagaan/Tanggap Bencana Skala Lokal Desa ( Pelatihan Tanggap Darurat Bencana )</v>
      </c>
      <c r="C85" s="66" t="s">
        <v>2563</v>
      </c>
      <c r="D85" s="356" t="s">
        <v>2502</v>
      </c>
    </row>
    <row r="86" spans="1:4" ht="45" x14ac:dyDescent="0.25">
      <c r="A86" s="267">
        <v>6</v>
      </c>
      <c r="B86" s="66" t="str">
        <f>'RKP2024'!D99</f>
        <v>: Pembinaan Kesenian, Adat, Kebudayaan, dan Keagamaan ( Pembinaan Sekaa Seni Joged )</v>
      </c>
      <c r="C86" s="66" t="s">
        <v>2564</v>
      </c>
      <c r="D86" s="356" t="s">
        <v>2502</v>
      </c>
    </row>
    <row r="87" spans="1:4" ht="105" x14ac:dyDescent="0.25">
      <c r="A87" s="267">
        <v>7</v>
      </c>
      <c r="B87" s="66" t="str">
        <f>'RKP2024'!D100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C87" s="66" t="s">
        <v>2565</v>
      </c>
      <c r="D87" s="356" t="s">
        <v>2502</v>
      </c>
    </row>
    <row r="88" spans="1:4" ht="45" x14ac:dyDescent="0.25">
      <c r="A88" s="267">
        <v>8</v>
      </c>
      <c r="B88" s="66" t="str">
        <f>'RKP2024'!D101</f>
        <v>Pemeliharaan sarana prasarana keagamaan milik desa (Pavingnisasi Area Pura Dalem Taman Pohmanis)</v>
      </c>
      <c r="C88" s="66" t="s">
        <v>2566</v>
      </c>
      <c r="D88" s="356" t="s">
        <v>2580</v>
      </c>
    </row>
    <row r="89" spans="1:4" ht="45" x14ac:dyDescent="0.25">
      <c r="A89" s="267">
        <v>9</v>
      </c>
      <c r="B89" s="66" t="str">
        <f>'RKP2024'!D102</f>
        <v>: Pemeliharaan Sarana dan Prasarana kebudayaan/Rumah adat (Candi Banjar Mertasari)</v>
      </c>
      <c r="C89" s="66" t="s">
        <v>2567</v>
      </c>
      <c r="D89" s="356" t="s">
        <v>2581</v>
      </c>
    </row>
    <row r="90" spans="1:4" ht="30" x14ac:dyDescent="0.25">
      <c r="A90" s="267">
        <v>10</v>
      </c>
      <c r="B90" s="66" t="str">
        <f>'RKP2024'!D103</f>
        <v xml:space="preserve"> : Pembinaan Adat dan Keagamaan (Piodalan Padmasana)</v>
      </c>
      <c r="C90" s="66" t="s">
        <v>2568</v>
      </c>
      <c r="D90" s="356" t="s">
        <v>2502</v>
      </c>
    </row>
    <row r="91" spans="1:4" ht="30" x14ac:dyDescent="0.25">
      <c r="A91" s="267">
        <v>11</v>
      </c>
      <c r="B91" s="66" t="str">
        <f>'RKP2024'!D104</f>
        <v>: Pembinaan Adat dan Keagamaan (Upakara dan Upacara)</v>
      </c>
      <c r="C91" s="66" t="s">
        <v>2568</v>
      </c>
      <c r="D91" s="356" t="s">
        <v>2502</v>
      </c>
    </row>
    <row r="92" spans="1:4" ht="30" x14ac:dyDescent="0.25">
      <c r="A92" s="267">
        <v>12</v>
      </c>
      <c r="B92" s="66" t="str">
        <f>'RKP2024'!D105</f>
        <v xml:space="preserve"> : Penunjang Oprasional Subak/Subak Abian (BKKProvinsi)</v>
      </c>
      <c r="C92" s="66" t="s">
        <v>2569</v>
      </c>
      <c r="D92" s="356" t="s">
        <v>2502</v>
      </c>
    </row>
    <row r="93" spans="1:4" ht="45" x14ac:dyDescent="0.25">
      <c r="A93" s="267">
        <v>13</v>
      </c>
      <c r="B93" s="66" t="str">
        <f>'RKP2024'!D106</f>
        <v xml:space="preserve"> : Penunjang Oprasional Desa Pakraman(BKK Kota)</v>
      </c>
      <c r="C93" s="66" t="s">
        <v>2570</v>
      </c>
      <c r="D93" s="356" t="s">
        <v>2502</v>
      </c>
    </row>
    <row r="94" spans="1:4" ht="30" x14ac:dyDescent="0.25">
      <c r="A94" s="267">
        <v>14</v>
      </c>
      <c r="B94" s="66" t="str">
        <f>'RKP2024'!D107</f>
        <v>: Kegiatan Bakti Penganyaran</v>
      </c>
      <c r="C94" s="66" t="s">
        <v>2568</v>
      </c>
      <c r="D94" s="356" t="s">
        <v>2502</v>
      </c>
    </row>
    <row r="95" spans="1:4" ht="60" x14ac:dyDescent="0.25">
      <c r="A95" s="267">
        <v>15</v>
      </c>
      <c r="B95" s="66" t="str">
        <f>'RKP2024'!D108</f>
        <v>: Pengiriman Kontingen Kepemudaan dan olahraga sebagai wakil desa di tingkat kecamatan dan kabupaten/ kota ( FORMI)</v>
      </c>
      <c r="C95" s="66" t="s">
        <v>2571</v>
      </c>
      <c r="D95" s="356" t="s">
        <v>2502</v>
      </c>
    </row>
    <row r="96" spans="1:4" ht="150" x14ac:dyDescent="0.25">
      <c r="A96" s="267">
        <v>16</v>
      </c>
      <c r="B96" s="66" t="str">
        <f>'RKP2024'!D109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C96" s="66" t="s">
        <v>2572</v>
      </c>
      <c r="D96" s="356" t="s">
        <v>2502</v>
      </c>
    </row>
    <row r="97" spans="1:4" ht="45" x14ac:dyDescent="0.25">
      <c r="A97" s="267">
        <v>17</v>
      </c>
      <c r="B97" s="66" t="str">
        <f>'RKP2024'!D110</f>
        <v>: Penyelenggaraan festival/ lomba kepemudaan dan olahraga tingat Desa (FORMI DESA )</v>
      </c>
      <c r="C97" s="66" t="s">
        <v>2573</v>
      </c>
      <c r="D97" s="356" t="s">
        <v>2502</v>
      </c>
    </row>
    <row r="98" spans="1:4" ht="30" x14ac:dyDescent="0.25">
      <c r="A98" s="267">
        <v>18</v>
      </c>
      <c r="B98" s="66" t="str">
        <f>'RKP2024'!D111</f>
        <v>: Pembinaan Karang Taruna</v>
      </c>
      <c r="C98" s="66" t="s">
        <v>2574</v>
      </c>
      <c r="D98" s="356" t="s">
        <v>2502</v>
      </c>
    </row>
    <row r="99" spans="1:4" ht="45" x14ac:dyDescent="0.25">
      <c r="A99" s="267">
        <v>19</v>
      </c>
      <c r="B99" s="66" t="str">
        <f>'RKP2024'!D112</f>
        <v>: Penunjang Kegiatan Ekonomi Produktif untuk Sekeha Teruna (BKK Kota)</v>
      </c>
      <c r="C99" s="66" t="s">
        <v>2575</v>
      </c>
      <c r="D99" s="356" t="s">
        <v>2502</v>
      </c>
    </row>
    <row r="100" spans="1:4" ht="45" x14ac:dyDescent="0.25">
      <c r="A100" s="267">
        <v>20</v>
      </c>
      <c r="B100" s="66" t="str">
        <f>'RKP2024'!D113</f>
        <v>: Pelatihan Pembinaan Lembaga Kemasyarakatan (Bulan bakti Gotong royong LPM)</v>
      </c>
      <c r="C100" s="66" t="s">
        <v>2576</v>
      </c>
      <c r="D100" s="356" t="s">
        <v>2502</v>
      </c>
    </row>
    <row r="101" spans="1:4" ht="30" x14ac:dyDescent="0.25">
      <c r="A101" s="267">
        <v>21</v>
      </c>
      <c r="B101" s="66" t="str">
        <f>'RKP2024'!D114</f>
        <v>: Pembinaan LKMD / LPM / LPMD (Pelatihan LPM)</v>
      </c>
      <c r="C101" s="66" t="s">
        <v>2576</v>
      </c>
      <c r="D101" s="356" t="s">
        <v>2502</v>
      </c>
    </row>
    <row r="102" spans="1:4" ht="30" x14ac:dyDescent="0.25">
      <c r="A102" s="267">
        <v>22</v>
      </c>
      <c r="B102" s="66" t="str">
        <f>'RKP2024'!D115</f>
        <v>: Pembinaan PKK  ( Pembinaan administrasi )</v>
      </c>
      <c r="C102" s="66" t="s">
        <v>2577</v>
      </c>
      <c r="D102" s="356" t="s">
        <v>2502</v>
      </c>
    </row>
    <row r="103" spans="1:4" ht="45" x14ac:dyDescent="0.25">
      <c r="A103" s="267">
        <v>23</v>
      </c>
      <c r="B103" s="66" t="str">
        <f>'RKP2024'!D116</f>
        <v>:Pelatihan Pembinaan Lembaga Kemasyarakatan (Input data  Dasawisma)</v>
      </c>
      <c r="C103" s="66" t="s">
        <v>2578</v>
      </c>
      <c r="D103" s="356" t="s">
        <v>2502</v>
      </c>
    </row>
    <row r="104" spans="1:4" x14ac:dyDescent="0.25">
      <c r="A104" s="2101" t="s">
        <v>2582</v>
      </c>
      <c r="B104" s="2102"/>
      <c r="C104" s="32"/>
      <c r="D104" s="356"/>
    </row>
    <row r="105" spans="1:4" ht="30" x14ac:dyDescent="0.25">
      <c r="A105" s="267">
        <v>1</v>
      </c>
      <c r="B105" s="66" t="str">
        <f>'RKP2024'!D120</f>
        <v>: (Ketahanan Pangan) Pelatihan Budidaya Jamur</v>
      </c>
      <c r="C105" s="66" t="s">
        <v>2583</v>
      </c>
      <c r="D105" s="356" t="s">
        <v>2502</v>
      </c>
    </row>
    <row r="106" spans="1:4" ht="30" x14ac:dyDescent="0.25">
      <c r="A106" s="267">
        <v>2</v>
      </c>
      <c r="B106" s="66" t="str">
        <f>'RKP2024'!D121</f>
        <v>: Ketahanan Pangan ( Holti Kultural Budidaya Bawang Merah Dari Benih)</v>
      </c>
      <c r="C106" s="66" t="s">
        <v>2583</v>
      </c>
      <c r="D106" s="356" t="s">
        <v>2502</v>
      </c>
    </row>
    <row r="107" spans="1:4" ht="45" x14ac:dyDescent="0.25">
      <c r="A107" s="267">
        <v>3</v>
      </c>
      <c r="B107" s="66" t="str">
        <f>'RKP2024'!D122</f>
        <v>: Penguatan Ketahanan Pangan Tingkat Desa ( Peningkatan ketersediaan Bibit/benih tanaman pangan)</v>
      </c>
      <c r="C107" s="66" t="s">
        <v>2583</v>
      </c>
      <c r="D107" s="356" t="s">
        <v>2502</v>
      </c>
    </row>
    <row r="108" spans="1:4" ht="30" x14ac:dyDescent="0.25">
      <c r="A108" s="267">
        <v>4</v>
      </c>
      <c r="B108" s="66" t="e">
        <f>'RKP2024'!#REF!</f>
        <v>#REF!</v>
      </c>
      <c r="C108" s="66" t="s">
        <v>2584</v>
      </c>
      <c r="D108" s="356" t="s">
        <v>2502</v>
      </c>
    </row>
    <row r="109" spans="1:4" ht="30" x14ac:dyDescent="0.25">
      <c r="A109" s="267">
        <v>5</v>
      </c>
      <c r="B109" s="66" t="str">
        <f>'RKP2024'!D123</f>
        <v>: Perbaikan Jalan Usaha Tani Subak Pohmanis</v>
      </c>
      <c r="C109" s="66" t="s">
        <v>2584</v>
      </c>
      <c r="D109" s="356" t="s">
        <v>2502</v>
      </c>
    </row>
    <row r="110" spans="1:4" ht="45" x14ac:dyDescent="0.25">
      <c r="A110" s="267">
        <v>6</v>
      </c>
      <c r="B110" s="66" t="str">
        <f>'RKP2024'!D124</f>
        <v>:Pelatihan/Penyuluhan Pemberdayaan Perempuan (Pembinaan Kelompok P2WKSS)</v>
      </c>
      <c r="C110" s="66" t="s">
        <v>2585</v>
      </c>
      <c r="D110" s="356" t="s">
        <v>2502</v>
      </c>
    </row>
    <row r="111" spans="1:4" ht="45" x14ac:dyDescent="0.25">
      <c r="A111" s="267">
        <v>7</v>
      </c>
      <c r="B111" s="66" t="str">
        <f>'RKP2024'!D125</f>
        <v>: Pelatihan Tim Verifikasi dan penyusunan RKP ( Pelatihan Penysunan RKPDes)</v>
      </c>
      <c r="C111" s="66" t="s">
        <v>2586</v>
      </c>
      <c r="D111" s="356" t="s">
        <v>2502</v>
      </c>
    </row>
    <row r="112" spans="1:4" ht="30" x14ac:dyDescent="0.25">
      <c r="A112" s="267">
        <v>8</v>
      </c>
      <c r="B112" s="66" t="str">
        <f>'RKP2024'!D126</f>
        <v>: Pelatihan Perangkat Desa</v>
      </c>
      <c r="C112" s="66" t="s">
        <v>2587</v>
      </c>
      <c r="D112" s="356" t="s">
        <v>2502</v>
      </c>
    </row>
    <row r="113" spans="1:4" ht="30" x14ac:dyDescent="0.25">
      <c r="A113" s="267">
        <v>9</v>
      </c>
      <c r="B113" s="66" t="str">
        <f>'RKP2024'!D127</f>
        <v>: Peningkatan Kapasitas BPD</v>
      </c>
      <c r="C113" s="66" t="s">
        <v>2589</v>
      </c>
      <c r="D113" s="356" t="s">
        <v>2502</v>
      </c>
    </row>
    <row r="114" spans="1:4" ht="30" x14ac:dyDescent="0.25">
      <c r="A114" s="267">
        <v>10</v>
      </c>
      <c r="B114" s="66" t="str">
        <f>'RKP2024'!D128</f>
        <v>: Pelatihan PKPKD, PPKD dan TPK</v>
      </c>
      <c r="C114" s="66" t="s">
        <v>2590</v>
      </c>
      <c r="D114" s="356" t="s">
        <v>2502</v>
      </c>
    </row>
    <row r="115" spans="1:4" ht="60" x14ac:dyDescent="0.25">
      <c r="A115" s="267">
        <v>11</v>
      </c>
      <c r="B115" s="66" t="str">
        <f>'RKP2024'!D129</f>
        <v>: Pengembangan sarana dan prasarana usaha mikro, kecil dan menengah serta koprasi  (Pelatihan Management BUMDes)</v>
      </c>
      <c r="C115" s="66" t="s">
        <v>2588</v>
      </c>
      <c r="D115" s="356" t="s">
        <v>2502</v>
      </c>
    </row>
    <row r="116" spans="1:4" ht="60" x14ac:dyDescent="0.25">
      <c r="A116" s="267">
        <v>12</v>
      </c>
      <c r="B116" s="66" t="str">
        <f>'RKP2024'!D130</f>
        <v>: Pelatihan Kelompok Usahan Ekonomi Produktif (Kelompok Pengerajin Lampion "Dewata Janur Desa Penatih Dangin Puri)</v>
      </c>
      <c r="C116" s="66" t="s">
        <v>2591</v>
      </c>
      <c r="D116" s="356" t="s">
        <v>2502</v>
      </c>
    </row>
    <row r="117" spans="1:4" ht="45" x14ac:dyDescent="0.25">
      <c r="A117" s="267">
        <v>13</v>
      </c>
      <c r="B117" s="66" t="str">
        <f>'RKP2024'!D131</f>
        <v>: Pelatihan Kelompok Usahan Ekonomi Produktif (Kelompok Pengerajin Furniture)</v>
      </c>
      <c r="C117" s="66" t="s">
        <v>2592</v>
      </c>
      <c r="D117" s="356" t="s">
        <v>2502</v>
      </c>
    </row>
    <row r="118" spans="1:4" ht="30" x14ac:dyDescent="0.25">
      <c r="A118" s="267">
        <v>14</v>
      </c>
      <c r="B118" s="66" t="str">
        <f>'RKP2024'!D132</f>
        <v xml:space="preserve"> Penanggulangan Keadaan Mendesak Pemberian BLT</v>
      </c>
      <c r="C118" s="66" t="s">
        <v>2593</v>
      </c>
      <c r="D118" s="356" t="s">
        <v>2502</v>
      </c>
    </row>
  </sheetData>
  <mergeCells count="5">
    <mergeCell ref="A2:B2"/>
    <mergeCell ref="A37:B37"/>
    <mergeCell ref="A1:B1"/>
    <mergeCell ref="A80:B80"/>
    <mergeCell ref="A104:B10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C118"/>
  <sheetViews>
    <sheetView topLeftCell="A116" workbookViewId="0">
      <selection activeCell="C118" sqref="C118"/>
    </sheetView>
  </sheetViews>
  <sheetFormatPr defaultRowHeight="15" x14ac:dyDescent="0.25"/>
  <cols>
    <col min="2" max="2" width="27.7109375" customWidth="1"/>
    <col min="3" max="3" width="25.85546875" customWidth="1"/>
  </cols>
  <sheetData>
    <row r="1" spans="1:3" ht="30" x14ac:dyDescent="0.25">
      <c r="A1" s="2103" t="s">
        <v>2594</v>
      </c>
      <c r="B1" s="2103"/>
      <c r="C1" s="1153" t="s">
        <v>2595</v>
      </c>
    </row>
    <row r="2" spans="1:3" ht="26.25" customHeight="1" x14ac:dyDescent="0.25">
      <c r="A2" s="2100" t="s">
        <v>2596</v>
      </c>
      <c r="B2" s="2100"/>
      <c r="C2" s="2100"/>
    </row>
    <row r="3" spans="1:3" ht="45" x14ac:dyDescent="0.25">
      <c r="A3" s="267">
        <v>1</v>
      </c>
      <c r="B3" s="66" t="str">
        <f>'RKP2024'!D12</f>
        <v>: Penyediaan Penghasilan tetap dan Tunjangan Perbekel</v>
      </c>
      <c r="C3" s="470">
        <f>'RKP2024'!L12</f>
        <v>159920000</v>
      </c>
    </row>
    <row r="4" spans="1:3" ht="45" x14ac:dyDescent="0.25">
      <c r="A4" s="267">
        <v>2</v>
      </c>
      <c r="B4" s="66" t="str">
        <f>'RKP2024'!D13</f>
        <v>: Penyediaan Penghasilan tetap dan Tunjangan Perangkat Desa</v>
      </c>
      <c r="C4" s="470">
        <f>'RKP2024'!L13</f>
        <v>939625760</v>
      </c>
    </row>
    <row r="5" spans="1:3" ht="60" x14ac:dyDescent="0.25">
      <c r="A5" s="267">
        <v>3</v>
      </c>
      <c r="B5" s="66" t="str">
        <f>'RKP2024'!D14</f>
        <v>Penyediaan Jaminan Kesehatan dan Ketenaga Kerjaan Bagi Perbekel dan Perangkat Desa</v>
      </c>
      <c r="C5" s="470">
        <f>'RKP2024'!L14</f>
        <v>70001760</v>
      </c>
    </row>
    <row r="6" spans="1:3" ht="30" x14ac:dyDescent="0.25">
      <c r="A6" s="267">
        <v>4</v>
      </c>
      <c r="B6" s="66" t="str">
        <f>'RKP2024'!D15</f>
        <v>: Penyediaan Operasional Pemerintah Desa</v>
      </c>
      <c r="C6" s="470">
        <f>'RKP2024'!L15</f>
        <v>486652349</v>
      </c>
    </row>
    <row r="7" spans="1:3" ht="45" x14ac:dyDescent="0.25">
      <c r="A7" s="267">
        <v>5</v>
      </c>
      <c r="B7" s="66" t="str">
        <f>'RKP2024'!D16</f>
        <v>: Penyediaan Oprasional Pemerinthanan Desa ( Kegiatan Rapat - Rapat)</v>
      </c>
      <c r="C7" s="470">
        <f>'RKP2024'!L16</f>
        <v>25560000</v>
      </c>
    </row>
    <row r="8" spans="1:3" x14ac:dyDescent="0.25">
      <c r="A8" s="267">
        <v>6</v>
      </c>
      <c r="B8" s="66" t="str">
        <f>'RKP2024'!D17</f>
        <v>: Penyediaan tunjangan BPD</v>
      </c>
      <c r="C8" s="470">
        <f>'RKP2024'!L17</f>
        <v>410200000</v>
      </c>
    </row>
    <row r="9" spans="1:3" ht="30" x14ac:dyDescent="0.25">
      <c r="A9" s="267">
        <v>7</v>
      </c>
      <c r="B9" s="66" t="str">
        <f>'RKP2024'!D18</f>
        <v>: Penyediaan Operasional BPD</v>
      </c>
      <c r="C9" s="470">
        <f>'RKP2024'!L18</f>
        <v>15999000</v>
      </c>
    </row>
    <row r="10" spans="1:3" ht="30" x14ac:dyDescent="0.25">
      <c r="A10" s="267">
        <v>8</v>
      </c>
      <c r="B10" s="66" t="str">
        <f>'RKP2024'!D19</f>
        <v>: Penyediaan Operasional BPD (Musyawarah BPD)</v>
      </c>
      <c r="C10" s="470">
        <f>'RKP2024'!L19</f>
        <v>12400000</v>
      </c>
    </row>
    <row r="11" spans="1:3" ht="30" x14ac:dyDescent="0.25">
      <c r="A11" s="267">
        <v>9</v>
      </c>
      <c r="B11" s="66" t="str">
        <f>'RKP2024'!D20</f>
        <v>: Penyediaan Operasional BPD (Rapat FKAKD)</v>
      </c>
      <c r="C11" s="470">
        <f>'RKP2024'!L20</f>
        <v>6685000</v>
      </c>
    </row>
    <row r="12" spans="1:3" ht="30" x14ac:dyDescent="0.25">
      <c r="A12" s="267">
        <v>10</v>
      </c>
      <c r="B12" s="66" t="str">
        <f>'RKP2024'!D21</f>
        <v xml:space="preserve">: Penyediaan Penghasilan Staf Desa </v>
      </c>
      <c r="C12" s="470">
        <f>'RKP2024'!L21</f>
        <v>482054400</v>
      </c>
    </row>
    <row r="13" spans="1:3" ht="30" x14ac:dyDescent="0.25">
      <c r="A13" s="267">
        <v>11</v>
      </c>
      <c r="B13" s="66" t="str">
        <f>'RKP2024'!D22</f>
        <v>Penjaringan dan Penyaringan Perangkat Desa/Staf</v>
      </c>
      <c r="C13" s="470">
        <f>'RKP2024'!L22</f>
        <v>6699000</v>
      </c>
    </row>
    <row r="14" spans="1:3" ht="30" x14ac:dyDescent="0.25">
      <c r="A14" s="267">
        <v>12</v>
      </c>
      <c r="B14" s="66" t="str">
        <f>'RKP2024'!D23</f>
        <v>Penyedian Jaminan Keshatan dan ketenagakerjaan BPD</v>
      </c>
      <c r="C14" s="470">
        <f>'RKP2024'!L23</f>
        <v>36717720</v>
      </c>
    </row>
    <row r="15" spans="1:3" ht="45" x14ac:dyDescent="0.25">
      <c r="A15" s="267">
        <v>13</v>
      </c>
      <c r="B15" s="66" t="str">
        <f>'RKP2024'!D24</f>
        <v>Penyedian Jaminan Keshatan dan ketenagakerjaan Staf Desa</v>
      </c>
      <c r="C15" s="470">
        <f>'RKP2024'!L24</f>
        <v>24226512</v>
      </c>
    </row>
    <row r="16" spans="1:3" ht="45" x14ac:dyDescent="0.25">
      <c r="A16" s="267">
        <v>14</v>
      </c>
      <c r="B16" s="66" t="str">
        <f>'RKP2024'!D25</f>
        <v>Penyedian Jaminan Ketenagakerjaan Ekosistem Desa</v>
      </c>
      <c r="C16" s="470">
        <f>'RKP2024'!L25</f>
        <v>42537600</v>
      </c>
    </row>
    <row r="17" spans="1:3" ht="30" x14ac:dyDescent="0.25">
      <c r="A17" s="267">
        <v>15</v>
      </c>
      <c r="B17" s="66" t="str">
        <f>'RKP2024'!D26</f>
        <v>: Penyediaan Kegiatan Sosial Desa</v>
      </c>
      <c r="C17" s="470">
        <f>'RKP2024'!L26</f>
        <v>34032000</v>
      </c>
    </row>
    <row r="18" spans="1:3" x14ac:dyDescent="0.25">
      <c r="A18" s="267">
        <v>16</v>
      </c>
      <c r="B18" s="66" t="str">
        <f>'RKP2024'!D27</f>
        <v>: Administrasi Bank</v>
      </c>
      <c r="C18" s="470">
        <f>'RKP2024'!L27</f>
        <v>0</v>
      </c>
    </row>
    <row r="19" spans="1:3" ht="30" x14ac:dyDescent="0.25">
      <c r="A19" s="267">
        <v>17</v>
      </c>
      <c r="B19" s="66" t="str">
        <f>'RKP2024'!D28</f>
        <v>: Tambahan  Penghasilan Perbekel dari BKK</v>
      </c>
      <c r="C19" s="470">
        <f>'RKP2024'!L28</f>
        <v>22500000</v>
      </c>
    </row>
    <row r="20" spans="1:3" ht="30" x14ac:dyDescent="0.25">
      <c r="A20" s="267">
        <v>18</v>
      </c>
      <c r="B20" s="66" t="str">
        <f>'RKP2024'!D29</f>
        <v>: Tambahan  Penghasilan Perangkat Desa dari BKK</v>
      </c>
      <c r="C20" s="470">
        <f>'RKP2024'!L29</f>
        <v>70500000</v>
      </c>
    </row>
    <row r="21" spans="1:3" ht="30" x14ac:dyDescent="0.25">
      <c r="A21" s="267">
        <v>19</v>
      </c>
      <c r="B21" s="66" t="str">
        <f>'RKP2024'!D30</f>
        <v>: Penyediaan Aset Tetap (Prasarana Kantor Desa)</v>
      </c>
      <c r="C21" s="470">
        <f>'RKP2024'!L30</f>
        <v>84962003.659999996</v>
      </c>
    </row>
    <row r="22" spans="1:3" ht="45" x14ac:dyDescent="0.25">
      <c r="A22" s="267">
        <v>20</v>
      </c>
      <c r="B22" s="66" t="e">
        <f>'RKP2024'!D31</f>
        <v>#REF!</v>
      </c>
      <c r="C22" s="470" t="e">
        <f>'RKP2024'!L31</f>
        <v>#REF!</v>
      </c>
    </row>
    <row r="23" spans="1:3" ht="60" x14ac:dyDescent="0.25">
      <c r="A23" s="267">
        <v>21</v>
      </c>
      <c r="B23" s="66" t="str">
        <f>'RKP2024'!D32</f>
        <v xml:space="preserve">Pemeliharaan Gedung/Prasarana Kantor Desa (Pengelasan Atap Parkir) </v>
      </c>
      <c r="C23" s="470">
        <f>'RKP2024'!L32</f>
        <v>22899750</v>
      </c>
    </row>
    <row r="24" spans="1:3" ht="75" x14ac:dyDescent="0.25">
      <c r="A24" s="267">
        <v>22</v>
      </c>
      <c r="B24" s="66" t="str">
        <f>'RKP2024'!D33</f>
        <v>Pemeliharaan/ Rehabilitasi/ Peningkatan Gedung/ Prasarana Kantor Desa (Penataan Kebun dan Vertical Garden)</v>
      </c>
      <c r="C24" s="470">
        <f>'RKP2024'!L33</f>
        <v>32007000</v>
      </c>
    </row>
    <row r="25" spans="1:3" ht="75" x14ac:dyDescent="0.25">
      <c r="A25" s="267">
        <v>23</v>
      </c>
      <c r="B25" s="66" t="str">
        <f>'RKP2024'!D35</f>
        <v>: Penyusunan/ Pendataan/Pemuktahiran Profil Desa (Profil Kependudukan dan potensi Desa )</v>
      </c>
      <c r="C25" s="470">
        <f>'RKP2024'!L35</f>
        <v>51506000</v>
      </c>
    </row>
    <row r="26" spans="1:3" ht="45" x14ac:dyDescent="0.25">
      <c r="A26" s="267">
        <v>24</v>
      </c>
      <c r="B26" s="66" t="str">
        <f>'RKP2024'!D36</f>
        <v>: Pengelolaan Administrasi dan Kearsipan pemerintahan Desa ( Pelatihan )</v>
      </c>
      <c r="C26" s="470">
        <f>'RKP2024'!L36</f>
        <v>910000</v>
      </c>
    </row>
    <row r="27" spans="1:3" ht="75" x14ac:dyDescent="0.25">
      <c r="A27" s="267">
        <v>25</v>
      </c>
      <c r="B27" s="66" t="str">
        <f>'RKP2024'!D37</f>
        <v>: Pendataan Administrasi Penduduk Non Permanen (Penertiban Penduduk Pendatang dan Sidak Dialogis)</v>
      </c>
      <c r="C27" s="470">
        <f>'RKP2024'!L37</f>
        <v>41205000</v>
      </c>
    </row>
    <row r="28" spans="1:3" ht="60" x14ac:dyDescent="0.25">
      <c r="A28" s="267">
        <v>26</v>
      </c>
      <c r="B28" s="66" t="str">
        <f>'RKP2024'!D38</f>
        <v>Penyelenggaraan Musyawarah Desa/ Pembahasan APBDes (Musrenbangdes)</v>
      </c>
      <c r="C28" s="470">
        <f>'RKP2024'!L38</f>
        <v>22595200</v>
      </c>
    </row>
    <row r="29" spans="1:3" ht="105" x14ac:dyDescent="0.25">
      <c r="A29" s="267">
        <v>27</v>
      </c>
      <c r="B29" s="66" t="str">
        <f>'RKP2024'!D39</f>
        <v>Penyelenggaraan Musyawarah Desa/ Pembahasan APBDes (Musdes, Musrenbangdes/pra musrenbangdes, dll yang bersifat reguler )</v>
      </c>
      <c r="C29" s="470">
        <f>'RKP2024'!L39</f>
        <v>41416000</v>
      </c>
    </row>
    <row r="30" spans="1:3" ht="45" x14ac:dyDescent="0.25">
      <c r="A30" s="267">
        <v>28</v>
      </c>
      <c r="B30" s="66" t="str">
        <f>'RKP2024'!D40</f>
        <v>: Penyelenggaraan Musyawarah Desa lainya (yang bersifat non reguler )</v>
      </c>
      <c r="C30" s="470">
        <f>'RKP2024'!L40</f>
        <v>41412000</v>
      </c>
    </row>
    <row r="31" spans="1:3" ht="45" x14ac:dyDescent="0.25">
      <c r="A31" s="267">
        <v>29</v>
      </c>
      <c r="B31" s="66" t="str">
        <f>'RKP2024'!D41</f>
        <v>Penyusunan Dokumen Perencanaan Desa (RKP Desa 2025)</v>
      </c>
      <c r="C31" s="470">
        <f>'RKP2024'!L41</f>
        <v>25930000</v>
      </c>
    </row>
    <row r="32" spans="1:3" ht="45" x14ac:dyDescent="0.25">
      <c r="A32" s="267">
        <v>30</v>
      </c>
      <c r="B32" s="66" t="str">
        <f>'RKP2024'!D42</f>
        <v>: Penyusunan dokumen keuangan Desa (APBDesa 2025 )</v>
      </c>
      <c r="C32" s="470">
        <f>'RKP2024'!L42</f>
        <v>5175000</v>
      </c>
    </row>
    <row r="33" spans="1:3" ht="45" x14ac:dyDescent="0.25">
      <c r="A33" s="267">
        <v>31</v>
      </c>
      <c r="B33" s="66" t="str">
        <f>'RKP2024'!D43</f>
        <v>: Penyusunan dokumen keuangan Desa (APBDesa Perubahan 2024)</v>
      </c>
      <c r="C33" s="470">
        <f>'RKP2024'!L43</f>
        <v>4805000</v>
      </c>
    </row>
    <row r="34" spans="1:3" ht="45" x14ac:dyDescent="0.25">
      <c r="A34" s="267">
        <v>32</v>
      </c>
      <c r="B34" s="66" t="str">
        <f>'RKP2024'!D44</f>
        <v>: Penyusunan dokumen keuangan Desa ( LPJ APBDesa 2023)</v>
      </c>
      <c r="C34" s="470">
        <f>'RKP2024'!L44</f>
        <v>1575000</v>
      </c>
    </row>
    <row r="35" spans="1:3" ht="60" x14ac:dyDescent="0.25">
      <c r="A35" s="267">
        <v>33</v>
      </c>
      <c r="B35" s="66" t="str">
        <f>'RKP2024'!D45</f>
        <v>: Penyusunan laporan Kepala Desa/ Penyelenggaraan Pemerintah Desa (Laporan akhir tahun anggaran )</v>
      </c>
      <c r="C35" s="470">
        <f>'RKP2024'!L45</f>
        <v>1625000</v>
      </c>
    </row>
    <row r="36" spans="1:3" ht="60" x14ac:dyDescent="0.25">
      <c r="A36" s="267">
        <v>34</v>
      </c>
      <c r="B36" s="66" t="str">
        <f>'RKP2024'!D46</f>
        <v xml:space="preserve">: Penyelenggaraan Lomba antar kewilayahan dan pengiriman kontingen dalam mengikuti Lomba Desa </v>
      </c>
      <c r="C36" s="470">
        <f>'RKP2024'!L46</f>
        <v>110468445</v>
      </c>
    </row>
    <row r="37" spans="1:3" x14ac:dyDescent="0.25">
      <c r="A37" s="2100" t="s">
        <v>2503</v>
      </c>
      <c r="B37" s="2100"/>
      <c r="C37" s="2100"/>
    </row>
    <row r="38" spans="1:3" ht="89.25" customHeight="1" x14ac:dyDescent="0.25">
      <c r="A38" s="267">
        <v>1</v>
      </c>
      <c r="B38" s="66" t="str">
        <f>'RKP2024'!D48</f>
        <v>Penyelenggaraan PAUD/TK/TKA/ Madrasah Non Formal Milik Desa (Pengelolaan Taman Kanak - kanak  TK Kumara Sari VI )</v>
      </c>
      <c r="C38" s="470">
        <f>'RKP2024'!L48</f>
        <v>237334529.18000001</v>
      </c>
    </row>
    <row r="39" spans="1:3" ht="60" x14ac:dyDescent="0.25">
      <c r="A39" s="267">
        <v>2</v>
      </c>
      <c r="B39" s="66" t="str">
        <f>'RKP2024'!D49</f>
        <v>: Penyuluhan dan Pelatihan Pendidikan Bagi Masyarakat ( Pelatihan Bahasa Bali Untuk Anak-Anak 7-12 Th )</v>
      </c>
      <c r="C39" s="470">
        <f>'RKP2024'!L49</f>
        <v>9015000</v>
      </c>
    </row>
    <row r="40" spans="1:3" ht="75" x14ac:dyDescent="0.25">
      <c r="A40" s="267">
        <v>3</v>
      </c>
      <c r="B40" s="66" t="str">
        <f>'RKP2024'!D50</f>
        <v>: Penyuluhan dan Pelatihan Pendidikan Bagi Masyarakat ( Pembinaan dan Penyelenggaraan Bunda Literasi )</v>
      </c>
      <c r="C40" s="470">
        <f>'RKP2024'!L50</f>
        <v>14178000</v>
      </c>
    </row>
    <row r="41" spans="1:3" ht="45" x14ac:dyDescent="0.25">
      <c r="A41" s="267">
        <v>4</v>
      </c>
      <c r="B41" s="66" t="str">
        <f>'RKP2024'!D51</f>
        <v>Pemeliharaan Sarana dan Prasarana TK Milik Desa (Pemagaran)</v>
      </c>
      <c r="C41" s="470">
        <f>'RKP2024'!L51</f>
        <v>15269700</v>
      </c>
    </row>
    <row r="42" spans="1:3" ht="45" x14ac:dyDescent="0.25">
      <c r="A42" s="267">
        <v>5</v>
      </c>
      <c r="B42" s="66" t="str">
        <f>'RKP2024'!D52</f>
        <v>Pemeliharaan Sarana dan Prasarana TK Milik Desa (Cat Tembok Dalam)</v>
      </c>
      <c r="C42" s="470">
        <f>'RKP2024'!L52</f>
        <v>5532000</v>
      </c>
    </row>
    <row r="43" spans="1:3" ht="45" x14ac:dyDescent="0.25">
      <c r="A43" s="267">
        <v>6</v>
      </c>
      <c r="B43" s="66" t="str">
        <f>'RKP2024'!D53</f>
        <v>Pemeliharaan Sarana dan Prasarana TK Milik Desa (Lapis Water Proofig)</v>
      </c>
      <c r="C43" s="470">
        <f>'RKP2024'!L53</f>
        <v>21546000</v>
      </c>
    </row>
    <row r="44" spans="1:3" ht="45" x14ac:dyDescent="0.25">
      <c r="A44" s="267">
        <v>7</v>
      </c>
      <c r="B44" s="66" t="str">
        <f>'RKP2024'!D54</f>
        <v>Pemeliharaan Sarana dan Prasarana TK Milik Desa (Cat Plafon)</v>
      </c>
      <c r="C44" s="470">
        <f>'RKP2024'!L54</f>
        <v>11123000</v>
      </c>
    </row>
    <row r="45" spans="1:3" ht="45" x14ac:dyDescent="0.25">
      <c r="A45" s="267">
        <v>8</v>
      </c>
      <c r="B45" s="66" t="str">
        <f>'RKP2024'!D55</f>
        <v>Pemeliharaan Sarana dan Prasarana TK Milik Desa (Mural)</v>
      </c>
      <c r="C45" s="470" t="e">
        <f>'RKP2024'!L55</f>
        <v>#REF!</v>
      </c>
    </row>
    <row r="46" spans="1:3" ht="90" x14ac:dyDescent="0.25">
      <c r="A46" s="267">
        <v>9</v>
      </c>
      <c r="B46" s="66" t="str">
        <f>'RKP2024'!D56</f>
        <v>:Peningkatan Sarana Prasarana Perpustakaan/Taman Bacaan Desa/ Sanggar Belajar Milik Desa (Perpustakaan Desa, Digital dan keliling)</v>
      </c>
      <c r="C46" s="470">
        <f>'RKP2024'!L56</f>
        <v>196621400</v>
      </c>
    </row>
    <row r="47" spans="1:3" ht="30" x14ac:dyDescent="0.25">
      <c r="A47" s="267">
        <v>10</v>
      </c>
      <c r="B47" s="66" t="str">
        <f>'RKP2024'!D57</f>
        <v>: Penyelenggaraan Posyandu (Pemberian PMT)</v>
      </c>
      <c r="C47" s="470">
        <f>'RKP2024'!L57</f>
        <v>266295500</v>
      </c>
    </row>
    <row r="48" spans="1:3" ht="30" x14ac:dyDescent="0.25">
      <c r="A48" s="267">
        <v>11</v>
      </c>
      <c r="B48" s="66" t="str">
        <f>'RKP2024'!D58</f>
        <v>: Penyelenggaraan POSyandu (Pos Gizi dan Ibu Hamil)</v>
      </c>
      <c r="C48" s="470">
        <f>'RKP2024'!L58</f>
        <v>4140000</v>
      </c>
    </row>
    <row r="49" spans="1:3" ht="45" x14ac:dyDescent="0.25">
      <c r="A49" s="267">
        <v>12</v>
      </c>
      <c r="B49" s="66" t="str">
        <f>'RKP2024'!D59</f>
        <v>: Penyelenggaraan Posyandu Lansia (Pemberian tambahan nutrisi bagi lansia)</v>
      </c>
      <c r="C49" s="470">
        <f>'RKP2024'!L59</f>
        <v>104580000</v>
      </c>
    </row>
    <row r="50" spans="1:3" ht="60" x14ac:dyDescent="0.25">
      <c r="A50" s="267">
        <v>13</v>
      </c>
      <c r="B50" s="66" t="str">
        <f>'RKP2024'!D60</f>
        <v xml:space="preserve"> :Penyuluhan dan Pelatiah Bidang Kesehatan (Pendampingan calon pengantin Stunting)</v>
      </c>
      <c r="C50" s="470">
        <f>'RKP2024'!L60</f>
        <v>6877440</v>
      </c>
    </row>
    <row r="51" spans="1:3" ht="30" x14ac:dyDescent="0.25">
      <c r="A51" s="267">
        <v>14</v>
      </c>
      <c r="B51" s="66" t="str">
        <f>'RKP2024'!D61</f>
        <v>Penyuluhan dan Pelatihan Bidang Kesehatan (PHBS)</v>
      </c>
      <c r="C51" s="470">
        <f>'RKP2024'!L61</f>
        <v>6460800</v>
      </c>
    </row>
    <row r="52" spans="1:3" ht="60" x14ac:dyDescent="0.25">
      <c r="A52" s="267">
        <v>15</v>
      </c>
      <c r="B52" s="66" t="str">
        <f>'RKP2024'!D62</f>
        <v>: Penyuluhan dan Pelatihan Bidang Kesehatan (Pembinaan Kader POSyandu)</v>
      </c>
      <c r="C52" s="470">
        <f>'RKP2024'!L62</f>
        <v>31525000</v>
      </c>
    </row>
    <row r="53" spans="1:3" ht="60" x14ac:dyDescent="0.25">
      <c r="A53" s="267">
        <v>16</v>
      </c>
      <c r="B53" s="66" t="str">
        <f>'RKP2024'!D63</f>
        <v>: Penyuluhan dan Pelatihan Bidang Kesehatan (Penyuluhan Narkoba dan HIV/AIDS)</v>
      </c>
      <c r="C53" s="470">
        <f>'RKP2024'!L63</f>
        <v>18340000</v>
      </c>
    </row>
    <row r="54" spans="1:3" ht="30" x14ac:dyDescent="0.25">
      <c r="A54" s="267">
        <v>17</v>
      </c>
      <c r="B54" s="66" t="str">
        <f>'RKP2024'!D64</f>
        <v>: Penyuluhan dan Pelatihan Bidang Kesehatan (Posbindu)</v>
      </c>
      <c r="C54" s="470">
        <f>'RKP2024'!L64</f>
        <v>19924087.09</v>
      </c>
    </row>
    <row r="55" spans="1:3" ht="45" x14ac:dyDescent="0.25">
      <c r="A55" s="267">
        <v>18</v>
      </c>
      <c r="B55" s="66" t="str">
        <f>'RKP2024'!D65</f>
        <v>: Penyuluhan dan Pelatihan Bidang Kesehatan (Penyuluhan KB)</v>
      </c>
      <c r="C55" s="470">
        <f>'RKP2024'!L65</f>
        <v>17635000</v>
      </c>
    </row>
    <row r="56" spans="1:3" ht="45" x14ac:dyDescent="0.25">
      <c r="A56" s="267">
        <v>19</v>
      </c>
      <c r="B56" s="66" t="str">
        <f>'RKP2024'!D66</f>
        <v>: Penyuluhan dan Pelatihan Bidang Kesehatan(Sosialisasi Germas)</v>
      </c>
      <c r="C56" s="470">
        <f>'RKP2024'!L66</f>
        <v>2070000</v>
      </c>
    </row>
    <row r="57" spans="1:3" ht="45" x14ac:dyDescent="0.25">
      <c r="A57" s="267">
        <v>20</v>
      </c>
      <c r="B57" s="66" t="str">
        <f>'RKP2024'!D67</f>
        <v>: Penyuluhan dan Pelatihan Bidang Kesehatan (Desa Siaga Kesehatan)</v>
      </c>
      <c r="C57" s="470">
        <f>'RKP2024'!L67</f>
        <v>2592000</v>
      </c>
    </row>
    <row r="58" spans="1:3" ht="60" x14ac:dyDescent="0.25">
      <c r="A58" s="267">
        <v>21</v>
      </c>
      <c r="B58" s="66" t="str">
        <f>'RKP2024'!D69</f>
        <v xml:space="preserve"> :  Pengasuhan Bersama atau Bina Keluarga Balita (Pelaksanaan Kegiatan Bina keluarga Balita BKB )</v>
      </c>
      <c r="C58" s="470">
        <f>'RKP2024'!L69</f>
        <v>50145500</v>
      </c>
    </row>
    <row r="59" spans="1:3" ht="60" x14ac:dyDescent="0.25">
      <c r="A59" s="267">
        <v>22</v>
      </c>
      <c r="B59" s="66" t="str">
        <f>'RKP2024'!D70</f>
        <v xml:space="preserve"> :  Pengasuhan Bersama atau Bina Keluarga Lansia ( Pembinaan dan Penyelenggaraan BKL)</v>
      </c>
      <c r="C59" s="470">
        <f>'RKP2024'!L70</f>
        <v>9990000</v>
      </c>
    </row>
    <row r="60" spans="1:3" ht="45" x14ac:dyDescent="0.25">
      <c r="A60" s="267">
        <v>23</v>
      </c>
      <c r="B60" s="66" t="str">
        <f>'RKP2024'!D71</f>
        <v>: Pengasuhan Bersama atau Bina Keluarga Balita (Pembinaan Kader BKB)</v>
      </c>
      <c r="C60" s="470">
        <f>'RKP2024'!L71</f>
        <v>18283000</v>
      </c>
    </row>
    <row r="61" spans="1:3" ht="60" x14ac:dyDescent="0.25">
      <c r="A61" s="267">
        <v>24</v>
      </c>
      <c r="B61" s="66" t="str">
        <f>'RKP2024'!D72</f>
        <v xml:space="preserve"> :  Pengasuhan Bersama atau Bina Keluarga Balita (Pembinaan Kegiatan Bina keluarga Remaja BKR )</v>
      </c>
      <c r="C61" s="470">
        <f>'RKP2024'!L72</f>
        <v>4875000</v>
      </c>
    </row>
    <row r="62" spans="1:3" ht="45" x14ac:dyDescent="0.25">
      <c r="A62" s="267">
        <v>25</v>
      </c>
      <c r="B62" s="66" t="str">
        <f>'RKP2024'!D73</f>
        <v xml:space="preserve"> :  Pengasuhan Bersama atau Bina Keluarga Remaja (Penyelenggaraan BKR)</v>
      </c>
      <c r="C62" s="470">
        <f>'RKP2024'!L73</f>
        <v>7471000</v>
      </c>
    </row>
    <row r="63" spans="1:3" ht="45" x14ac:dyDescent="0.25">
      <c r="A63" s="267">
        <v>26</v>
      </c>
      <c r="B63" s="66" t="str">
        <f>'RKP2024'!D74</f>
        <v>:Penyelenggaraan Pembinaan dan Lomba Balita Sehat</v>
      </c>
      <c r="C63" s="470">
        <f>'RKP2024'!L74</f>
        <v>13205000</v>
      </c>
    </row>
    <row r="64" spans="1:3" x14ac:dyDescent="0.25">
      <c r="A64" s="267">
        <v>27</v>
      </c>
      <c r="B64" s="66" t="str">
        <f>'RKP2024'!D75</f>
        <v>:  Foging Fokus</v>
      </c>
      <c r="C64" s="470">
        <f>'RKP2024'!L75</f>
        <v>42360000</v>
      </c>
    </row>
    <row r="65" spans="1:3" ht="30" x14ac:dyDescent="0.25">
      <c r="A65" s="267">
        <v>28</v>
      </c>
      <c r="B65" s="66" t="str">
        <f>'RKP2024'!D76</f>
        <v>: Gerakan Serentak PSN dan Lomba PSN</v>
      </c>
      <c r="C65" s="470">
        <f>'RKP2024'!L76</f>
        <v>45123000</v>
      </c>
    </row>
    <row r="66" spans="1:3" x14ac:dyDescent="0.25">
      <c r="A66" s="267">
        <v>29</v>
      </c>
      <c r="B66" s="66" t="str">
        <f>'RKP2024'!D77</f>
        <v xml:space="preserve">Penyelengggaraan TPPS Desa </v>
      </c>
      <c r="C66" s="470">
        <f>'RKP2024'!L77</f>
        <v>6108500</v>
      </c>
    </row>
    <row r="67" spans="1:3" x14ac:dyDescent="0.25">
      <c r="A67" s="267">
        <v>30</v>
      </c>
      <c r="B67" s="66" t="str">
        <f>'RKP2024'!D78</f>
        <v>: Rembuk Stunting</v>
      </c>
      <c r="C67" s="470">
        <f>'RKP2024'!L78</f>
        <v>3160000</v>
      </c>
    </row>
    <row r="68" spans="1:3" ht="30" x14ac:dyDescent="0.25">
      <c r="A68" s="267">
        <v>31</v>
      </c>
      <c r="B68" s="66" t="str">
        <f>'RKP2024'!D79</f>
        <v>: Pembinaan Posyandu Remaja</v>
      </c>
      <c r="C68" s="470">
        <f>'RKP2024'!L79</f>
        <v>3526500</v>
      </c>
    </row>
    <row r="69" spans="1:3" ht="30" x14ac:dyDescent="0.25">
      <c r="A69" s="267">
        <v>32</v>
      </c>
      <c r="B69" s="66" t="str">
        <f>'RKP2024'!D80</f>
        <v>Penyelenggaraan Posyandu Remaja</v>
      </c>
      <c r="C69" s="470">
        <f>'RKP2024'!L80</f>
        <v>35530000</v>
      </c>
    </row>
    <row r="70" spans="1:3" ht="60" x14ac:dyDescent="0.25">
      <c r="A70" s="267">
        <v>33</v>
      </c>
      <c r="B70" s="66" t="str">
        <f>'RKP2024'!D81</f>
        <v>Pemeliharaan Jalan Lingkungan Permukiman/Gang Sekar Gunung</v>
      </c>
      <c r="C70" s="470">
        <f>'RKP2024'!L81</f>
        <v>85218000</v>
      </c>
    </row>
    <row r="71" spans="1:3" x14ac:dyDescent="0.25">
      <c r="A71" s="267">
        <v>34</v>
      </c>
      <c r="B71" s="66" t="e">
        <f>'RKP2024'!D83</f>
        <v>#REF!</v>
      </c>
      <c r="C71" s="470" t="e">
        <f>'RKP2024'!L83</f>
        <v>#REF!</v>
      </c>
    </row>
    <row r="72" spans="1:3" x14ac:dyDescent="0.25">
      <c r="A72" s="267">
        <v>35</v>
      </c>
      <c r="B72" s="66" t="e">
        <f>'RKP2024'!D84</f>
        <v>#REF!</v>
      </c>
      <c r="C72" s="470" t="e">
        <f>'RKP2024'!L84</f>
        <v>#REF!</v>
      </c>
    </row>
    <row r="73" spans="1:3" x14ac:dyDescent="0.25">
      <c r="A73" s="267">
        <v>36</v>
      </c>
      <c r="B73" s="66" t="e">
        <f>'RKP2024'!D85</f>
        <v>#REF!</v>
      </c>
      <c r="C73" s="470" t="e">
        <f>'RKP2024'!L85</f>
        <v>#REF!</v>
      </c>
    </row>
    <row r="74" spans="1:3" ht="30" x14ac:dyDescent="0.25">
      <c r="A74" s="267">
        <v>37</v>
      </c>
      <c r="B74" s="66" t="str">
        <f>'RKP2024'!D87</f>
        <v>: Kegiatan Pengelolaan Sampah Tingkat Desa</v>
      </c>
      <c r="C74" s="470">
        <f>'RKP2024'!L87</f>
        <v>670230300</v>
      </c>
    </row>
    <row r="75" spans="1:3" ht="60" x14ac:dyDescent="0.25">
      <c r="A75" s="267">
        <v>38</v>
      </c>
      <c r="B75" s="66" t="str">
        <f>'RKP2024'!D88</f>
        <v>: Pemeiliharaan Fasilitas Pengelolaan Sampah Desa/ Pemukiman ( Operasional Kegiatan Bank Sampah Desa)</v>
      </c>
      <c r="C75" s="470">
        <f>'RKP2024'!L88</f>
        <v>38177800</v>
      </c>
    </row>
    <row r="76" spans="1:3" ht="30" x14ac:dyDescent="0.25">
      <c r="A76" s="267">
        <v>39</v>
      </c>
      <c r="B76" s="66" t="str">
        <f>'RKP2024'!D89</f>
        <v>: Operasional Tim Kebersihan Lingkungan</v>
      </c>
      <c r="C76" s="470">
        <f>'RKP2024'!L89</f>
        <v>110956000</v>
      </c>
    </row>
    <row r="77" spans="1:3" x14ac:dyDescent="0.25">
      <c r="A77" s="267">
        <v>40</v>
      </c>
      <c r="B77" s="66" t="e">
        <f>'RKP2024'!D90</f>
        <v>#REF!</v>
      </c>
      <c r="C77" s="470" t="e">
        <f>'RKP2024'!L90</f>
        <v>#REF!</v>
      </c>
    </row>
    <row r="78" spans="1:3" ht="60" x14ac:dyDescent="0.25">
      <c r="A78" s="267">
        <v>41</v>
      </c>
      <c r="B78" s="66" t="str">
        <f>'RKP2024'!D91</f>
        <v>Pemeliharaan taman Milik Desa (Biopori dan Penataan Taman di Patung Petani, depan kertapala)</v>
      </c>
      <c r="C78" s="470">
        <f>'RKP2024'!L91</f>
        <v>43645000</v>
      </c>
    </row>
    <row r="79" spans="1:3" ht="60" x14ac:dyDescent="0.25">
      <c r="A79" s="267">
        <v>42</v>
      </c>
      <c r="B79" s="66" t="str">
        <f>'RKP2024'!D92</f>
        <v>: Penyelenggaraan Informasi Publik Desa ( Pembuatan dan Pemasangan Baliho APBDesa )</v>
      </c>
      <c r="C79" s="470">
        <f>'RKP2024'!L92</f>
        <v>3000000</v>
      </c>
    </row>
    <row r="80" spans="1:3" x14ac:dyDescent="0.25">
      <c r="A80" s="2100" t="s">
        <v>2561</v>
      </c>
      <c r="B80" s="2100"/>
      <c r="C80" s="2100"/>
    </row>
    <row r="81" spans="1:3" ht="60" x14ac:dyDescent="0.25">
      <c r="A81" s="267">
        <v>1</v>
      </c>
      <c r="B81" s="66" t="str">
        <f>'RKP2024'!D94</f>
        <v xml:space="preserve">Pengadaan/Pen (pembangunan pos, Perbaikan Pos Keamanan di Depan Pura Dalem Laplap) </v>
      </c>
      <c r="C81" s="470">
        <f>'RKP2024'!L94</f>
        <v>2500000</v>
      </c>
    </row>
    <row r="82" spans="1:3" ht="60" x14ac:dyDescent="0.25">
      <c r="A82" s="267">
        <v>2</v>
      </c>
      <c r="B82" s="66" t="str">
        <f>'RKP2024'!D95</f>
        <v>:Koordinasi Pembinaan Ketentraman, Ketertiban, dan Perlindungan Masyarakat (Pengamanan Pengerupukan)</v>
      </c>
      <c r="C82" s="470">
        <f>'RKP2024'!L95</f>
        <v>7040000</v>
      </c>
    </row>
    <row r="83" spans="1:3" ht="60" x14ac:dyDescent="0.25">
      <c r="A83" s="267">
        <v>3</v>
      </c>
      <c r="B83" s="66" t="str">
        <f>'RKP2024'!D96</f>
        <v>: Koordinasi Pembinaan Ketentraman, Ketertiban, dan Perlindungan Masyarakat (Pengamanan Tahun Baru)</v>
      </c>
      <c r="C83" s="470">
        <f>'RKP2024'!L96</f>
        <v>8540000</v>
      </c>
    </row>
    <row r="84" spans="1:3" ht="60" x14ac:dyDescent="0.25">
      <c r="A84" s="267">
        <v>4</v>
      </c>
      <c r="B84" s="66" t="str">
        <f>'RKP2024'!D97</f>
        <v>:Koordinasi Pembinaan Ketentraman, Ketertiban, dan Perlindungan Masyarakat (Penjagaan Linmas Desa)</v>
      </c>
      <c r="C84" s="470">
        <f>'RKP2024'!L97</f>
        <v>416098660</v>
      </c>
    </row>
    <row r="85" spans="1:3" ht="75" x14ac:dyDescent="0.25">
      <c r="A85" s="267">
        <v>5</v>
      </c>
      <c r="B85" s="66" t="str">
        <f>'RKP2024'!D98</f>
        <v>: Pelatihan Kesiapsiagaan/Tanggap Bencana Skala Lokal Desa ( Pelatihan Tanggap Darurat Bencana )</v>
      </c>
      <c r="C85" s="470">
        <f>'RKP2024'!L98</f>
        <v>8578000</v>
      </c>
    </row>
    <row r="86" spans="1:3" ht="60" x14ac:dyDescent="0.25">
      <c r="A86" s="267">
        <v>6</v>
      </c>
      <c r="B86" s="66" t="str">
        <f>'RKP2024'!D99</f>
        <v>: Pembinaan Kesenian, Adat, Kebudayaan, dan Keagamaan ( Pembinaan Sekaa Seni Joged )</v>
      </c>
      <c r="C86" s="470">
        <f>'RKP2024'!L99</f>
        <v>37765000</v>
      </c>
    </row>
    <row r="87" spans="1:3" ht="150" x14ac:dyDescent="0.25">
      <c r="A87" s="267">
        <v>7</v>
      </c>
      <c r="B87" s="66" t="str">
        <f>'RKP2024'!D100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C87" s="470">
        <f>'RKP2024'!L100</f>
        <v>35502000</v>
      </c>
    </row>
    <row r="88" spans="1:3" ht="60" x14ac:dyDescent="0.25">
      <c r="A88" s="267">
        <v>8</v>
      </c>
      <c r="B88" s="66" t="str">
        <f>'RKP2024'!D101</f>
        <v>Pemeliharaan sarana prasarana keagamaan milik desa (Pavingnisasi Area Pura Dalem Taman Pohmanis)</v>
      </c>
      <c r="C88" s="470">
        <f>'RKP2024'!L101</f>
        <v>94693000</v>
      </c>
    </row>
    <row r="89" spans="1:3" ht="60" x14ac:dyDescent="0.25">
      <c r="A89" s="267">
        <v>9</v>
      </c>
      <c r="B89" s="66" t="str">
        <f>'RKP2024'!D102</f>
        <v>: Pemeliharaan Sarana dan Prasarana kebudayaan/Rumah adat (Candi Banjar Mertasari)</v>
      </c>
      <c r="C89" s="470">
        <f>'RKP2024'!L102</f>
        <v>77163000</v>
      </c>
    </row>
    <row r="90" spans="1:3" ht="45" x14ac:dyDescent="0.25">
      <c r="A90" s="267">
        <v>10</v>
      </c>
      <c r="B90" s="66" t="str">
        <f>'RKP2024'!D103</f>
        <v xml:space="preserve"> : Pembinaan Adat dan Keagamaan (Piodalan Padmasana)</v>
      </c>
      <c r="C90" s="470">
        <f>'RKP2024'!L103</f>
        <v>15474698</v>
      </c>
    </row>
    <row r="91" spans="1:3" ht="45" x14ac:dyDescent="0.25">
      <c r="A91" s="267">
        <v>11</v>
      </c>
      <c r="B91" s="66" t="str">
        <f>'RKP2024'!D104</f>
        <v>: Pembinaan Adat dan Keagamaan (Upakara dan Upacara)</v>
      </c>
      <c r="C91" s="470">
        <f>'RKP2024'!L104</f>
        <v>8480000</v>
      </c>
    </row>
    <row r="92" spans="1:3" ht="45" x14ac:dyDescent="0.25">
      <c r="A92" s="267">
        <v>12</v>
      </c>
      <c r="B92" s="66" t="str">
        <f>'RKP2024'!D105</f>
        <v xml:space="preserve"> : Penunjang Oprasional Subak/Subak Abian (BKKProvinsi)</v>
      </c>
      <c r="C92" s="470">
        <f>'RKP2024'!L105</f>
        <v>30000000</v>
      </c>
    </row>
    <row r="93" spans="1:3" ht="30" x14ac:dyDescent="0.25">
      <c r="A93" s="267">
        <v>13</v>
      </c>
      <c r="B93" s="66" t="str">
        <f>'RKP2024'!D106</f>
        <v xml:space="preserve"> : Penunjang Oprasional Desa Pakraman(BKK Kota)</v>
      </c>
      <c r="C93" s="470">
        <f>'RKP2024'!L106</f>
        <v>560000000</v>
      </c>
    </row>
    <row r="94" spans="1:3" x14ac:dyDescent="0.25">
      <c r="A94" s="267">
        <v>14</v>
      </c>
      <c r="B94" s="66" t="str">
        <f>'RKP2024'!D107</f>
        <v>: Kegiatan Bakti Penganyaran</v>
      </c>
      <c r="C94" s="470">
        <f>'RKP2024'!L107</f>
        <v>171000000</v>
      </c>
    </row>
    <row r="95" spans="1:3" ht="75" x14ac:dyDescent="0.25">
      <c r="A95" s="267">
        <v>15</v>
      </c>
      <c r="B95" s="66" t="str">
        <f>'RKP2024'!D108</f>
        <v>: Pengiriman Kontingen Kepemudaan dan olahraga sebagai wakil desa di tingkat kecamatan dan kabupaten/ kota ( FORMI)</v>
      </c>
      <c r="C95" s="470">
        <f>'RKP2024'!L108</f>
        <v>67750000</v>
      </c>
    </row>
    <row r="96" spans="1:3" ht="180" x14ac:dyDescent="0.25">
      <c r="A96" s="267">
        <v>16</v>
      </c>
      <c r="B96" s="66" t="str">
        <f>'RKP2024'!D109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C96" s="470">
        <f>'RKP2024'!L109</f>
        <v>50681940</v>
      </c>
    </row>
    <row r="97" spans="1:3" ht="60" x14ac:dyDescent="0.25">
      <c r="A97" s="267">
        <v>17</v>
      </c>
      <c r="B97" s="66" t="str">
        <f>'RKP2024'!D110</f>
        <v>: Penyelenggaraan festival/ lomba kepemudaan dan olahraga tingat Desa (FORMI DESA )</v>
      </c>
      <c r="C97" s="470">
        <f>'RKP2024'!L110</f>
        <v>149785000</v>
      </c>
    </row>
    <row r="98" spans="1:3" x14ac:dyDescent="0.25">
      <c r="A98" s="267">
        <v>18</v>
      </c>
      <c r="B98" s="66" t="str">
        <f>'RKP2024'!D111</f>
        <v>: Pembinaan Karang Taruna</v>
      </c>
      <c r="C98" s="470">
        <f>'RKP2024'!L111</f>
        <v>29662000</v>
      </c>
    </row>
    <row r="99" spans="1:3" ht="45" x14ac:dyDescent="0.25">
      <c r="A99" s="267">
        <v>19</v>
      </c>
      <c r="B99" s="66" t="str">
        <f>'RKP2024'!D112</f>
        <v>: Penunjang Kegiatan Ekonomi Produktif untuk Sekeha Teruna (BKK Kota)</v>
      </c>
      <c r="C99" s="470">
        <f>'RKP2024'!L112</f>
        <v>210000000</v>
      </c>
    </row>
    <row r="100" spans="1:3" ht="60" x14ac:dyDescent="0.25">
      <c r="A100" s="267">
        <v>20</v>
      </c>
      <c r="B100" s="66" t="str">
        <f>'RKP2024'!D113</f>
        <v>: Pelatihan Pembinaan Lembaga Kemasyarakatan (Bulan bakti Gotong royong LPM)</v>
      </c>
      <c r="C100" s="470">
        <f>'RKP2024'!L113</f>
        <v>49987120</v>
      </c>
    </row>
    <row r="101" spans="1:3" ht="30" x14ac:dyDescent="0.25">
      <c r="A101" s="267">
        <v>21</v>
      </c>
      <c r="B101" s="66" t="str">
        <f>'RKP2024'!D114</f>
        <v>: Pembinaan LKMD / LPM / LPMD (Pelatihan LPM)</v>
      </c>
      <c r="C101" s="470">
        <f>'RKP2024'!L114</f>
        <v>1205000</v>
      </c>
    </row>
    <row r="102" spans="1:3" ht="30" x14ac:dyDescent="0.25">
      <c r="A102" s="267">
        <v>22</v>
      </c>
      <c r="B102" s="66" t="str">
        <f>'RKP2024'!D115</f>
        <v>: Pembinaan PKK  ( Pembinaan administrasi )</v>
      </c>
      <c r="C102" s="470">
        <f>'RKP2024'!L115</f>
        <v>5048000</v>
      </c>
    </row>
    <row r="103" spans="1:3" ht="45" x14ac:dyDescent="0.25">
      <c r="A103" s="267">
        <v>23</v>
      </c>
      <c r="B103" s="66" t="str">
        <f>'RKP2024'!D116</f>
        <v>:Pelatihan Pembinaan Lembaga Kemasyarakatan (Input data  Dasawisma)</v>
      </c>
      <c r="C103" s="470">
        <f>'RKP2024'!L116</f>
        <v>15190000</v>
      </c>
    </row>
    <row r="104" spans="1:3" x14ac:dyDescent="0.25">
      <c r="A104" s="2100" t="s">
        <v>2597</v>
      </c>
      <c r="B104" s="2100"/>
      <c r="C104" s="2100"/>
    </row>
    <row r="105" spans="1:3" ht="30" x14ac:dyDescent="0.25">
      <c r="A105" s="267">
        <v>1</v>
      </c>
      <c r="B105" s="66" t="str">
        <f>'RKP2024'!D120</f>
        <v>: (Ketahanan Pangan) Pelatihan Budidaya Jamur</v>
      </c>
      <c r="C105" s="470">
        <f>'RKP2024'!L120</f>
        <v>12945000</v>
      </c>
    </row>
    <row r="106" spans="1:3" ht="45" x14ac:dyDescent="0.25">
      <c r="A106" s="267">
        <v>2</v>
      </c>
      <c r="B106" s="66" t="str">
        <f>'RKP2024'!D121</f>
        <v>: Ketahanan Pangan ( Holti Kultural Budidaya Bawang Merah Dari Benih)</v>
      </c>
      <c r="C106" s="470">
        <f>'RKP2024'!L121</f>
        <v>50037000</v>
      </c>
    </row>
    <row r="107" spans="1:3" ht="60" x14ac:dyDescent="0.25">
      <c r="A107" s="267">
        <v>3</v>
      </c>
      <c r="B107" s="66" t="str">
        <f>'RKP2024'!D122</f>
        <v>: Penguatan Ketahanan Pangan Tingkat Desa ( Peningkatan ketersediaan Bibit/benih tanaman pangan)</v>
      </c>
      <c r="C107" s="470">
        <f>'RKP2024'!L122</f>
        <v>23430000</v>
      </c>
    </row>
    <row r="108" spans="1:3" x14ac:dyDescent="0.25">
      <c r="A108" s="267">
        <v>4</v>
      </c>
      <c r="B108" s="66" t="e">
        <f>'RKP2024'!#REF!</f>
        <v>#REF!</v>
      </c>
      <c r="C108" s="470" t="e">
        <f>'RKP2024'!#REF!</f>
        <v>#REF!</v>
      </c>
    </row>
    <row r="109" spans="1:3" ht="30" x14ac:dyDescent="0.25">
      <c r="A109" s="267">
        <v>5</v>
      </c>
      <c r="B109" s="66" t="str">
        <f>'RKP2024'!D123</f>
        <v>: Perbaikan Jalan Usaha Tani Subak Pohmanis</v>
      </c>
      <c r="C109" s="470">
        <f>'RKP2024'!L123</f>
        <v>241223250</v>
      </c>
    </row>
    <row r="110" spans="1:3" ht="60" x14ac:dyDescent="0.25">
      <c r="A110" s="267">
        <v>6</v>
      </c>
      <c r="B110" s="66" t="str">
        <f>'RKP2024'!D124</f>
        <v>:Pelatihan/Penyuluhan Pemberdayaan Perempuan (Pembinaan Kelompok P2WKSS)</v>
      </c>
      <c r="C110" s="470">
        <f>'RKP2024'!L124</f>
        <v>1227000</v>
      </c>
    </row>
    <row r="111" spans="1:3" ht="45" x14ac:dyDescent="0.25">
      <c r="A111" s="267">
        <v>7</v>
      </c>
      <c r="B111" s="66" t="str">
        <f>'RKP2024'!D125</f>
        <v>: Pelatihan Tim Verifikasi dan penyusunan RKP ( Pelatihan Penysunan RKPDes)</v>
      </c>
      <c r="C111" s="470">
        <f>'RKP2024'!L125</f>
        <v>1235000</v>
      </c>
    </row>
    <row r="112" spans="1:3" x14ac:dyDescent="0.25">
      <c r="A112" s="267">
        <v>8</v>
      </c>
      <c r="B112" s="66" t="str">
        <f>'RKP2024'!D126</f>
        <v>: Pelatihan Perangkat Desa</v>
      </c>
      <c r="C112" s="470">
        <f>'RKP2024'!L126</f>
        <v>43110000</v>
      </c>
    </row>
    <row r="113" spans="1:3" x14ac:dyDescent="0.25">
      <c r="A113" s="267">
        <v>9</v>
      </c>
      <c r="B113" s="66" t="str">
        <f>'RKP2024'!D127</f>
        <v>: Peningkatan Kapasitas BPD</v>
      </c>
      <c r="C113" s="470">
        <f>'RKP2024'!L127</f>
        <v>19120000</v>
      </c>
    </row>
    <row r="114" spans="1:3" ht="30" x14ac:dyDescent="0.25">
      <c r="A114" s="267">
        <v>10</v>
      </c>
      <c r="B114" s="66" t="str">
        <f>'RKP2024'!D128</f>
        <v>: Pelatihan PKPKD, PPKD dan TPK</v>
      </c>
      <c r="C114" s="470">
        <f>'RKP2024'!L128</f>
        <v>1655000</v>
      </c>
    </row>
    <row r="115" spans="1:3" ht="75" x14ac:dyDescent="0.25">
      <c r="A115" s="267">
        <v>11</v>
      </c>
      <c r="B115" s="66" t="str">
        <f>'RKP2024'!D129</f>
        <v>: Pengembangan sarana dan prasarana usaha mikro, kecil dan menengah serta koprasi  (Pelatihan Management BUMDes)</v>
      </c>
      <c r="C115" s="470">
        <f>'RKP2024'!L129</f>
        <v>1205000</v>
      </c>
    </row>
    <row r="116" spans="1:3" ht="75" x14ac:dyDescent="0.25">
      <c r="A116" s="267">
        <v>12</v>
      </c>
      <c r="B116" s="66" t="str">
        <f>'RKP2024'!D130</f>
        <v>: Pelatihan Kelompok Usahan Ekonomi Produktif (Kelompok Pengerajin Lampion "Dewata Janur Desa Penatih Dangin Puri)</v>
      </c>
      <c r="C116" s="470">
        <f>'RKP2024'!L130</f>
        <v>46276296</v>
      </c>
    </row>
    <row r="117" spans="1:3" ht="60" x14ac:dyDescent="0.25">
      <c r="A117" s="267">
        <v>13</v>
      </c>
      <c r="B117" s="66" t="str">
        <f>'RKP2024'!D131</f>
        <v>: Pelatihan Kelompok Usahan Ekonomi Produktif (Kelompok Pengerajin Furniture)</v>
      </c>
      <c r="C117" s="470">
        <f>'RKP2024'!L131</f>
        <v>86506000</v>
      </c>
    </row>
    <row r="118" spans="1:3" ht="30" x14ac:dyDescent="0.25">
      <c r="A118" s="267">
        <v>14</v>
      </c>
      <c r="B118" s="66" t="str">
        <f>'RKP2024'!D132</f>
        <v xml:space="preserve"> Penanggulangan Keadaan Mendesak Pemberian BLT</v>
      </c>
      <c r="C118" s="470">
        <f>'RKP2024'!L132</f>
        <v>151200000</v>
      </c>
    </row>
  </sheetData>
  <mergeCells count="5">
    <mergeCell ref="A1:B1"/>
    <mergeCell ref="A2:C2"/>
    <mergeCell ref="A37:C37"/>
    <mergeCell ref="A80:C80"/>
    <mergeCell ref="A104:C10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O55"/>
  <sheetViews>
    <sheetView topLeftCell="B10" zoomScale="90" zoomScaleNormal="90" workbookViewId="0">
      <selection activeCell="L55" sqref="L55"/>
    </sheetView>
  </sheetViews>
  <sheetFormatPr defaultRowHeight="15" x14ac:dyDescent="0.25"/>
  <cols>
    <col min="1" max="1" width="13.7109375" customWidth="1"/>
    <col min="2" max="2" width="24.140625" customWidth="1"/>
    <col min="3" max="3" width="4.42578125" customWidth="1"/>
    <col min="4" max="4" width="29.5703125" customWidth="1"/>
    <col min="5" max="5" width="31.4257812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customWidth="1"/>
    <col min="13" max="13" width="12.85546875" customWidth="1"/>
    <col min="14" max="14" width="27.42578125" customWidth="1"/>
    <col min="15" max="15" width="21.5703125" customWidth="1"/>
  </cols>
  <sheetData>
    <row r="1" spans="1:15" s="111" customFormat="1" ht="29.25" customHeight="1" x14ac:dyDescent="0.25">
      <c r="A1" s="2079" t="s">
        <v>2479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110"/>
    </row>
    <row r="2" spans="1:15" s="111" customFormat="1" ht="29.25" customHeight="1" x14ac:dyDescent="0.25">
      <c r="A2" s="2079" t="s">
        <v>1336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110"/>
    </row>
    <row r="3" spans="1:15" s="111" customFormat="1" ht="23.25" customHeight="1" x14ac:dyDescent="0.25">
      <c r="A3" s="2079" t="s">
        <v>1912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110"/>
    </row>
    <row r="4" spans="1:15" s="111" customFormat="1" ht="15.75" x14ac:dyDescent="0.25">
      <c r="B4" s="112"/>
      <c r="D4" s="112"/>
      <c r="H4" s="112"/>
      <c r="J4" s="113"/>
      <c r="L4" s="380"/>
      <c r="M4" s="846"/>
      <c r="O4" s="110"/>
    </row>
    <row r="5" spans="1:15" s="111" customFormat="1" ht="31.5" x14ac:dyDescent="0.25">
      <c r="A5" s="111" t="s">
        <v>1337</v>
      </c>
      <c r="B5" s="112" t="s">
        <v>1338</v>
      </c>
      <c r="D5" s="112"/>
      <c r="H5" s="112"/>
      <c r="J5" s="113"/>
      <c r="L5" s="380"/>
      <c r="M5" s="846"/>
      <c r="O5" s="110"/>
    </row>
    <row r="6" spans="1:15" s="111" customFormat="1" ht="31.5" x14ac:dyDescent="0.25">
      <c r="A6" s="111" t="s">
        <v>1339</v>
      </c>
      <c r="B6" s="112" t="s">
        <v>1340</v>
      </c>
      <c r="D6" s="112"/>
      <c r="H6" s="112"/>
      <c r="J6" s="113"/>
      <c r="L6" s="380"/>
      <c r="M6" s="846"/>
      <c r="O6" s="110"/>
    </row>
    <row r="7" spans="1:15" s="111" customFormat="1" ht="15.75" x14ac:dyDescent="0.25">
      <c r="A7" s="111" t="s">
        <v>1341</v>
      </c>
      <c r="B7" s="112" t="s">
        <v>1342</v>
      </c>
      <c r="D7" s="112"/>
      <c r="H7" s="112"/>
      <c r="J7" s="113"/>
      <c r="L7" s="380"/>
      <c r="M7" s="846"/>
      <c r="O7" s="110"/>
    </row>
    <row r="8" spans="1:15" s="111" customFormat="1" ht="15.75" x14ac:dyDescent="0.25">
      <c r="A8" s="111" t="s">
        <v>1343</v>
      </c>
      <c r="B8" s="112" t="s">
        <v>1344</v>
      </c>
      <c r="D8" s="112"/>
      <c r="H8" s="112"/>
      <c r="J8" s="113"/>
      <c r="L8" s="380"/>
      <c r="M8" s="846"/>
      <c r="O8" s="110"/>
    </row>
    <row r="9" spans="1:15" s="111" customFormat="1" ht="15.75" x14ac:dyDescent="0.25">
      <c r="B9" s="112"/>
      <c r="D9" s="112"/>
      <c r="H9" s="112"/>
      <c r="J9" s="113"/>
      <c r="L9" s="380"/>
      <c r="M9" s="846"/>
      <c r="O9" s="110"/>
    </row>
    <row r="10" spans="1:15" s="111" customFormat="1" ht="72.75" customHeight="1" x14ac:dyDescent="0.25">
      <c r="A10" s="114" t="s">
        <v>1295</v>
      </c>
      <c r="B10" s="2080" t="s">
        <v>1345</v>
      </c>
      <c r="C10" s="2080"/>
      <c r="D10" s="2080"/>
      <c r="E10" s="115" t="s">
        <v>1346</v>
      </c>
      <c r="F10" s="115" t="s">
        <v>1347</v>
      </c>
      <c r="G10" s="115" t="s">
        <v>2188</v>
      </c>
      <c r="H10" s="115" t="s">
        <v>1348</v>
      </c>
      <c r="I10" s="115" t="s">
        <v>1349</v>
      </c>
      <c r="J10" s="115" t="s">
        <v>1350</v>
      </c>
      <c r="K10" s="115" t="s">
        <v>464</v>
      </c>
      <c r="L10" s="2081" t="s">
        <v>1351</v>
      </c>
      <c r="M10" s="2081"/>
      <c r="N10" s="2081" t="s">
        <v>1352</v>
      </c>
      <c r="O10" s="2078" t="s">
        <v>1353</v>
      </c>
    </row>
    <row r="11" spans="1:15" s="111" customFormat="1" ht="15.75" x14ac:dyDescent="0.25">
      <c r="A11" s="116"/>
      <c r="B11" s="118" t="s">
        <v>1354</v>
      </c>
      <c r="C11" s="117"/>
      <c r="D11" s="118" t="s">
        <v>521</v>
      </c>
      <c r="E11" s="116"/>
      <c r="F11" s="116"/>
      <c r="G11" s="116"/>
      <c r="H11" s="121"/>
      <c r="I11" s="116"/>
      <c r="J11" s="119"/>
      <c r="K11" s="116"/>
      <c r="L11" s="381" t="s">
        <v>1356</v>
      </c>
      <c r="M11" s="117" t="s">
        <v>1357</v>
      </c>
      <c r="N11" s="2081"/>
      <c r="O11" s="2078"/>
    </row>
    <row r="12" spans="1:15" s="111" customFormat="1" ht="18" customHeight="1" x14ac:dyDescent="0.25">
      <c r="A12" s="117" t="s">
        <v>1358</v>
      </c>
      <c r="B12" s="118" t="s">
        <v>1359</v>
      </c>
      <c r="C12" s="117" t="s">
        <v>1360</v>
      </c>
      <c r="D12" s="118" t="s">
        <v>1361</v>
      </c>
      <c r="E12" s="117" t="s">
        <v>1362</v>
      </c>
      <c r="F12" s="117" t="s">
        <v>1363</v>
      </c>
      <c r="G12" s="117" t="s">
        <v>1364</v>
      </c>
      <c r="H12" s="118" t="s">
        <v>1365</v>
      </c>
      <c r="I12" s="117" t="s">
        <v>1366</v>
      </c>
      <c r="J12" s="114" t="s">
        <v>1367</v>
      </c>
      <c r="K12" s="117" t="s">
        <v>1368</v>
      </c>
      <c r="L12" s="381" t="s">
        <v>1369</v>
      </c>
      <c r="M12" s="117" t="s">
        <v>539</v>
      </c>
      <c r="N12" s="117" t="s">
        <v>1370</v>
      </c>
      <c r="O12" s="110" t="s">
        <v>1371</v>
      </c>
    </row>
    <row r="13" spans="1:15" ht="75" x14ac:dyDescent="0.25">
      <c r="A13" s="849">
        <v>2</v>
      </c>
      <c r="B13" s="850" t="str">
        <f>'BID II'!B7</f>
        <v>Pelaksanaan Pembangunan Desa</v>
      </c>
      <c r="C13" s="858">
        <v>1</v>
      </c>
      <c r="D13" s="850" t="str">
        <f>'BID II'!B9</f>
        <v>Penyelenggaraan PAUD/TK/TKA/ Madrasah Non Formal Milik Desa (Pengelolaan Taman Kanak - kanak  TK Kumara Sari VI )</v>
      </c>
      <c r="E13" s="1039" t="s">
        <v>2220</v>
      </c>
      <c r="F13" s="133" t="s">
        <v>1379</v>
      </c>
      <c r="G13" s="1038">
        <v>1</v>
      </c>
      <c r="H13" s="124" t="s">
        <v>1373</v>
      </c>
      <c r="I13" s="125" t="s">
        <v>1377</v>
      </c>
      <c r="J13" s="125" t="s">
        <v>2221</v>
      </c>
      <c r="K13" s="126" t="s">
        <v>2197</v>
      </c>
      <c r="L13" s="854">
        <f>'BID II'!F144</f>
        <v>237334529.18000001</v>
      </c>
      <c r="M13" s="268" t="s">
        <v>1375</v>
      </c>
      <c r="N13" s="268" t="s">
        <v>1376</v>
      </c>
    </row>
    <row r="14" spans="1:15" ht="63" x14ac:dyDescent="0.25">
      <c r="A14" s="849"/>
      <c r="B14" s="850"/>
      <c r="C14" s="858">
        <v>2</v>
      </c>
      <c r="D14" s="850" t="str">
        <f>'BID II'!B157</f>
        <v>: Penyuluhan dan Pelatihan Pendidikan Bagi Masyarakat ( Pelatihan Bahasa Bali Untuk Anak-Anak 7-12 Th )</v>
      </c>
      <c r="E14" s="1039" t="s">
        <v>2220</v>
      </c>
      <c r="F14" s="133" t="s">
        <v>2294</v>
      </c>
      <c r="G14" s="1038">
        <v>1</v>
      </c>
      <c r="H14" s="124" t="s">
        <v>1373</v>
      </c>
      <c r="I14" s="125" t="s">
        <v>1377</v>
      </c>
      <c r="J14" s="125" t="s">
        <v>2295</v>
      </c>
      <c r="K14" s="126" t="s">
        <v>2197</v>
      </c>
      <c r="L14" s="854">
        <f>'BID II'!F176</f>
        <v>9015000</v>
      </c>
      <c r="M14" s="268" t="s">
        <v>1375</v>
      </c>
      <c r="N14" s="268" t="s">
        <v>1376</v>
      </c>
    </row>
    <row r="15" spans="1:15" ht="75" x14ac:dyDescent="0.25">
      <c r="A15" s="849"/>
      <c r="B15" s="850"/>
      <c r="C15" s="858">
        <v>3</v>
      </c>
      <c r="D15" s="850" t="str">
        <f>'BID II'!B189</f>
        <v>: Penyuluhan dan Pelatihan Pendidikan Bagi Masyarakat ( Pembinaan dan Penyelenggaraan Bunda Literasi )</v>
      </c>
      <c r="E15" s="1039" t="s">
        <v>2220</v>
      </c>
      <c r="F15" s="133" t="s">
        <v>2335</v>
      </c>
      <c r="G15" s="1038">
        <v>1</v>
      </c>
      <c r="H15" s="124" t="s">
        <v>1373</v>
      </c>
      <c r="I15" s="125" t="s">
        <v>1377</v>
      </c>
      <c r="J15" s="125" t="s">
        <v>2336</v>
      </c>
      <c r="K15" s="126" t="s">
        <v>2197</v>
      </c>
      <c r="L15" s="854">
        <f>'BID II'!F213</f>
        <v>14178000</v>
      </c>
      <c r="M15" s="268" t="s">
        <v>1375</v>
      </c>
      <c r="N15" s="268" t="s">
        <v>1376</v>
      </c>
    </row>
    <row r="16" spans="1:15" ht="45.75" customHeight="1" x14ac:dyDescent="0.25">
      <c r="A16" s="849"/>
      <c r="B16" s="850"/>
      <c r="C16" s="858">
        <v>4</v>
      </c>
      <c r="D16" s="850" t="str">
        <f>'BID II'!B226</f>
        <v>Pemeliharaan Sarana dan Prasarana TK Milik Desa (Pemagaran)</v>
      </c>
      <c r="E16" s="1039" t="s">
        <v>2220</v>
      </c>
      <c r="F16" s="133" t="s">
        <v>1506</v>
      </c>
      <c r="G16" s="1038">
        <v>1</v>
      </c>
      <c r="H16" s="124" t="s">
        <v>1373</v>
      </c>
      <c r="I16" s="125" t="s">
        <v>1377</v>
      </c>
      <c r="J16" s="125" t="s">
        <v>2221</v>
      </c>
      <c r="K16" s="126" t="s">
        <v>2197</v>
      </c>
      <c r="L16" s="854">
        <f>'BID II'!F244</f>
        <v>15269700</v>
      </c>
      <c r="M16" s="268" t="s">
        <v>1375</v>
      </c>
      <c r="N16" s="268" t="s">
        <v>1376</v>
      </c>
    </row>
    <row r="17" spans="1:14" ht="57" customHeight="1" x14ac:dyDescent="0.25">
      <c r="A17" s="849"/>
      <c r="B17" s="850"/>
      <c r="C17" s="858">
        <v>5</v>
      </c>
      <c r="D17" s="850" t="str">
        <f>'BID II'!B258</f>
        <v>Pemeliharaan Sarana dan Prasarana TK Milik Desa (Cat Tembok Dalam)</v>
      </c>
      <c r="E17" s="1039" t="s">
        <v>2220</v>
      </c>
      <c r="F17" s="133" t="s">
        <v>1506</v>
      </c>
      <c r="G17" s="1038">
        <v>1</v>
      </c>
      <c r="H17" s="124" t="s">
        <v>1373</v>
      </c>
      <c r="I17" s="125" t="s">
        <v>1377</v>
      </c>
      <c r="J17" s="125" t="s">
        <v>2221</v>
      </c>
      <c r="K17" s="126" t="s">
        <v>2197</v>
      </c>
      <c r="L17" s="854">
        <f>'BID II'!F282</f>
        <v>5532000</v>
      </c>
      <c r="M17" s="268" t="s">
        <v>1375</v>
      </c>
      <c r="N17" s="268" t="s">
        <v>1376</v>
      </c>
    </row>
    <row r="18" spans="1:14" ht="43.5" customHeight="1" x14ac:dyDescent="0.25">
      <c r="A18" s="849"/>
      <c r="B18" s="850"/>
      <c r="C18" s="858">
        <v>6</v>
      </c>
      <c r="D18" s="850" t="str">
        <f>'BID II'!B295</f>
        <v>Pemeliharaan Sarana dan Prasarana TK Milik Desa (Lapis Water Proofig)</v>
      </c>
      <c r="E18" s="1039" t="s">
        <v>2220</v>
      </c>
      <c r="F18" s="133" t="s">
        <v>1506</v>
      </c>
      <c r="G18" s="1038">
        <v>1</v>
      </c>
      <c r="H18" s="124" t="s">
        <v>1373</v>
      </c>
      <c r="I18" s="125" t="s">
        <v>1377</v>
      </c>
      <c r="J18" s="125" t="s">
        <v>2221</v>
      </c>
      <c r="K18" s="126" t="s">
        <v>2197</v>
      </c>
      <c r="L18" s="854">
        <f>'BID II'!F318</f>
        <v>21546000</v>
      </c>
      <c r="M18" s="268" t="s">
        <v>1375</v>
      </c>
      <c r="N18" s="268" t="s">
        <v>1376</v>
      </c>
    </row>
    <row r="19" spans="1:14" ht="52.5" customHeight="1" x14ac:dyDescent="0.25">
      <c r="A19" s="849"/>
      <c r="B19" s="850"/>
      <c r="C19" s="858">
        <v>7</v>
      </c>
      <c r="D19" s="850" t="str">
        <f>'BID II'!B331</f>
        <v>Pemeliharaan Sarana dan Prasarana TK Milik Desa (Cat Plafon)</v>
      </c>
      <c r="E19" s="1039" t="s">
        <v>2220</v>
      </c>
      <c r="F19" s="133" t="s">
        <v>1506</v>
      </c>
      <c r="G19" s="1038">
        <v>1</v>
      </c>
      <c r="H19" s="124" t="s">
        <v>1373</v>
      </c>
      <c r="I19" s="125" t="s">
        <v>1377</v>
      </c>
      <c r="J19" s="125" t="s">
        <v>2221</v>
      </c>
      <c r="K19" s="126" t="s">
        <v>2197</v>
      </c>
      <c r="L19" s="854">
        <f>'BID II'!F356</f>
        <v>11123000</v>
      </c>
      <c r="M19" s="268" t="s">
        <v>1375</v>
      </c>
      <c r="N19" s="268" t="s">
        <v>1376</v>
      </c>
    </row>
    <row r="20" spans="1:14" ht="52.5" customHeight="1" x14ac:dyDescent="0.25">
      <c r="A20" s="849"/>
      <c r="B20" s="850"/>
      <c r="C20" s="858">
        <v>8</v>
      </c>
      <c r="D20" s="850" t="str">
        <f>'BID II'!B370</f>
        <v>Pemeliharaan Sarana dan Prasarana TK Milik Desa (Mural)</v>
      </c>
      <c r="E20" s="1039" t="s">
        <v>2220</v>
      </c>
      <c r="F20" s="133" t="s">
        <v>1506</v>
      </c>
      <c r="G20" s="1038">
        <v>1</v>
      </c>
      <c r="H20" s="124" t="s">
        <v>1373</v>
      </c>
      <c r="I20" s="125" t="s">
        <v>1377</v>
      </c>
      <c r="J20" s="125" t="s">
        <v>2221</v>
      </c>
      <c r="K20" s="126" t="s">
        <v>2197</v>
      </c>
      <c r="L20" s="854" t="e">
        <f>'BID I'!#REF!</f>
        <v>#REF!</v>
      </c>
      <c r="M20" s="268" t="s">
        <v>1375</v>
      </c>
      <c r="N20" s="268" t="s">
        <v>1376</v>
      </c>
    </row>
    <row r="21" spans="1:14" ht="47.25" x14ac:dyDescent="0.25">
      <c r="A21" s="32"/>
      <c r="B21" s="66"/>
      <c r="C21" s="858">
        <v>9</v>
      </c>
      <c r="D21" s="66" t="str">
        <f>'BID II'!B444</f>
        <v>: Penyelenggaraan Posyandu (Pemberian PMT)</v>
      </c>
      <c r="E21" s="1040">
        <v>3</v>
      </c>
      <c r="F21" s="133" t="s">
        <v>1426</v>
      </c>
      <c r="G21" s="1038">
        <v>1</v>
      </c>
      <c r="H21" s="124" t="s">
        <v>1373</v>
      </c>
      <c r="I21" s="125" t="s">
        <v>1377</v>
      </c>
      <c r="J21" s="125" t="s">
        <v>2221</v>
      </c>
      <c r="K21" s="126" t="s">
        <v>2197</v>
      </c>
      <c r="L21" s="470">
        <f>'BID II'!F483</f>
        <v>266295500</v>
      </c>
      <c r="M21" s="268" t="s">
        <v>1375</v>
      </c>
      <c r="N21" s="268" t="s">
        <v>1376</v>
      </c>
    </row>
    <row r="22" spans="1:14" ht="47.25" x14ac:dyDescent="0.25">
      <c r="A22" s="32"/>
      <c r="B22" s="66"/>
      <c r="C22" s="858">
        <v>10</v>
      </c>
      <c r="D22" s="66" t="str">
        <f>'BID II'!B496</f>
        <v>: Penyelenggaraan POSyandu (Pos Gizi dan Ibu Hamil)</v>
      </c>
      <c r="E22" s="1040">
        <v>3</v>
      </c>
      <c r="F22" s="133" t="s">
        <v>1426</v>
      </c>
      <c r="G22" s="1038">
        <v>1</v>
      </c>
      <c r="H22" s="124" t="s">
        <v>1373</v>
      </c>
      <c r="I22" s="125" t="s">
        <v>1377</v>
      </c>
      <c r="J22" s="125" t="s">
        <v>2204</v>
      </c>
      <c r="K22" s="126" t="s">
        <v>2197</v>
      </c>
      <c r="L22" s="470">
        <f>'BID II'!F518</f>
        <v>4140000</v>
      </c>
      <c r="M22" s="268" t="s">
        <v>1375</v>
      </c>
      <c r="N22" s="268" t="s">
        <v>1376</v>
      </c>
    </row>
    <row r="23" spans="1:14" ht="47.25" x14ac:dyDescent="0.25">
      <c r="A23" s="32"/>
      <c r="B23" s="66"/>
      <c r="C23" s="858">
        <v>11</v>
      </c>
      <c r="D23" s="66" t="str">
        <f>'BID II'!B531</f>
        <v>: Penyelenggaraan Posyandu Lansia (Pemberian tambahan nutrisi bagi lansia)</v>
      </c>
      <c r="E23" s="1040">
        <v>3</v>
      </c>
      <c r="F23" s="133" t="s">
        <v>1428</v>
      </c>
      <c r="G23" s="1038">
        <v>1</v>
      </c>
      <c r="H23" s="124" t="s">
        <v>1373</v>
      </c>
      <c r="I23" s="125" t="s">
        <v>2223</v>
      </c>
      <c r="J23" s="125" t="s">
        <v>2222</v>
      </c>
      <c r="K23" s="126" t="s">
        <v>2197</v>
      </c>
      <c r="L23" s="470">
        <f>'BID II'!F553</f>
        <v>104580000</v>
      </c>
      <c r="M23" s="268" t="s">
        <v>1375</v>
      </c>
      <c r="N23" s="268" t="s">
        <v>1376</v>
      </c>
    </row>
    <row r="24" spans="1:14" ht="63" x14ac:dyDescent="0.25">
      <c r="A24" s="32"/>
      <c r="B24" s="66"/>
      <c r="C24" s="858">
        <v>12</v>
      </c>
      <c r="D24" s="66" t="str">
        <f>'BID II'!B566</f>
        <v xml:space="preserve"> :Penyuluhan dan Pelatiah Bidang Kesehatan (Pendampingan calon pengantin Stunting)</v>
      </c>
      <c r="E24" s="1040">
        <v>3</v>
      </c>
      <c r="F24" s="133" t="s">
        <v>2224</v>
      </c>
      <c r="G24" s="1038">
        <v>1</v>
      </c>
      <c r="H24" s="124" t="s">
        <v>1373</v>
      </c>
      <c r="I24" s="125" t="s">
        <v>1566</v>
      </c>
      <c r="J24" s="125" t="s">
        <v>2225</v>
      </c>
      <c r="K24" s="126" t="s">
        <v>2197</v>
      </c>
      <c r="L24" s="470">
        <f>'BID II'!F596</f>
        <v>6877440</v>
      </c>
      <c r="M24" s="268" t="s">
        <v>1375</v>
      </c>
      <c r="N24" s="268" t="s">
        <v>1376</v>
      </c>
    </row>
    <row r="25" spans="1:14" ht="76.5" customHeight="1" x14ac:dyDescent="0.25">
      <c r="A25" s="32"/>
      <c r="B25" s="66"/>
      <c r="C25" s="858">
        <v>13</v>
      </c>
      <c r="D25" s="66" t="str">
        <f>'BID II'!B608</f>
        <v>Penyuluhan dan Pelatihan Bidang Kesehatan (PHBS)</v>
      </c>
      <c r="E25" s="1040">
        <v>3</v>
      </c>
      <c r="F25" s="133" t="s">
        <v>2300</v>
      </c>
      <c r="G25" s="1038">
        <v>1</v>
      </c>
      <c r="H25" s="124" t="s">
        <v>1373</v>
      </c>
      <c r="I25" s="125" t="s">
        <v>1377</v>
      </c>
      <c r="J25" s="125" t="s">
        <v>2301</v>
      </c>
      <c r="K25" s="126" t="s">
        <v>2197</v>
      </c>
      <c r="L25" s="470">
        <f>'BID II'!F637</f>
        <v>6460800</v>
      </c>
      <c r="M25" s="268" t="s">
        <v>1375</v>
      </c>
      <c r="N25" s="268" t="s">
        <v>1376</v>
      </c>
    </row>
    <row r="26" spans="1:14" ht="63" x14ac:dyDescent="0.25">
      <c r="A26" s="32" t="s">
        <v>521</v>
      </c>
      <c r="B26" s="66"/>
      <c r="C26" s="858">
        <v>14</v>
      </c>
      <c r="D26" s="66" t="str">
        <f>'BID II'!B650</f>
        <v>: Penyuluhan dan Pelatihan Bidang Kesehatan (Pembinaan Kader POSyandu)</v>
      </c>
      <c r="E26" s="1040">
        <v>3</v>
      </c>
      <c r="F26" s="133" t="s">
        <v>1429</v>
      </c>
      <c r="G26" s="1038">
        <v>1</v>
      </c>
      <c r="H26" s="124" t="s">
        <v>1373</v>
      </c>
      <c r="I26" s="125" t="s">
        <v>1377</v>
      </c>
      <c r="J26" s="125" t="s">
        <v>2226</v>
      </c>
      <c r="K26" s="126" t="s">
        <v>2197</v>
      </c>
      <c r="L26" s="470">
        <f>'BID II'!F685</f>
        <v>31525000</v>
      </c>
      <c r="M26" s="268" t="s">
        <v>1375</v>
      </c>
      <c r="N26" s="268" t="s">
        <v>1376</v>
      </c>
    </row>
    <row r="27" spans="1:14" ht="78.75" x14ac:dyDescent="0.25">
      <c r="A27" s="32"/>
      <c r="B27" s="66"/>
      <c r="C27" s="858">
        <v>15</v>
      </c>
      <c r="D27" s="66" t="str">
        <f>'BID II'!B697</f>
        <v>: Penyuluhan dan Pelatihan Bidang Kesehatan (Penyuluhan Narkoba dan HIV/AIDS)</v>
      </c>
      <c r="E27" s="1040">
        <v>3</v>
      </c>
      <c r="F27" s="133" t="s">
        <v>1431</v>
      </c>
      <c r="G27" s="1038">
        <v>1</v>
      </c>
      <c r="H27" s="124" t="s">
        <v>1373</v>
      </c>
      <c r="I27" s="125" t="s">
        <v>1377</v>
      </c>
      <c r="J27" s="126" t="s">
        <v>2200</v>
      </c>
      <c r="K27" s="126" t="s">
        <v>2197</v>
      </c>
      <c r="L27" s="470">
        <f>'BID II'!F731</f>
        <v>18340000</v>
      </c>
      <c r="M27" s="268" t="s">
        <v>1375</v>
      </c>
      <c r="N27" s="268" t="s">
        <v>1376</v>
      </c>
    </row>
    <row r="28" spans="1:14" ht="63" x14ac:dyDescent="0.25">
      <c r="A28" s="32"/>
      <c r="B28" s="66"/>
      <c r="C28" s="858">
        <v>16</v>
      </c>
      <c r="D28" s="66" t="str">
        <f>'BID II'!B744</f>
        <v>: Penyuluhan dan Pelatihan Bidang Kesehatan (Posbindu)</v>
      </c>
      <c r="E28" s="1040">
        <v>3</v>
      </c>
      <c r="F28" s="133" t="s">
        <v>1455</v>
      </c>
      <c r="G28" s="1038">
        <v>1</v>
      </c>
      <c r="H28" s="124" t="s">
        <v>1373</v>
      </c>
      <c r="I28" s="125" t="s">
        <v>1377</v>
      </c>
      <c r="J28" s="126" t="s">
        <v>2200</v>
      </c>
      <c r="K28" s="126" t="s">
        <v>2197</v>
      </c>
      <c r="L28" s="470">
        <f>'BID II'!F784</f>
        <v>19924087.09</v>
      </c>
      <c r="M28" s="268" t="s">
        <v>1375</v>
      </c>
      <c r="N28" s="268" t="s">
        <v>1376</v>
      </c>
    </row>
    <row r="29" spans="1:14" ht="94.5" x14ac:dyDescent="0.25">
      <c r="A29" s="32"/>
      <c r="B29" s="66"/>
      <c r="C29" s="858">
        <v>17</v>
      </c>
      <c r="D29" s="66" t="str">
        <f>'BID II'!B797</f>
        <v>: Penyuluhan dan Pelatihan Bidang Kesehatan (Penyuluhan KB)</v>
      </c>
      <c r="E29" s="1040">
        <v>3</v>
      </c>
      <c r="F29" s="133" t="s">
        <v>1456</v>
      </c>
      <c r="G29" s="1038">
        <v>1</v>
      </c>
      <c r="H29" s="124" t="s">
        <v>1373</v>
      </c>
      <c r="I29" s="125" t="s">
        <v>1377</v>
      </c>
      <c r="J29" s="125" t="s">
        <v>2227</v>
      </c>
      <c r="K29" s="126" t="s">
        <v>2197</v>
      </c>
      <c r="L29" s="470">
        <f>'BID II'!F838</f>
        <v>17635000</v>
      </c>
      <c r="M29" s="268" t="s">
        <v>1375</v>
      </c>
      <c r="N29" s="268" t="s">
        <v>1376</v>
      </c>
    </row>
    <row r="30" spans="1:14" ht="47.25" x14ac:dyDescent="0.25">
      <c r="A30" s="32"/>
      <c r="B30" s="66"/>
      <c r="C30" s="858">
        <v>18</v>
      </c>
      <c r="D30" s="66" t="str">
        <f>'BID II'!B852</f>
        <v>: Penyuluhan dan Pelatihan Bidang Kesehatan(Sosialisasi Germas)</v>
      </c>
      <c r="E30" s="1040"/>
      <c r="F30" s="133" t="s">
        <v>2414</v>
      </c>
      <c r="G30" s="1038">
        <v>1</v>
      </c>
      <c r="H30" s="124" t="s">
        <v>1373</v>
      </c>
      <c r="I30" s="125" t="s">
        <v>1377</v>
      </c>
      <c r="J30" s="125" t="s">
        <v>2227</v>
      </c>
      <c r="K30" s="126" t="s">
        <v>2197</v>
      </c>
      <c r="L30" s="470">
        <f>'BID II'!F869</f>
        <v>2070000</v>
      </c>
      <c r="M30" s="268" t="s">
        <v>1375</v>
      </c>
      <c r="N30" s="268" t="s">
        <v>1376</v>
      </c>
    </row>
    <row r="31" spans="1:14" ht="42.75" customHeight="1" x14ac:dyDescent="0.25">
      <c r="A31" s="66"/>
      <c r="B31" s="66"/>
      <c r="C31" s="858">
        <v>19</v>
      </c>
      <c r="D31" s="66" t="str">
        <f>'BID II'!B882</f>
        <v>: Penyuluhan dan Pelatihan Bidang Kesehatan (Desa Siaga Kesehatan)</v>
      </c>
      <c r="E31" s="1040">
        <v>3</v>
      </c>
      <c r="F31" s="133" t="s">
        <v>1457</v>
      </c>
      <c r="G31" s="1038">
        <v>1</v>
      </c>
      <c r="H31" s="124" t="s">
        <v>1373</v>
      </c>
      <c r="I31" s="125" t="s">
        <v>1408</v>
      </c>
      <c r="J31" s="125" t="s">
        <v>2228</v>
      </c>
      <c r="K31" s="126" t="s">
        <v>2197</v>
      </c>
      <c r="L31" s="851">
        <f>'BID II'!F914</f>
        <v>2592000</v>
      </c>
      <c r="M31" s="268" t="s">
        <v>1375</v>
      </c>
      <c r="N31" s="268" t="s">
        <v>1376</v>
      </c>
    </row>
    <row r="32" spans="1:14" ht="63.75" customHeight="1" x14ac:dyDescent="0.25">
      <c r="A32" s="66"/>
      <c r="B32" s="66"/>
      <c r="C32" s="858">
        <v>20</v>
      </c>
      <c r="D32" s="66" t="str">
        <f>'BID II'!B982</f>
        <v xml:space="preserve"> :  Pengasuhan Bersama atau Bina Keluarga Balita (Pelaksanaan Kegiatan Bina keluarga Balita BKB )</v>
      </c>
      <c r="E32" s="1040">
        <v>3</v>
      </c>
      <c r="F32" s="133" t="s">
        <v>1458</v>
      </c>
      <c r="G32" s="1038">
        <v>1</v>
      </c>
      <c r="H32" s="124" t="s">
        <v>1373</v>
      </c>
      <c r="I32" s="125" t="s">
        <v>1377</v>
      </c>
      <c r="J32" s="125" t="s">
        <v>2229</v>
      </c>
      <c r="K32" s="126" t="s">
        <v>2197</v>
      </c>
      <c r="L32" s="851">
        <f>'BID II'!F1009</f>
        <v>50145500</v>
      </c>
      <c r="M32" s="268" t="s">
        <v>1375</v>
      </c>
      <c r="N32" s="268" t="s">
        <v>1376</v>
      </c>
    </row>
    <row r="33" spans="1:14" ht="42.75" customHeight="1" x14ac:dyDescent="0.25">
      <c r="A33" s="66"/>
      <c r="B33" s="66"/>
      <c r="C33" s="858">
        <v>21</v>
      </c>
      <c r="D33" s="66" t="str">
        <f>'BID II'!B1021</f>
        <v xml:space="preserve"> :  Pengasuhan Bersama atau Bina Keluarga Lansia ( Pembinaan dan Penyelenggaraan BKL)</v>
      </c>
      <c r="E33" s="1040">
        <v>3</v>
      </c>
      <c r="F33" s="133" t="s">
        <v>1428</v>
      </c>
      <c r="G33" s="1038">
        <v>1</v>
      </c>
      <c r="H33" s="124" t="s">
        <v>1373</v>
      </c>
      <c r="I33" s="125" t="s">
        <v>1377</v>
      </c>
      <c r="J33" s="125">
        <v>6</v>
      </c>
      <c r="K33" s="126" t="s">
        <v>2197</v>
      </c>
      <c r="L33" s="851">
        <f>'BID II'!F1063</f>
        <v>9990000</v>
      </c>
      <c r="M33" s="268" t="s">
        <v>1375</v>
      </c>
      <c r="N33" s="268" t="s">
        <v>1376</v>
      </c>
    </row>
    <row r="34" spans="1:14" ht="42.75" customHeight="1" x14ac:dyDescent="0.25">
      <c r="A34" s="66"/>
      <c r="B34" s="66"/>
      <c r="C34" s="858">
        <v>22</v>
      </c>
      <c r="D34" s="66" t="str">
        <f>'BID II'!B1076</f>
        <v>: Pengasuhan Bersama atau Bina Keluarga Balita (Pembinaan Kader BKB)</v>
      </c>
      <c r="E34" s="1040">
        <v>3</v>
      </c>
      <c r="F34" s="133" t="s">
        <v>1458</v>
      </c>
      <c r="G34" s="1038">
        <v>1</v>
      </c>
      <c r="H34" s="124" t="s">
        <v>1373</v>
      </c>
      <c r="I34" s="125" t="s">
        <v>1377</v>
      </c>
      <c r="J34" s="125" t="s">
        <v>2229</v>
      </c>
      <c r="K34" s="126" t="s">
        <v>2197</v>
      </c>
      <c r="L34" s="851">
        <f>'BID II'!F1114</f>
        <v>18283000</v>
      </c>
      <c r="M34" s="268" t="s">
        <v>1375</v>
      </c>
      <c r="N34" s="268" t="s">
        <v>1376</v>
      </c>
    </row>
    <row r="35" spans="1:14" ht="71.25" customHeight="1" x14ac:dyDescent="0.25">
      <c r="A35" s="66"/>
      <c r="B35" s="66"/>
      <c r="C35" s="858">
        <v>23</v>
      </c>
      <c r="D35" s="66" t="str">
        <f>'BID II'!B1127</f>
        <v xml:space="preserve"> :  Pengasuhan Bersama atau Bina Keluarga Balita (Pembinaan Kegiatan Bina keluarga Remaja BKR )</v>
      </c>
      <c r="E35" s="1040">
        <v>3</v>
      </c>
      <c r="F35" s="66"/>
      <c r="G35" s="984">
        <v>1</v>
      </c>
      <c r="H35" s="66" t="s">
        <v>1373</v>
      </c>
      <c r="I35" s="66"/>
      <c r="J35" s="66"/>
      <c r="K35" s="66"/>
      <c r="L35" s="851">
        <f>'BID II'!F1161</f>
        <v>4875000</v>
      </c>
      <c r="M35" s="268" t="s">
        <v>1375</v>
      </c>
      <c r="N35" s="268" t="s">
        <v>1376</v>
      </c>
    </row>
    <row r="36" spans="1:14" ht="71.25" customHeight="1" x14ac:dyDescent="0.25">
      <c r="A36" s="66"/>
      <c r="B36" s="66"/>
      <c r="C36" s="858">
        <v>24</v>
      </c>
      <c r="D36" s="66" t="str">
        <f>'BID II'!B1173</f>
        <v xml:space="preserve"> :  Pengasuhan Bersama atau Bina Keluarga Remaja (Penyelenggaraan BKR)</v>
      </c>
      <c r="E36" s="1040">
        <v>3</v>
      </c>
      <c r="F36" s="133" t="s">
        <v>1459</v>
      </c>
      <c r="G36" s="1038">
        <v>1</v>
      </c>
      <c r="H36" s="124" t="s">
        <v>1373</v>
      </c>
      <c r="I36" s="125" t="s">
        <v>1377</v>
      </c>
      <c r="J36" s="125" t="s">
        <v>2230</v>
      </c>
      <c r="K36" s="126" t="s">
        <v>2197</v>
      </c>
      <c r="L36" s="851">
        <f>'BID II'!F1193</f>
        <v>7471000</v>
      </c>
      <c r="M36" s="268"/>
      <c r="N36" s="268"/>
    </row>
    <row r="37" spans="1:14" ht="42.75" customHeight="1" x14ac:dyDescent="0.25">
      <c r="A37" s="66"/>
      <c r="B37" s="66"/>
      <c r="C37" s="858">
        <v>25</v>
      </c>
      <c r="D37" s="66" t="str">
        <f>'BID II'!B1208</f>
        <v>:Penyelenggaraan Pembinaan dan Lomba Balita Sehat</v>
      </c>
      <c r="E37" s="1041">
        <v>3</v>
      </c>
      <c r="F37" s="133" t="s">
        <v>1461</v>
      </c>
      <c r="G37" s="1038">
        <v>1</v>
      </c>
      <c r="H37" s="124" t="s">
        <v>1373</v>
      </c>
      <c r="I37" s="125" t="s">
        <v>1377</v>
      </c>
      <c r="J37" s="125" t="s">
        <v>2231</v>
      </c>
      <c r="K37" s="126" t="s">
        <v>2197</v>
      </c>
      <c r="L37" s="851">
        <f>'BID II'!F1257</f>
        <v>13205000</v>
      </c>
      <c r="M37" s="268" t="s">
        <v>1375</v>
      </c>
      <c r="N37" s="268" t="s">
        <v>1376</v>
      </c>
    </row>
    <row r="38" spans="1:14" ht="42.75" customHeight="1" x14ac:dyDescent="0.25">
      <c r="A38" s="66"/>
      <c r="B38" s="66"/>
      <c r="C38" s="858">
        <v>26</v>
      </c>
      <c r="D38" s="66" t="str">
        <f>'BID II'!B1270</f>
        <v>:  Foging Fokus</v>
      </c>
      <c r="E38" s="1041">
        <v>3</v>
      </c>
      <c r="F38" s="133" t="s">
        <v>1462</v>
      </c>
      <c r="G38" s="1038">
        <v>1</v>
      </c>
      <c r="H38" s="124" t="s">
        <v>1373</v>
      </c>
      <c r="I38" s="125" t="s">
        <v>1568</v>
      </c>
      <c r="J38" s="126" t="s">
        <v>2200</v>
      </c>
      <c r="K38" s="126" t="s">
        <v>2197</v>
      </c>
      <c r="L38" s="851">
        <f>'BID II'!F1303</f>
        <v>42360000</v>
      </c>
      <c r="M38" s="268" t="s">
        <v>1375</v>
      </c>
      <c r="N38" s="268" t="s">
        <v>1376</v>
      </c>
    </row>
    <row r="39" spans="1:14" ht="42.75" customHeight="1" x14ac:dyDescent="0.25">
      <c r="A39" s="66"/>
      <c r="B39" s="66"/>
      <c r="C39" s="858">
        <v>27</v>
      </c>
      <c r="D39" s="66" t="str">
        <f>'BID II'!B1316</f>
        <v>: Gerakan Serentak PSN dan Lomba PSN</v>
      </c>
      <c r="E39" s="1041">
        <v>3</v>
      </c>
      <c r="F39" s="133" t="s">
        <v>1462</v>
      </c>
      <c r="G39" s="1038">
        <v>1</v>
      </c>
      <c r="H39" s="124" t="s">
        <v>1373</v>
      </c>
      <c r="I39" s="125" t="s">
        <v>1377</v>
      </c>
      <c r="J39" s="126" t="s">
        <v>2200</v>
      </c>
      <c r="K39" s="126" t="s">
        <v>2197</v>
      </c>
      <c r="L39" s="851">
        <f>'BID II'!F1371</f>
        <v>45123000</v>
      </c>
      <c r="M39" s="268" t="s">
        <v>1375</v>
      </c>
      <c r="N39" s="268" t="s">
        <v>1376</v>
      </c>
    </row>
    <row r="40" spans="1:14" ht="42.75" customHeight="1" x14ac:dyDescent="0.25">
      <c r="A40" s="66"/>
      <c r="B40" s="66"/>
      <c r="C40" s="858">
        <v>28</v>
      </c>
      <c r="D40" s="66" t="str">
        <f>'BID II'!B1384</f>
        <v xml:space="preserve">Penyelengggaraan TPPS Desa </v>
      </c>
      <c r="E40" s="1041">
        <v>3</v>
      </c>
      <c r="F40" s="66" t="s">
        <v>2232</v>
      </c>
      <c r="G40" s="984">
        <v>1</v>
      </c>
      <c r="H40" s="66" t="s">
        <v>1373</v>
      </c>
      <c r="I40" s="351" t="s">
        <v>2207</v>
      </c>
      <c r="J40" s="126" t="s">
        <v>2200</v>
      </c>
      <c r="K40" s="126" t="s">
        <v>2197</v>
      </c>
      <c r="L40" s="851">
        <f>'BID II'!F1413</f>
        <v>6108500</v>
      </c>
      <c r="M40" s="268" t="s">
        <v>1375</v>
      </c>
      <c r="N40" s="268" t="s">
        <v>1376</v>
      </c>
    </row>
    <row r="41" spans="1:14" ht="68.25" customHeight="1" x14ac:dyDescent="0.25">
      <c r="A41" s="66"/>
      <c r="B41" s="66"/>
      <c r="C41" s="858">
        <v>29</v>
      </c>
      <c r="D41" s="66" t="str">
        <f>'BID II'!B1425</f>
        <v>: Rembuk Stunting</v>
      </c>
      <c r="E41" s="1041">
        <v>3</v>
      </c>
      <c r="F41" s="66" t="s">
        <v>2233</v>
      </c>
      <c r="G41" s="984">
        <v>1</v>
      </c>
      <c r="H41" s="66" t="s">
        <v>1373</v>
      </c>
      <c r="I41" s="351" t="s">
        <v>1414</v>
      </c>
      <c r="J41" s="126" t="s">
        <v>2200</v>
      </c>
      <c r="K41" s="126" t="s">
        <v>2197</v>
      </c>
      <c r="L41" s="851">
        <f>'BID II'!F1453</f>
        <v>3160000</v>
      </c>
      <c r="M41" s="268"/>
      <c r="N41" s="268"/>
    </row>
    <row r="42" spans="1:14" ht="57" customHeight="1" x14ac:dyDescent="0.25">
      <c r="A42" s="66"/>
      <c r="B42" s="66"/>
      <c r="C42" s="858">
        <v>30</v>
      </c>
      <c r="D42" s="66" t="str">
        <f>'BID II'!B1467</f>
        <v>: Pembinaan Posyandu Remaja</v>
      </c>
      <c r="E42" s="1041">
        <v>3</v>
      </c>
      <c r="F42" s="133" t="s">
        <v>1424</v>
      </c>
      <c r="G42" s="1038">
        <v>1</v>
      </c>
      <c r="H42" s="124" t="s">
        <v>1373</v>
      </c>
      <c r="I42" s="125" t="s">
        <v>1408</v>
      </c>
      <c r="J42" s="125" t="s">
        <v>2204</v>
      </c>
      <c r="K42" s="126" t="s">
        <v>2197</v>
      </c>
      <c r="L42" s="851">
        <f>'BID II'!F1493</f>
        <v>3526500</v>
      </c>
      <c r="M42" s="268"/>
      <c r="N42" s="268"/>
    </row>
    <row r="43" spans="1:14" ht="42.75" customHeight="1" x14ac:dyDescent="0.25">
      <c r="A43" s="66"/>
      <c r="B43" s="66"/>
      <c r="C43" s="858">
        <v>31</v>
      </c>
      <c r="D43" s="66" t="str">
        <f>'BID II'!B1505</f>
        <v>Penyelenggaraan Posyandu Remaja</v>
      </c>
      <c r="E43" s="1041">
        <v>3</v>
      </c>
      <c r="F43" s="133" t="s">
        <v>1424</v>
      </c>
      <c r="G43" s="1038">
        <v>1</v>
      </c>
      <c r="H43" s="124" t="s">
        <v>1373</v>
      </c>
      <c r="I43" s="125" t="s">
        <v>1408</v>
      </c>
      <c r="J43" s="125" t="s">
        <v>2204</v>
      </c>
      <c r="K43" s="126" t="s">
        <v>2197</v>
      </c>
      <c r="L43" s="851">
        <f>'BID II'!F1531</f>
        <v>35530000</v>
      </c>
      <c r="M43" s="268" t="s">
        <v>1375</v>
      </c>
      <c r="N43" s="268" t="s">
        <v>1376</v>
      </c>
    </row>
    <row r="44" spans="1:14" ht="51" customHeight="1" x14ac:dyDescent="0.25">
      <c r="A44" s="66"/>
      <c r="B44" s="66"/>
      <c r="C44" s="858">
        <v>32</v>
      </c>
      <c r="D44" s="66" t="str">
        <f>'BID II'!B1545</f>
        <v>Pemeliharaan Jalan Lingkungan Permukiman/Gang Sekar Gunung</v>
      </c>
      <c r="E44" s="1041">
        <v>9</v>
      </c>
      <c r="F44" s="66" t="s">
        <v>2234</v>
      </c>
      <c r="G44" s="984">
        <v>1</v>
      </c>
      <c r="H44" s="66" t="s">
        <v>1373</v>
      </c>
      <c r="I44" s="355" t="s">
        <v>2235</v>
      </c>
      <c r="J44" s="126" t="s">
        <v>2200</v>
      </c>
      <c r="K44" s="126" t="s">
        <v>2197</v>
      </c>
      <c r="L44" s="851">
        <f>'BID II'!F1569</f>
        <v>85218000</v>
      </c>
      <c r="M44" s="268" t="s">
        <v>1375</v>
      </c>
      <c r="N44" s="268" t="s">
        <v>1376</v>
      </c>
    </row>
    <row r="45" spans="1:14" ht="42.75" customHeight="1" x14ac:dyDescent="0.25">
      <c r="A45" s="66"/>
      <c r="B45" s="66"/>
      <c r="C45" s="858">
        <v>33</v>
      </c>
      <c r="D45" s="66" t="str">
        <f>'BID II'!B2024</f>
        <v>: Kegiatan Pengelolaan Sampah Tingkat Desa</v>
      </c>
      <c r="E45" s="1041" t="s">
        <v>2219</v>
      </c>
      <c r="F45" s="133" t="s">
        <v>1466</v>
      </c>
      <c r="G45" s="1038">
        <v>1</v>
      </c>
      <c r="H45" s="124" t="s">
        <v>1373</v>
      </c>
      <c r="I45" s="125" t="s">
        <v>1408</v>
      </c>
      <c r="J45" s="126" t="s">
        <v>2200</v>
      </c>
      <c r="K45" s="126" t="s">
        <v>2197</v>
      </c>
      <c r="L45" s="851">
        <f>'BID II'!F2147</f>
        <v>670230300</v>
      </c>
      <c r="M45" s="268" t="s">
        <v>1375</v>
      </c>
      <c r="N45" s="268" t="s">
        <v>1376</v>
      </c>
    </row>
    <row r="46" spans="1:14" ht="61.5" customHeight="1" x14ac:dyDescent="0.25">
      <c r="A46" s="66"/>
      <c r="B46" s="66"/>
      <c r="C46" s="858">
        <v>34</v>
      </c>
      <c r="D46" s="66" t="str">
        <f>'BID II'!B2162</f>
        <v>: Pemeiliharaan Fasilitas Pengelolaan Sampah Desa/ Pemukiman ( Operasional Kegiatan Bank Sampah Desa)</v>
      </c>
      <c r="E46" s="1041" t="s">
        <v>2219</v>
      </c>
      <c r="F46" s="133" t="s">
        <v>1469</v>
      </c>
      <c r="G46" s="1038">
        <v>1</v>
      </c>
      <c r="H46" s="124" t="s">
        <v>1373</v>
      </c>
      <c r="I46" s="125" t="s">
        <v>1408</v>
      </c>
      <c r="J46" s="126" t="s">
        <v>2200</v>
      </c>
      <c r="K46" s="126" t="s">
        <v>2197</v>
      </c>
      <c r="L46" s="851">
        <f>'BID II'!F2195</f>
        <v>38177800</v>
      </c>
      <c r="M46" s="268" t="s">
        <v>1375</v>
      </c>
      <c r="N46" s="268" t="s">
        <v>1376</v>
      </c>
    </row>
    <row r="47" spans="1:14" ht="84.75" customHeight="1" x14ac:dyDescent="0.25">
      <c r="A47" s="66"/>
      <c r="B47" s="66"/>
      <c r="C47" s="858">
        <v>35</v>
      </c>
      <c r="D47" s="66" t="str">
        <f>'BID II'!B2209</f>
        <v>: Operasional Tim Kebersihan Lingkungan</v>
      </c>
      <c r="E47" s="1041" t="s">
        <v>2219</v>
      </c>
      <c r="F47" s="133" t="s">
        <v>1470</v>
      </c>
      <c r="G47" s="1038">
        <v>1</v>
      </c>
      <c r="H47" s="124" t="s">
        <v>1373</v>
      </c>
      <c r="I47" s="125" t="s">
        <v>1408</v>
      </c>
      <c r="J47" s="126" t="s">
        <v>2236</v>
      </c>
      <c r="K47" s="126" t="s">
        <v>2197</v>
      </c>
      <c r="L47" s="851">
        <f>'BID II'!F2243</f>
        <v>110956000</v>
      </c>
      <c r="M47" s="268" t="s">
        <v>1375</v>
      </c>
      <c r="N47" s="268" t="s">
        <v>1376</v>
      </c>
    </row>
    <row r="48" spans="1:14" ht="84.75" customHeight="1" x14ac:dyDescent="0.25">
      <c r="A48" s="848"/>
      <c r="B48" s="848"/>
      <c r="C48" s="858">
        <v>36</v>
      </c>
      <c r="D48" s="848" t="e">
        <f>'BID II'!#REF!</f>
        <v>#REF!</v>
      </c>
      <c r="E48" s="1041" t="s">
        <v>2219</v>
      </c>
      <c r="F48" s="133" t="s">
        <v>2474</v>
      </c>
      <c r="G48" s="1038">
        <v>1</v>
      </c>
      <c r="H48" s="124" t="s">
        <v>1373</v>
      </c>
      <c r="I48" s="125" t="s">
        <v>1408</v>
      </c>
      <c r="J48" s="126" t="s">
        <v>2200</v>
      </c>
      <c r="K48" s="126" t="s">
        <v>2197</v>
      </c>
      <c r="L48" s="855" t="e">
        <f>'BID II'!#REF!</f>
        <v>#REF!</v>
      </c>
      <c r="M48" s="268" t="s">
        <v>1375</v>
      </c>
      <c r="N48" s="268" t="s">
        <v>1376</v>
      </c>
    </row>
    <row r="49" spans="1:14" ht="84.75" customHeight="1" x14ac:dyDescent="0.25">
      <c r="A49" s="848"/>
      <c r="B49" s="848"/>
      <c r="C49" s="858">
        <v>37</v>
      </c>
      <c r="D49" s="848" t="str">
        <f>'BID II'!B2257</f>
        <v>Pemeliharaan taman Milik Desa (Biopori dan Penataan Taman di Patung Petani, depan kertapala)</v>
      </c>
      <c r="E49" s="1041" t="s">
        <v>2219</v>
      </c>
      <c r="F49" s="133" t="s">
        <v>2317</v>
      </c>
      <c r="G49" s="1038">
        <v>1</v>
      </c>
      <c r="H49" s="124" t="s">
        <v>1373</v>
      </c>
      <c r="I49" s="125" t="s">
        <v>1377</v>
      </c>
      <c r="J49" s="126" t="s">
        <v>2200</v>
      </c>
      <c r="K49" s="126" t="s">
        <v>2197</v>
      </c>
      <c r="L49" s="855">
        <f>'BID II'!F2280</f>
        <v>43645000</v>
      </c>
      <c r="M49" s="268" t="s">
        <v>1375</v>
      </c>
      <c r="N49" s="268" t="s">
        <v>1376</v>
      </c>
    </row>
    <row r="50" spans="1:14" ht="79.5" customHeight="1" x14ac:dyDescent="0.25">
      <c r="A50" s="66"/>
      <c r="B50" s="66"/>
      <c r="C50" s="858">
        <v>38</v>
      </c>
      <c r="D50" s="66" t="e">
        <f>'BID II'!#REF!</f>
        <v>#REF!</v>
      </c>
      <c r="E50" s="1041">
        <v>9</v>
      </c>
      <c r="F50" s="66" t="s">
        <v>2267</v>
      </c>
      <c r="G50" s="984">
        <v>1</v>
      </c>
      <c r="H50" s="66" t="s">
        <v>1373</v>
      </c>
      <c r="I50" s="355" t="s">
        <v>2268</v>
      </c>
      <c r="J50" s="126" t="s">
        <v>2200</v>
      </c>
      <c r="K50" s="126" t="s">
        <v>2197</v>
      </c>
      <c r="L50" s="851" t="e">
        <f>'BID II'!#REF!</f>
        <v>#REF!</v>
      </c>
      <c r="M50" s="268" t="s">
        <v>1375</v>
      </c>
      <c r="N50" s="268" t="s">
        <v>1376</v>
      </c>
    </row>
    <row r="51" spans="1:14" ht="65.25" customHeight="1" x14ac:dyDescent="0.25">
      <c r="A51" s="66"/>
      <c r="B51" s="66"/>
      <c r="C51" s="858">
        <v>39</v>
      </c>
      <c r="D51" s="66" t="e">
        <f>'BID II'!#REF!</f>
        <v>#REF!</v>
      </c>
      <c r="E51" s="1041">
        <v>9</v>
      </c>
      <c r="F51" s="66" t="s">
        <v>2267</v>
      </c>
      <c r="G51" s="984">
        <v>1</v>
      </c>
      <c r="H51" s="66" t="s">
        <v>1373</v>
      </c>
      <c r="I51" s="355" t="s">
        <v>2269</v>
      </c>
      <c r="J51" s="126" t="s">
        <v>2200</v>
      </c>
      <c r="K51" s="126" t="s">
        <v>2197</v>
      </c>
      <c r="L51" s="851" t="e">
        <f>'BID II'!#REF!</f>
        <v>#REF!</v>
      </c>
      <c r="M51" s="268" t="s">
        <v>1375</v>
      </c>
      <c r="N51" s="268" t="s">
        <v>1376</v>
      </c>
    </row>
    <row r="52" spans="1:14" ht="78" customHeight="1" x14ac:dyDescent="0.25">
      <c r="A52" s="66"/>
      <c r="B52" s="66"/>
      <c r="C52" s="858">
        <v>40</v>
      </c>
      <c r="D52" s="66" t="e">
        <f>'BID II'!#REF!</f>
        <v>#REF!</v>
      </c>
      <c r="E52" s="1041"/>
      <c r="F52" s="66" t="s">
        <v>2270</v>
      </c>
      <c r="G52" s="984">
        <v>1</v>
      </c>
      <c r="H52" s="66" t="s">
        <v>1373</v>
      </c>
      <c r="I52" s="355" t="s">
        <v>2271</v>
      </c>
      <c r="J52" s="126" t="s">
        <v>2200</v>
      </c>
      <c r="K52" s="126" t="s">
        <v>2197</v>
      </c>
      <c r="L52" s="851" t="e">
        <f>'BID II'!#REF!</f>
        <v>#REF!</v>
      </c>
      <c r="M52" s="268" t="s">
        <v>1375</v>
      </c>
      <c r="N52" s="268" t="s">
        <v>1376</v>
      </c>
    </row>
    <row r="53" spans="1:14" ht="75.75" customHeight="1" x14ac:dyDescent="0.25">
      <c r="A53" s="849"/>
      <c r="B53" s="850"/>
      <c r="C53" s="858">
        <v>41</v>
      </c>
      <c r="D53" s="850" t="str">
        <f>'BID II'!B400</f>
        <v>:Peningkatan Sarana Prasarana Perpustakaan/Taman Bacaan Desa/ Sanggar Belajar Milik Desa (Perpustakaan Desa, Digital dan keliling)</v>
      </c>
      <c r="E53" s="1039" t="s">
        <v>2220</v>
      </c>
      <c r="F53" s="133" t="s">
        <v>2375</v>
      </c>
      <c r="G53" s="1038">
        <v>1</v>
      </c>
      <c r="H53" s="124" t="s">
        <v>1373</v>
      </c>
      <c r="I53" s="125" t="s">
        <v>1377</v>
      </c>
      <c r="J53" s="126" t="s">
        <v>2200</v>
      </c>
      <c r="K53" s="126" t="s">
        <v>2197</v>
      </c>
      <c r="L53" s="854">
        <f>'BID II'!F431</f>
        <v>196621400</v>
      </c>
      <c r="M53" s="268" t="s">
        <v>1375</v>
      </c>
      <c r="N53" s="268" t="s">
        <v>1376</v>
      </c>
    </row>
    <row r="54" spans="1:14" ht="42.75" customHeight="1" thickBot="1" x14ac:dyDescent="0.3">
      <c r="A54" s="848"/>
      <c r="B54" s="848"/>
      <c r="C54" s="858">
        <v>42</v>
      </c>
      <c r="D54" s="848" t="str">
        <f>'BID II'!B2296</f>
        <v>: Penyelenggaraan Informasi Publik Desa ( Pembuatan dan Pemasangan Baliho APBDesa )</v>
      </c>
      <c r="E54" s="1042">
        <v>16</v>
      </c>
      <c r="F54" s="133" t="s">
        <v>1472</v>
      </c>
      <c r="G54" s="1038">
        <v>1</v>
      </c>
      <c r="H54" s="124" t="s">
        <v>1373</v>
      </c>
      <c r="I54" s="125" t="s">
        <v>1377</v>
      </c>
      <c r="J54" s="126" t="s">
        <v>2200</v>
      </c>
      <c r="K54" s="126" t="s">
        <v>2197</v>
      </c>
      <c r="L54" s="855">
        <f>'BID II'!F2306</f>
        <v>3000000</v>
      </c>
      <c r="M54" s="268" t="s">
        <v>1375</v>
      </c>
      <c r="N54" s="268" t="s">
        <v>1376</v>
      </c>
    </row>
    <row r="55" spans="1:14" x14ac:dyDescent="0.25">
      <c r="A55" s="2075" t="s">
        <v>1909</v>
      </c>
      <c r="B55" s="2076"/>
      <c r="C55" s="2076"/>
      <c r="D55" s="2076"/>
      <c r="E55" s="2076"/>
      <c r="F55" s="2076"/>
      <c r="G55" s="2076"/>
      <c r="H55" s="2076"/>
      <c r="I55" s="2076"/>
      <c r="J55" s="2076"/>
      <c r="K55" s="2077"/>
      <c r="L55" s="857" t="e">
        <f>SUM(L13:L54)</f>
        <v>#REF!</v>
      </c>
      <c r="M55" s="985"/>
      <c r="N55" s="251"/>
    </row>
  </sheetData>
  <mergeCells count="8">
    <mergeCell ref="O10:O11"/>
    <mergeCell ref="A55:K55"/>
    <mergeCell ref="A1:N1"/>
    <mergeCell ref="A2:N2"/>
    <mergeCell ref="A3:N3"/>
    <mergeCell ref="B10:D10"/>
    <mergeCell ref="L10:M10"/>
    <mergeCell ref="N10:N11"/>
  </mergeCells>
  <pageMargins left="0.7" right="1.45" top="0.75" bottom="0.75" header="0.3" footer="0.3"/>
  <pageSetup paperSize="5" scale="60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O37"/>
  <sheetViews>
    <sheetView topLeftCell="C32" workbookViewId="0">
      <selection activeCell="L35" sqref="L35"/>
    </sheetView>
  </sheetViews>
  <sheetFormatPr defaultRowHeight="15" x14ac:dyDescent="0.25"/>
  <cols>
    <col min="1" max="1" width="13.7109375" customWidth="1"/>
    <col min="2" max="2" width="24.140625" customWidth="1"/>
    <col min="3" max="3" width="4.42578125" customWidth="1"/>
    <col min="4" max="4" width="29.5703125" customWidth="1"/>
    <col min="5" max="5" width="31.570312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customWidth="1"/>
    <col min="13" max="13" width="12.85546875" customWidth="1"/>
    <col min="14" max="14" width="27.42578125" customWidth="1"/>
    <col min="15" max="15" width="21.5703125" customWidth="1"/>
  </cols>
  <sheetData>
    <row r="1" spans="1:15" s="111" customFormat="1" ht="29.25" customHeight="1" x14ac:dyDescent="0.25">
      <c r="A1" s="2079" t="s">
        <v>2478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110"/>
    </row>
    <row r="2" spans="1:15" s="111" customFormat="1" ht="29.25" customHeight="1" x14ac:dyDescent="0.25">
      <c r="A2" s="2079" t="s">
        <v>1336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110"/>
    </row>
    <row r="3" spans="1:15" s="111" customFormat="1" ht="23.25" customHeight="1" x14ac:dyDescent="0.25">
      <c r="A3" s="2079" t="s">
        <v>1912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110"/>
    </row>
    <row r="4" spans="1:15" s="111" customFormat="1" ht="15.75" x14ac:dyDescent="0.25">
      <c r="B4" s="112"/>
      <c r="D4" s="112"/>
      <c r="H4" s="112"/>
      <c r="J4" s="113"/>
      <c r="L4" s="380"/>
      <c r="M4" s="846"/>
      <c r="O4" s="110"/>
    </row>
    <row r="5" spans="1:15" s="111" customFormat="1" ht="31.5" x14ac:dyDescent="0.25">
      <c r="A5" s="111" t="s">
        <v>1337</v>
      </c>
      <c r="B5" s="112" t="s">
        <v>1338</v>
      </c>
      <c r="D5" s="112"/>
      <c r="H5" s="112"/>
      <c r="J5" s="113"/>
      <c r="L5" s="380"/>
      <c r="M5" s="846"/>
      <c r="O5" s="110"/>
    </row>
    <row r="6" spans="1:15" s="111" customFormat="1" ht="31.5" x14ac:dyDescent="0.25">
      <c r="A6" s="111" t="s">
        <v>1339</v>
      </c>
      <c r="B6" s="112" t="s">
        <v>1340</v>
      </c>
      <c r="D6" s="112"/>
      <c r="H6" s="112"/>
      <c r="J6" s="113"/>
      <c r="L6" s="380"/>
      <c r="M6" s="846"/>
      <c r="O6" s="110"/>
    </row>
    <row r="7" spans="1:15" s="111" customFormat="1" ht="15.75" x14ac:dyDescent="0.25">
      <c r="A7" s="111" t="s">
        <v>1341</v>
      </c>
      <c r="B7" s="112" t="s">
        <v>1342</v>
      </c>
      <c r="D7" s="112"/>
      <c r="H7" s="112"/>
      <c r="J7" s="113"/>
      <c r="L7" s="380"/>
      <c r="M7" s="846"/>
      <c r="O7" s="110"/>
    </row>
    <row r="8" spans="1:15" s="111" customFormat="1" ht="15.75" x14ac:dyDescent="0.25">
      <c r="A8" s="111" t="s">
        <v>1343</v>
      </c>
      <c r="B8" s="112" t="s">
        <v>1344</v>
      </c>
      <c r="D8" s="112"/>
      <c r="H8" s="112"/>
      <c r="J8" s="113"/>
      <c r="L8" s="380"/>
      <c r="M8" s="846"/>
      <c r="O8" s="110"/>
    </row>
    <row r="9" spans="1:15" s="111" customFormat="1" ht="15.75" x14ac:dyDescent="0.25">
      <c r="B9" s="112"/>
      <c r="D9" s="112"/>
      <c r="H9" s="112"/>
      <c r="J9" s="113"/>
      <c r="L9" s="380"/>
      <c r="M9" s="846"/>
      <c r="O9" s="110"/>
    </row>
    <row r="10" spans="1:15" s="111" customFormat="1" ht="72.75" customHeight="1" x14ac:dyDescent="0.25">
      <c r="A10" s="114" t="s">
        <v>1295</v>
      </c>
      <c r="B10" s="2080" t="s">
        <v>1345</v>
      </c>
      <c r="C10" s="2080"/>
      <c r="D10" s="2080"/>
      <c r="E10" s="115" t="s">
        <v>1346</v>
      </c>
      <c r="F10" s="115" t="s">
        <v>1347</v>
      </c>
      <c r="G10" s="115" t="s">
        <v>2188</v>
      </c>
      <c r="H10" s="115" t="s">
        <v>1348</v>
      </c>
      <c r="I10" s="115" t="s">
        <v>1349</v>
      </c>
      <c r="J10" s="115" t="s">
        <v>1350</v>
      </c>
      <c r="K10" s="115" t="s">
        <v>464</v>
      </c>
      <c r="L10" s="2081" t="s">
        <v>1351</v>
      </c>
      <c r="M10" s="2081"/>
      <c r="N10" s="2081" t="s">
        <v>1352</v>
      </c>
      <c r="O10" s="2078" t="s">
        <v>1353</v>
      </c>
    </row>
    <row r="11" spans="1:15" s="111" customFormat="1" ht="15.75" x14ac:dyDescent="0.25">
      <c r="A11" s="116"/>
      <c r="B11" s="118" t="s">
        <v>1354</v>
      </c>
      <c r="C11" s="117"/>
      <c r="D11" s="118" t="s">
        <v>521</v>
      </c>
      <c r="E11" s="116"/>
      <c r="F11" s="116"/>
      <c r="G11" s="116"/>
      <c r="H11" s="121"/>
      <c r="I11" s="116"/>
      <c r="J11" s="119"/>
      <c r="K11" s="116"/>
      <c r="L11" s="381" t="s">
        <v>1356</v>
      </c>
      <c r="M11" s="117" t="s">
        <v>1357</v>
      </c>
      <c r="N11" s="2081"/>
      <c r="O11" s="2078"/>
    </row>
    <row r="12" spans="1:15" s="111" customFormat="1" ht="18" customHeight="1" x14ac:dyDescent="0.25">
      <c r="A12" s="117" t="s">
        <v>1358</v>
      </c>
      <c r="B12" s="118" t="s">
        <v>1359</v>
      </c>
      <c r="C12" s="117" t="s">
        <v>1360</v>
      </c>
      <c r="D12" s="118" t="s">
        <v>1361</v>
      </c>
      <c r="E12" s="117" t="s">
        <v>1362</v>
      </c>
      <c r="F12" s="117" t="s">
        <v>1363</v>
      </c>
      <c r="G12" s="117" t="s">
        <v>1364</v>
      </c>
      <c r="H12" s="118" t="s">
        <v>1365</v>
      </c>
      <c r="I12" s="117" t="s">
        <v>1366</v>
      </c>
      <c r="J12" s="114" t="s">
        <v>1367</v>
      </c>
      <c r="K12" s="117" t="s">
        <v>1368</v>
      </c>
      <c r="L12" s="381" t="s">
        <v>1369</v>
      </c>
      <c r="M12" s="117" t="s">
        <v>539</v>
      </c>
      <c r="N12" s="117" t="s">
        <v>1370</v>
      </c>
      <c r="O12" s="110" t="s">
        <v>1371</v>
      </c>
    </row>
    <row r="13" spans="1:15" ht="63" x14ac:dyDescent="0.25">
      <c r="A13" s="32"/>
      <c r="B13" s="66" t="s">
        <v>1089</v>
      </c>
      <c r="C13" s="267">
        <v>1</v>
      </c>
      <c r="D13" s="66" t="str">
        <f>'BID III'!B29</f>
        <v>:Koordinasi Pembinaan Ketentraman, Ketertiban, dan Perlindungan Masyarakat (Pengamanan Pengerupukan)</v>
      </c>
      <c r="E13" s="1040" t="s">
        <v>2217</v>
      </c>
      <c r="F13" s="133" t="s">
        <v>1382</v>
      </c>
      <c r="G13" s="1038">
        <v>1</v>
      </c>
      <c r="H13" s="124" t="s">
        <v>1373</v>
      </c>
      <c r="I13" s="125" t="s">
        <v>1377</v>
      </c>
      <c r="J13" s="126" t="s">
        <v>2200</v>
      </c>
      <c r="K13" s="126" t="s">
        <v>2197</v>
      </c>
      <c r="L13" s="470">
        <f>'BID III'!F48</f>
        <v>7040000</v>
      </c>
      <c r="M13" s="268" t="s">
        <v>1375</v>
      </c>
      <c r="N13" s="268" t="s">
        <v>1376</v>
      </c>
    </row>
    <row r="14" spans="1:15" ht="63" x14ac:dyDescent="0.25">
      <c r="A14" s="32"/>
      <c r="B14" s="66"/>
      <c r="C14" s="267">
        <v>2</v>
      </c>
      <c r="D14" s="66" t="str">
        <f>'BID III'!B62</f>
        <v>: Koordinasi Pembinaan Ketentraman, Ketertiban, dan Perlindungan Masyarakat (Pengamanan Tahun Baru)</v>
      </c>
      <c r="E14" s="1040" t="s">
        <v>2217</v>
      </c>
      <c r="F14" s="133" t="s">
        <v>1382</v>
      </c>
      <c r="G14" s="1038">
        <v>1</v>
      </c>
      <c r="H14" s="124" t="s">
        <v>1373</v>
      </c>
      <c r="I14" s="125" t="s">
        <v>1377</v>
      </c>
      <c r="J14" s="126" t="s">
        <v>2200</v>
      </c>
      <c r="K14" s="126" t="s">
        <v>2197</v>
      </c>
      <c r="L14" s="470">
        <f>'BID III'!F81</f>
        <v>8540000</v>
      </c>
      <c r="M14" s="268" t="s">
        <v>1375</v>
      </c>
      <c r="N14" s="268" t="s">
        <v>1376</v>
      </c>
    </row>
    <row r="15" spans="1:15" ht="63" x14ac:dyDescent="0.25">
      <c r="A15" s="32"/>
      <c r="B15" s="66"/>
      <c r="C15" s="267">
        <v>3</v>
      </c>
      <c r="D15" s="66" t="str">
        <f>'BID III'!B95</f>
        <v>:Koordinasi Pembinaan Ketentraman, Ketertiban, dan Perlindungan Masyarakat (Penjagaan Linmas Desa)</v>
      </c>
      <c r="E15" s="1040" t="s">
        <v>2217</v>
      </c>
      <c r="F15" s="133" t="s">
        <v>2238</v>
      </c>
      <c r="G15" s="1038">
        <v>1</v>
      </c>
      <c r="H15" s="124" t="s">
        <v>1373</v>
      </c>
      <c r="I15" s="125" t="s">
        <v>1408</v>
      </c>
      <c r="J15" s="126" t="s">
        <v>2239</v>
      </c>
      <c r="K15" s="126" t="s">
        <v>2197</v>
      </c>
      <c r="L15" s="470">
        <f>'BID III'!F127</f>
        <v>416098660</v>
      </c>
      <c r="M15" s="268" t="s">
        <v>1375</v>
      </c>
      <c r="N15" s="268" t="s">
        <v>1376</v>
      </c>
    </row>
    <row r="16" spans="1:15" ht="58.5" customHeight="1" x14ac:dyDescent="0.25">
      <c r="A16" s="32"/>
      <c r="B16" s="66"/>
      <c r="C16" s="267">
        <v>4</v>
      </c>
      <c r="D16" s="66" t="str">
        <f>'BID III'!B183</f>
        <v>: Pembinaan Kesenian, Adat, Kebudayaan, dan Keagamaan ( Pembinaan Sekaa Seni Joged )</v>
      </c>
      <c r="E16" s="1040" t="s">
        <v>2217</v>
      </c>
      <c r="F16" s="133" t="s">
        <v>1484</v>
      </c>
      <c r="G16" s="1038">
        <v>1</v>
      </c>
      <c r="H16" s="124" t="s">
        <v>1373</v>
      </c>
      <c r="I16" s="125" t="s">
        <v>1377</v>
      </c>
      <c r="J16" s="126" t="s">
        <v>2200</v>
      </c>
      <c r="K16" s="126" t="s">
        <v>2197</v>
      </c>
      <c r="L16" s="470">
        <f>'BID III'!F211</f>
        <v>37765000</v>
      </c>
      <c r="M16" s="268" t="s">
        <v>1375</v>
      </c>
      <c r="N16" s="268" t="s">
        <v>1376</v>
      </c>
    </row>
    <row r="17" spans="1:14" ht="125.25" customHeight="1" x14ac:dyDescent="0.25">
      <c r="A17" s="32"/>
      <c r="B17" s="66"/>
      <c r="C17" s="267">
        <v>5</v>
      </c>
      <c r="D17" s="66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E17" s="1040" t="s">
        <v>2217</v>
      </c>
      <c r="F17" s="1149" t="s">
        <v>2481</v>
      </c>
      <c r="G17" s="124" t="s">
        <v>1373</v>
      </c>
      <c r="H17" s="124" t="s">
        <v>1373</v>
      </c>
      <c r="I17" s="125" t="s">
        <v>1377</v>
      </c>
      <c r="J17" s="126" t="s">
        <v>2200</v>
      </c>
      <c r="K17" s="126" t="s">
        <v>2197</v>
      </c>
      <c r="L17" s="470">
        <f>'BID III'!F286</f>
        <v>35502000</v>
      </c>
      <c r="M17" s="268" t="s">
        <v>1375</v>
      </c>
      <c r="N17" s="268" t="s">
        <v>1376</v>
      </c>
    </row>
    <row r="18" spans="1:14" ht="63.75" customHeight="1" x14ac:dyDescent="0.25">
      <c r="A18" s="32"/>
      <c r="B18" s="66"/>
      <c r="C18" s="267">
        <v>6</v>
      </c>
      <c r="D18" s="66" t="str">
        <f>'BID III'!B299</f>
        <v>Pemeliharaan sarana prasarana keagamaan milik desa (Pavingnisasi Area Pura Dalem Taman Pohmanis)</v>
      </c>
      <c r="E18" s="1040">
        <v>9</v>
      </c>
      <c r="F18" s="66" t="s">
        <v>2240</v>
      </c>
      <c r="G18" s="984">
        <v>1</v>
      </c>
      <c r="H18" s="66" t="s">
        <v>1373</v>
      </c>
      <c r="I18" s="32" t="s">
        <v>2241</v>
      </c>
      <c r="J18" s="126" t="s">
        <v>2200</v>
      </c>
      <c r="K18" s="126" t="s">
        <v>2197</v>
      </c>
      <c r="L18" s="470">
        <f>'BID III'!F324</f>
        <v>94693000</v>
      </c>
      <c r="M18" s="268" t="s">
        <v>1375</v>
      </c>
      <c r="N18" s="268" t="s">
        <v>1376</v>
      </c>
    </row>
    <row r="19" spans="1:14" ht="63.75" customHeight="1" x14ac:dyDescent="0.25">
      <c r="A19" s="32"/>
      <c r="B19" s="66"/>
      <c r="C19" s="267">
        <v>7</v>
      </c>
      <c r="D19" s="66" t="str">
        <f>'BID III'!B338</f>
        <v>: Pemeliharaan Sarana dan Prasarana kebudayaan/Rumah adat (Candi Banjar Mertasari)</v>
      </c>
      <c r="E19" s="1040">
        <v>9</v>
      </c>
      <c r="F19" s="66" t="s">
        <v>2242</v>
      </c>
      <c r="G19" s="984">
        <v>1</v>
      </c>
      <c r="H19" s="66" t="s">
        <v>1373</v>
      </c>
      <c r="I19" s="32" t="s">
        <v>2243</v>
      </c>
      <c r="J19" s="126" t="s">
        <v>2200</v>
      </c>
      <c r="K19" s="126" t="s">
        <v>2197</v>
      </c>
      <c r="L19" s="470">
        <f>'BID III'!F368</f>
        <v>77163000</v>
      </c>
      <c r="M19" s="268" t="s">
        <v>1375</v>
      </c>
      <c r="N19" s="268" t="s">
        <v>1376</v>
      </c>
    </row>
    <row r="20" spans="1:14" ht="63.75" customHeight="1" x14ac:dyDescent="0.25">
      <c r="A20" s="32"/>
      <c r="B20" s="66"/>
      <c r="C20" s="267">
        <v>8</v>
      </c>
      <c r="D20" s="66" t="str">
        <f>'BID III'!B382</f>
        <v xml:space="preserve"> : Pembinaan Adat dan Keagamaan (Piodalan Padmasana)</v>
      </c>
      <c r="E20" s="1040" t="s">
        <v>2217</v>
      </c>
      <c r="F20" s="133" t="s">
        <v>1476</v>
      </c>
      <c r="G20" s="1038">
        <v>1</v>
      </c>
      <c r="H20" s="124" t="s">
        <v>1373</v>
      </c>
      <c r="I20" s="125" t="s">
        <v>1377</v>
      </c>
      <c r="J20" s="126" t="s">
        <v>2244</v>
      </c>
      <c r="K20" s="126" t="s">
        <v>2197</v>
      </c>
      <c r="L20" s="470">
        <f>'BID III'!F408</f>
        <v>15474698</v>
      </c>
      <c r="M20" s="268"/>
      <c r="N20" s="268"/>
    </row>
    <row r="21" spans="1:14" ht="63.75" customHeight="1" x14ac:dyDescent="0.25">
      <c r="A21" s="32"/>
      <c r="B21" s="66"/>
      <c r="C21" s="267">
        <v>9</v>
      </c>
      <c r="D21" s="66" t="str">
        <f>'BID III'!B421</f>
        <v>: Pembinaan Adat dan Keagamaan (Upakara dan Upacara)</v>
      </c>
      <c r="E21" s="1040" t="s">
        <v>2217</v>
      </c>
      <c r="F21" s="133" t="s">
        <v>1476</v>
      </c>
      <c r="G21" s="1038">
        <v>1</v>
      </c>
      <c r="H21" s="124" t="s">
        <v>1373</v>
      </c>
      <c r="I21" s="125" t="s">
        <v>1377</v>
      </c>
      <c r="J21" s="126" t="s">
        <v>2244</v>
      </c>
      <c r="K21" s="32"/>
      <c r="L21" s="470">
        <f>'BID III'!F442</f>
        <v>8480000</v>
      </c>
      <c r="M21" s="268"/>
      <c r="N21" s="268"/>
    </row>
    <row r="22" spans="1:14" ht="43.5" customHeight="1" x14ac:dyDescent="0.25">
      <c r="A22" s="32"/>
      <c r="B22" s="66"/>
      <c r="C22" s="267">
        <v>10</v>
      </c>
      <c r="D22" s="66" t="str">
        <f>'BID III'!B485</f>
        <v xml:space="preserve"> : Penunjang Oprasional Subak/Subak Abian (BKKProvinsi)</v>
      </c>
      <c r="E22" s="1040" t="s">
        <v>2217</v>
      </c>
      <c r="F22" s="133" t="s">
        <v>1476</v>
      </c>
      <c r="G22" s="1038">
        <v>1</v>
      </c>
      <c r="H22" s="124" t="s">
        <v>1373</v>
      </c>
      <c r="I22" s="125" t="s">
        <v>1377</v>
      </c>
      <c r="J22" s="126" t="s">
        <v>2200</v>
      </c>
      <c r="K22" s="126" t="s">
        <v>2197</v>
      </c>
      <c r="L22" s="470">
        <f>'BID III'!F495</f>
        <v>30000000</v>
      </c>
      <c r="M22" s="268"/>
      <c r="N22" s="268"/>
    </row>
    <row r="23" spans="1:14" ht="31.5" customHeight="1" x14ac:dyDescent="0.25">
      <c r="A23" s="32"/>
      <c r="B23" s="66"/>
      <c r="C23" s="267">
        <v>11</v>
      </c>
      <c r="D23" s="66" t="str">
        <f>'BID III'!B508</f>
        <v xml:space="preserve"> : Penunjang Oprasional Desa Pakraman(BKK Kota)</v>
      </c>
      <c r="E23" s="1040" t="s">
        <v>2217</v>
      </c>
      <c r="F23" s="133" t="s">
        <v>1476</v>
      </c>
      <c r="G23" s="1038">
        <v>1</v>
      </c>
      <c r="H23" s="124" t="s">
        <v>1373</v>
      </c>
      <c r="I23" s="125" t="s">
        <v>1377</v>
      </c>
      <c r="J23" s="126" t="s">
        <v>2200</v>
      </c>
      <c r="K23" s="126" t="s">
        <v>2197</v>
      </c>
      <c r="L23" s="470">
        <f>'BID III'!F518</f>
        <v>560000000</v>
      </c>
      <c r="M23" s="268"/>
      <c r="N23" s="268"/>
    </row>
    <row r="24" spans="1:14" ht="47.25" x14ac:dyDescent="0.25">
      <c r="A24" s="32"/>
      <c r="B24" s="66"/>
      <c r="C24" s="267">
        <v>12</v>
      </c>
      <c r="D24" s="66" t="str">
        <f>'BID III'!B530</f>
        <v>: Kegiatan Bakti Penganyaran</v>
      </c>
      <c r="E24" s="1040" t="s">
        <v>2217</v>
      </c>
      <c r="F24" s="133" t="s">
        <v>1476</v>
      </c>
      <c r="G24" s="1038">
        <v>1</v>
      </c>
      <c r="H24" s="124" t="s">
        <v>1373</v>
      </c>
      <c r="I24" s="125" t="s">
        <v>1377</v>
      </c>
      <c r="J24" s="126" t="s">
        <v>2245</v>
      </c>
      <c r="K24" s="126" t="s">
        <v>2197</v>
      </c>
      <c r="L24" s="470">
        <f>'BID III'!F553</f>
        <v>171000000</v>
      </c>
      <c r="M24" s="268"/>
      <c r="N24" s="268"/>
    </row>
    <row r="25" spans="1:14" ht="75.75" customHeight="1" x14ac:dyDescent="0.25">
      <c r="A25" s="32"/>
      <c r="B25" s="66"/>
      <c r="C25" s="267">
        <v>13</v>
      </c>
      <c r="D25" s="66" t="str">
        <f>'BID III'!B567</f>
        <v>: Pengiriman Kontingen Kepemudaan dan olahraga sebagai wakil desa di tingkat kecamatan dan kabupaten/ kota ( FORMI)</v>
      </c>
      <c r="E25" s="1040">
        <v>3</v>
      </c>
      <c r="F25" s="133" t="s">
        <v>1485</v>
      </c>
      <c r="G25" s="1038">
        <v>1</v>
      </c>
      <c r="H25" s="124" t="s">
        <v>1373</v>
      </c>
      <c r="I25" s="125" t="s">
        <v>1377</v>
      </c>
      <c r="J25" s="126" t="s">
        <v>2200</v>
      </c>
      <c r="K25" s="126" t="s">
        <v>2197</v>
      </c>
      <c r="L25" s="470">
        <f>'BID III'!F620</f>
        <v>67750000</v>
      </c>
      <c r="M25" s="268"/>
      <c r="N25" s="268"/>
    </row>
    <row r="26" spans="1:14" ht="166.5" customHeight="1" x14ac:dyDescent="0.25">
      <c r="A26" s="32"/>
      <c r="B26" s="66"/>
      <c r="C26" s="267">
        <v>14</v>
      </c>
      <c r="D26" s="66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E26" s="1040" t="s">
        <v>2237</v>
      </c>
      <c r="F26" s="133" t="s">
        <v>1477</v>
      </c>
      <c r="G26" s="1038">
        <v>1</v>
      </c>
      <c r="H26" s="124" t="s">
        <v>1373</v>
      </c>
      <c r="I26" s="125" t="s">
        <v>1377</v>
      </c>
      <c r="J26" s="126" t="s">
        <v>2236</v>
      </c>
      <c r="K26" s="126" t="s">
        <v>2197</v>
      </c>
      <c r="L26" s="470">
        <f>'BID III'!F713</f>
        <v>50681940</v>
      </c>
      <c r="M26" s="268"/>
      <c r="N26" s="268"/>
    </row>
    <row r="27" spans="1:14" ht="71.25" customHeight="1" x14ac:dyDescent="0.25">
      <c r="A27" s="32"/>
      <c r="B27" s="66"/>
      <c r="C27" s="267">
        <v>15</v>
      </c>
      <c r="D27" s="66" t="str">
        <f>'BID III'!B726</f>
        <v>: Penyelenggaraan festival/ lomba kepemudaan dan olahraga tingat Desa (FORMI DESA )</v>
      </c>
      <c r="E27" s="1040">
        <v>3</v>
      </c>
      <c r="F27" s="133" t="s">
        <v>1485</v>
      </c>
      <c r="G27" s="1038">
        <v>1</v>
      </c>
      <c r="H27" s="124" t="s">
        <v>1373</v>
      </c>
      <c r="I27" s="125" t="s">
        <v>1377</v>
      </c>
      <c r="J27" s="126" t="s">
        <v>2200</v>
      </c>
      <c r="K27" s="126" t="s">
        <v>2197</v>
      </c>
      <c r="L27" s="470">
        <f>'BID III'!F814</f>
        <v>149785000</v>
      </c>
      <c r="M27" s="268"/>
      <c r="N27" s="268"/>
    </row>
    <row r="28" spans="1:14" ht="47.25" x14ac:dyDescent="0.25">
      <c r="A28" s="32"/>
      <c r="B28" s="66"/>
      <c r="C28" s="267">
        <v>16</v>
      </c>
      <c r="D28" s="66" t="str">
        <f>'BID III'!B827</f>
        <v>: Pembinaan Karang Taruna</v>
      </c>
      <c r="E28" s="1040" t="s">
        <v>2217</v>
      </c>
      <c r="F28" s="133" t="s">
        <v>2246</v>
      </c>
      <c r="G28" s="1038">
        <v>1</v>
      </c>
      <c r="H28" s="124" t="s">
        <v>1373</v>
      </c>
      <c r="I28" s="125" t="s">
        <v>1377</v>
      </c>
      <c r="J28" s="126" t="s">
        <v>2200</v>
      </c>
      <c r="K28" s="126" t="s">
        <v>2197</v>
      </c>
      <c r="L28" s="470">
        <f>'BID III'!F852</f>
        <v>29662000</v>
      </c>
      <c r="M28" s="268"/>
      <c r="N28" s="268"/>
    </row>
    <row r="29" spans="1:14" ht="43.5" customHeight="1" x14ac:dyDescent="0.25">
      <c r="A29" s="32"/>
      <c r="B29" s="66"/>
      <c r="C29" s="267">
        <v>17</v>
      </c>
      <c r="D29" s="66" t="str">
        <f>'BID III'!B864</f>
        <v>: Penunjang Kegiatan Ekonomi Produktif untuk Sekeha Teruna (BKK Kota)</v>
      </c>
      <c r="E29" s="1040" t="s">
        <v>2217</v>
      </c>
      <c r="F29" s="133" t="s">
        <v>1476</v>
      </c>
      <c r="G29" s="1038">
        <v>1</v>
      </c>
      <c r="H29" s="124" t="s">
        <v>1373</v>
      </c>
      <c r="I29" s="125" t="s">
        <v>1377</v>
      </c>
      <c r="J29" s="126" t="s">
        <v>2200</v>
      </c>
      <c r="K29" s="126" t="s">
        <v>2197</v>
      </c>
      <c r="L29" s="470">
        <f>'BID III'!F874</f>
        <v>210000000</v>
      </c>
      <c r="M29" s="268"/>
      <c r="N29" s="268"/>
    </row>
    <row r="30" spans="1:14" ht="60" x14ac:dyDescent="0.25">
      <c r="A30" s="32"/>
      <c r="B30" s="66"/>
      <c r="C30" s="267">
        <v>18</v>
      </c>
      <c r="D30" s="66" t="str">
        <f>'BID III'!B887</f>
        <v>: Pelatihan Pembinaan Lembaga Kemasyarakatan (Bulan bakti Gotong royong LPM)</v>
      </c>
      <c r="E30" s="1040" t="s">
        <v>2217</v>
      </c>
      <c r="F30" s="133" t="s">
        <v>1478</v>
      </c>
      <c r="G30" s="1038">
        <v>1</v>
      </c>
      <c r="H30" s="124" t="s">
        <v>1373</v>
      </c>
      <c r="I30" s="125" t="s">
        <v>1377</v>
      </c>
      <c r="J30" s="126" t="s">
        <v>2247</v>
      </c>
      <c r="K30" s="126" t="s">
        <v>2197</v>
      </c>
      <c r="L30" s="470">
        <f>'BID III'!F946</f>
        <v>49987120</v>
      </c>
      <c r="M30" s="268" t="s">
        <v>1375</v>
      </c>
      <c r="N30" s="268" t="s">
        <v>1376</v>
      </c>
    </row>
    <row r="31" spans="1:14" ht="47.25" x14ac:dyDescent="0.25">
      <c r="A31" s="32"/>
      <c r="B31" s="66"/>
      <c r="C31" s="267">
        <v>19</v>
      </c>
      <c r="D31" s="66" t="str">
        <f>'BID III'!B959</f>
        <v>: Pembinaan LKMD / LPM / LPMD (Pelatihan LPM)</v>
      </c>
      <c r="E31" s="1040" t="s">
        <v>2217</v>
      </c>
      <c r="F31" s="133" t="s">
        <v>1479</v>
      </c>
      <c r="G31" s="1038">
        <v>1</v>
      </c>
      <c r="H31" s="124" t="s">
        <v>1373</v>
      </c>
      <c r="I31" s="125" t="s">
        <v>1377</v>
      </c>
      <c r="J31" s="126" t="s">
        <v>2247</v>
      </c>
      <c r="K31" s="126" t="s">
        <v>2197</v>
      </c>
      <c r="L31" s="470">
        <f>'BID III'!F979</f>
        <v>1205000</v>
      </c>
      <c r="M31" s="268" t="s">
        <v>1375</v>
      </c>
      <c r="N31" s="268" t="s">
        <v>1376</v>
      </c>
    </row>
    <row r="32" spans="1:14" ht="47.25" x14ac:dyDescent="0.25">
      <c r="A32" s="32"/>
      <c r="B32" s="66"/>
      <c r="C32" s="267">
        <v>20</v>
      </c>
      <c r="D32" s="66" t="str">
        <f>'BID III'!B992</f>
        <v>: Pembinaan PKK  ( Pembinaan administrasi )</v>
      </c>
      <c r="E32" s="1040" t="s">
        <v>2217</v>
      </c>
      <c r="F32" s="133" t="s">
        <v>1475</v>
      </c>
      <c r="G32" s="1038">
        <v>1</v>
      </c>
      <c r="H32" s="124" t="s">
        <v>1373</v>
      </c>
      <c r="I32" s="125" t="s">
        <v>1377</v>
      </c>
      <c r="J32" s="126" t="s">
        <v>2196</v>
      </c>
      <c r="K32" s="126" t="s">
        <v>2197</v>
      </c>
      <c r="L32" s="130">
        <f>'[2]BID III'!F238</f>
        <v>5048000</v>
      </c>
      <c r="M32" s="268" t="s">
        <v>1375</v>
      </c>
      <c r="N32" s="268" t="s">
        <v>1376</v>
      </c>
    </row>
    <row r="33" spans="1:14" ht="70.5" customHeight="1" x14ac:dyDescent="0.25">
      <c r="A33" s="32"/>
      <c r="B33" s="66"/>
      <c r="C33" s="267">
        <v>21</v>
      </c>
      <c r="D33" s="66" t="str">
        <f>'BID III'!B141</f>
        <v>: Pelatihan Kesiapsiagaan/Tanggap Bencana Skala Lokal Desa ( Pelatihan Tanggap Darurat Bencana )</v>
      </c>
      <c r="E33" s="1040" t="s">
        <v>2217</v>
      </c>
      <c r="F33" s="133" t="s">
        <v>2238</v>
      </c>
      <c r="G33" s="1038">
        <v>1</v>
      </c>
      <c r="H33" s="124" t="s">
        <v>1373</v>
      </c>
      <c r="I33" s="125" t="s">
        <v>1408</v>
      </c>
      <c r="J33" s="126" t="s">
        <v>2239</v>
      </c>
      <c r="K33" s="32"/>
      <c r="L33" s="470">
        <f>'BID III'!F170</f>
        <v>8578000</v>
      </c>
      <c r="M33" s="268" t="s">
        <v>1375</v>
      </c>
      <c r="N33" s="268" t="s">
        <v>1376</v>
      </c>
    </row>
    <row r="34" spans="1:14" ht="63" x14ac:dyDescent="0.25">
      <c r="A34" s="32"/>
      <c r="B34" s="66"/>
      <c r="C34" s="267">
        <v>22</v>
      </c>
      <c r="D34" s="66" t="str">
        <f>'BID III'!B7</f>
        <v xml:space="preserve">Pengadaan/Pen (pembangunan pos, Perbaikan Pos Keamanan di Depan Pura Dalem Laplap) </v>
      </c>
      <c r="E34" s="1040" t="s">
        <v>2217</v>
      </c>
      <c r="F34" s="133" t="s">
        <v>1382</v>
      </c>
      <c r="G34" s="1038">
        <v>1</v>
      </c>
      <c r="H34" s="124" t="s">
        <v>1373</v>
      </c>
      <c r="I34" s="125" t="s">
        <v>1377</v>
      </c>
      <c r="J34" s="126" t="s">
        <v>2200</v>
      </c>
      <c r="K34" s="126" t="s">
        <v>2197</v>
      </c>
      <c r="L34" s="470">
        <f>'BID III'!F21</f>
        <v>2500000</v>
      </c>
      <c r="M34" s="268" t="s">
        <v>1375</v>
      </c>
      <c r="N34" s="268" t="s">
        <v>1376</v>
      </c>
    </row>
    <row r="35" spans="1:14" ht="42.75" customHeight="1" x14ac:dyDescent="0.25">
      <c r="A35" s="251"/>
      <c r="B35" s="848"/>
      <c r="C35" s="267">
        <v>23</v>
      </c>
      <c r="D35" s="848" t="str">
        <f>'BID III'!B1027</f>
        <v>:Pelatihan Pembinaan Lembaga Kemasyarakatan (Input data  Dasawisma)</v>
      </c>
      <c r="E35" s="1043">
        <v>5</v>
      </c>
      <c r="F35" s="133" t="s">
        <v>1481</v>
      </c>
      <c r="G35" s="1038">
        <v>1</v>
      </c>
      <c r="H35" s="124" t="s">
        <v>1373</v>
      </c>
      <c r="I35" s="125" t="s">
        <v>1377</v>
      </c>
      <c r="J35" s="126" t="s">
        <v>2200</v>
      </c>
      <c r="K35" s="126" t="s">
        <v>2197</v>
      </c>
      <c r="L35" s="852">
        <f>'BID III'!F1048</f>
        <v>15190000</v>
      </c>
      <c r="M35" s="268" t="s">
        <v>1375</v>
      </c>
      <c r="N35" s="268" t="s">
        <v>1376</v>
      </c>
    </row>
    <row r="36" spans="1:14" ht="15.75" thickBot="1" x14ac:dyDescent="0.3">
      <c r="A36" s="251"/>
      <c r="B36" s="848"/>
      <c r="C36" s="251"/>
      <c r="D36" s="848"/>
      <c r="E36" s="251"/>
      <c r="F36" s="251"/>
      <c r="G36" s="251"/>
      <c r="H36" s="251"/>
      <c r="I36" s="251"/>
      <c r="J36" s="251"/>
      <c r="K36" s="251"/>
      <c r="L36" s="852"/>
      <c r="M36" s="268"/>
      <c r="N36" s="32"/>
    </row>
    <row r="37" spans="1:14" x14ac:dyDescent="0.25">
      <c r="A37" s="2104" t="s">
        <v>1910</v>
      </c>
      <c r="B37" s="2105"/>
      <c r="C37" s="2105"/>
      <c r="D37" s="2105"/>
      <c r="E37" s="2105"/>
      <c r="F37" s="2105"/>
      <c r="G37" s="2105"/>
      <c r="H37" s="2105"/>
      <c r="I37" s="2105"/>
      <c r="J37" s="2105"/>
      <c r="K37" s="2106"/>
      <c r="L37" s="857">
        <f>SUM(L13:L36)</f>
        <v>2052143418</v>
      </c>
      <c r="M37" s="985"/>
      <c r="N37" s="251"/>
    </row>
  </sheetData>
  <mergeCells count="8">
    <mergeCell ref="O10:O11"/>
    <mergeCell ref="A37:K37"/>
    <mergeCell ref="A1:N1"/>
    <mergeCell ref="A2:N2"/>
    <mergeCell ref="A3:N3"/>
    <mergeCell ref="B10:D10"/>
    <mergeCell ref="L10:M10"/>
    <mergeCell ref="N10:N11"/>
  </mergeCells>
  <pageMargins left="0.7" right="1.45" top="0.75" bottom="0.75" header="0.3" footer="0.3"/>
  <pageSetup paperSize="5" scale="60" orientation="landscape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Y2316"/>
  <sheetViews>
    <sheetView zoomScaleNormal="100" workbookViewId="0">
      <pane ySplit="1800" topLeftCell="A569" activePane="bottomLeft"/>
      <selection activeCell="G74" sqref="G14:G74"/>
      <selection pane="bottomLeft" activeCell="B564" sqref="B564"/>
    </sheetView>
  </sheetViews>
  <sheetFormatPr defaultRowHeight="15" x14ac:dyDescent="0.25"/>
  <cols>
    <col min="1" max="1" width="14.140625" customWidth="1"/>
    <col min="2" max="2" width="20.28515625" customWidth="1"/>
    <col min="3" max="3" width="10.42578125" customWidth="1"/>
    <col min="4" max="4" width="7" customWidth="1"/>
    <col min="5" max="5" width="13.42578125" customWidth="1"/>
    <col min="6" max="6" width="18" customWidth="1"/>
    <col min="7" max="7" width="7.7109375" customWidth="1"/>
    <col min="8" max="8" width="16.7109375" customWidth="1"/>
    <col min="10" max="10" width="16.85546875" bestFit="1" customWidth="1"/>
    <col min="11" max="11" width="20.85546875" customWidth="1"/>
    <col min="12" max="12" width="26.28515625" customWidth="1"/>
    <col min="13" max="13" width="16" customWidth="1"/>
    <col min="14" max="14" width="14.85546875" customWidth="1"/>
    <col min="15" max="15" width="12.140625" customWidth="1"/>
    <col min="16" max="16" width="14.140625" customWidth="1"/>
    <col min="17" max="17" width="15" customWidth="1"/>
    <col min="18" max="18" width="15.85546875" customWidth="1"/>
    <col min="19" max="19" width="16.42578125" customWidth="1"/>
    <col min="20" max="20" width="16.140625" customWidth="1"/>
    <col min="21" max="21" width="21.28515625" customWidth="1"/>
    <col min="22" max="22" width="14.7109375" customWidth="1"/>
    <col min="23" max="23" width="16.140625" customWidth="1"/>
    <col min="24" max="24" width="14.85546875" customWidth="1"/>
  </cols>
  <sheetData>
    <row r="1" spans="1:25" ht="45" x14ac:dyDescent="0.25">
      <c r="J1" t="s">
        <v>2387</v>
      </c>
      <c r="K1" t="s">
        <v>1682</v>
      </c>
      <c r="L1" t="s">
        <v>2620</v>
      </c>
      <c r="M1" t="s">
        <v>2621</v>
      </c>
      <c r="N1" s="1154" t="s">
        <v>2622</v>
      </c>
      <c r="O1" s="1155" t="s">
        <v>2637</v>
      </c>
      <c r="P1" t="s">
        <v>2623</v>
      </c>
      <c r="Q1" t="s">
        <v>1690</v>
      </c>
      <c r="R1" t="s">
        <v>2624</v>
      </c>
      <c r="S1" t="s">
        <v>2625</v>
      </c>
      <c r="T1" t="s">
        <v>2626</v>
      </c>
      <c r="U1" t="s">
        <v>2627</v>
      </c>
      <c r="V1" t="s">
        <v>2628</v>
      </c>
      <c r="W1" t="s">
        <v>2629</v>
      </c>
      <c r="X1" t="s">
        <v>2635</v>
      </c>
      <c r="Y1" t="s">
        <v>2646</v>
      </c>
    </row>
    <row r="2" spans="1:25" x14ac:dyDescent="0.25">
      <c r="J2" s="451">
        <f>Hitungan!E6</f>
        <v>659695000</v>
      </c>
      <c r="K2" s="451">
        <f>Hitungan!F6</f>
        <v>1131024550</v>
      </c>
      <c r="L2" s="451">
        <f>Hitungan!G6</f>
        <v>466057600</v>
      </c>
      <c r="M2" s="451">
        <f>Hitungan!H6</f>
        <v>16486000</v>
      </c>
      <c r="N2" s="451">
        <f>Hitungan!I6</f>
        <v>0</v>
      </c>
      <c r="O2" s="451">
        <f>Hitungan!J6</f>
        <v>0</v>
      </c>
      <c r="P2" s="451">
        <f>Hitungan!K6</f>
        <v>0</v>
      </c>
      <c r="Q2" s="451">
        <f>Hitungan!L6</f>
        <v>90707800</v>
      </c>
      <c r="R2" s="451">
        <f>Hitungan!M6</f>
        <v>72966100</v>
      </c>
      <c r="S2" s="451">
        <f>Hitungan!N6</f>
        <v>235949087.09</v>
      </c>
      <c r="T2" s="451">
        <f>Hitungan!O6</f>
        <v>459823000</v>
      </c>
      <c r="U2" s="451">
        <f>Hitungan!P6</f>
        <v>74278000</v>
      </c>
      <c r="V2" s="451">
        <f>Hitungan!Q6</f>
        <v>28657069.18</v>
      </c>
      <c r="W2" s="451">
        <f>Hitungan!R6</f>
        <v>120000000</v>
      </c>
      <c r="X2" s="451">
        <f>Hitungan!S6</f>
        <v>0</v>
      </c>
      <c r="Y2" s="451">
        <f>Hitungan!U6</f>
        <v>0</v>
      </c>
    </row>
    <row r="3" spans="1:25" ht="45" x14ac:dyDescent="0.25">
      <c r="A3" s="1947" t="s">
        <v>0</v>
      </c>
      <c r="B3" s="1800"/>
      <c r="C3" s="1800"/>
      <c r="D3" s="1800"/>
      <c r="E3" s="1800"/>
      <c r="F3" s="1800"/>
      <c r="G3" s="1800"/>
      <c r="J3" t="s">
        <v>2387</v>
      </c>
      <c r="K3" t="s">
        <v>1682</v>
      </c>
      <c r="L3" t="s">
        <v>2620</v>
      </c>
      <c r="M3" t="s">
        <v>2621</v>
      </c>
      <c r="N3" s="1154" t="s">
        <v>2622</v>
      </c>
      <c r="O3" s="1155" t="s">
        <v>2637</v>
      </c>
      <c r="P3" t="s">
        <v>2623</v>
      </c>
      <c r="Q3" t="s">
        <v>1690</v>
      </c>
      <c r="R3" t="s">
        <v>2624</v>
      </c>
      <c r="S3" t="s">
        <v>2625</v>
      </c>
      <c r="T3" t="s">
        <v>2626</v>
      </c>
      <c r="U3" t="s">
        <v>2627</v>
      </c>
      <c r="V3" t="s">
        <v>2628</v>
      </c>
      <c r="W3" t="s">
        <v>2629</v>
      </c>
      <c r="X3" t="s">
        <v>2635</v>
      </c>
    </row>
    <row r="4" spans="1:25" x14ac:dyDescent="0.25">
      <c r="A4" s="1800" t="s">
        <v>1</v>
      </c>
      <c r="B4" s="1800"/>
      <c r="C4" s="1800"/>
      <c r="D4" s="1800"/>
      <c r="E4" s="1800"/>
      <c r="F4" s="1800"/>
      <c r="G4" s="1800"/>
      <c r="J4" s="451">
        <f t="shared" ref="J4:X4" si="0">SUM(J5:J2306)</f>
        <v>659695000</v>
      </c>
      <c r="K4" s="451">
        <f t="shared" si="0"/>
        <v>1131024550</v>
      </c>
      <c r="L4" s="451">
        <f t="shared" si="0"/>
        <v>466057600</v>
      </c>
      <c r="M4" s="451">
        <f t="shared" si="0"/>
        <v>16486000</v>
      </c>
      <c r="N4" s="451">
        <f t="shared" si="0"/>
        <v>0</v>
      </c>
      <c r="O4" s="451">
        <f t="shared" si="0"/>
        <v>0</v>
      </c>
      <c r="P4" s="451">
        <f t="shared" si="0"/>
        <v>0</v>
      </c>
      <c r="Q4" s="451">
        <f t="shared" si="0"/>
        <v>90707800</v>
      </c>
      <c r="R4" s="451">
        <f t="shared" si="0"/>
        <v>72966100</v>
      </c>
      <c r="S4" s="451">
        <f t="shared" si="0"/>
        <v>235949087.09</v>
      </c>
      <c r="T4" s="451">
        <f t="shared" si="0"/>
        <v>459823000</v>
      </c>
      <c r="U4" s="451">
        <f t="shared" si="0"/>
        <v>74278000</v>
      </c>
      <c r="V4" s="451">
        <f t="shared" si="0"/>
        <v>28657069.18</v>
      </c>
      <c r="W4" s="451">
        <f t="shared" si="0"/>
        <v>120000000</v>
      </c>
      <c r="X4" s="451">
        <f t="shared" si="0"/>
        <v>0</v>
      </c>
    </row>
    <row r="5" spans="1:25" x14ac:dyDescent="0.25">
      <c r="A5" s="1800" t="s">
        <v>1697</v>
      </c>
      <c r="B5" s="1800"/>
      <c r="C5" s="1800"/>
      <c r="D5" s="1800"/>
      <c r="E5" s="1800"/>
      <c r="F5" s="1800"/>
      <c r="G5" s="1800"/>
    </row>
    <row r="6" spans="1:25" x14ac:dyDescent="0.25">
      <c r="A6" s="138"/>
      <c r="B6" s="138"/>
      <c r="C6" s="139"/>
      <c r="D6" s="139"/>
      <c r="E6" s="139"/>
      <c r="F6" s="139"/>
      <c r="G6" s="139"/>
    </row>
    <row r="7" spans="1:25" x14ac:dyDescent="0.25">
      <c r="A7" s="1" t="s">
        <v>635</v>
      </c>
      <c r="B7" s="3" t="s">
        <v>636</v>
      </c>
      <c r="C7" s="3"/>
      <c r="D7" s="3"/>
      <c r="E7" s="3"/>
      <c r="F7" s="3"/>
      <c r="G7" s="3"/>
    </row>
    <row r="8" spans="1:25" x14ac:dyDescent="0.25">
      <c r="A8" s="140" t="s">
        <v>637</v>
      </c>
      <c r="B8" s="3" t="s">
        <v>638</v>
      </c>
      <c r="C8" s="3"/>
      <c r="D8" s="3"/>
      <c r="E8" s="3"/>
      <c r="F8" s="23" t="s">
        <v>6</v>
      </c>
      <c r="G8" s="3"/>
    </row>
    <row r="9" spans="1:25" ht="48.75" x14ac:dyDescent="0.25">
      <c r="A9" s="140" t="s">
        <v>402</v>
      </c>
      <c r="B9" s="3" t="s">
        <v>639</v>
      </c>
      <c r="C9" s="3"/>
      <c r="D9" s="3"/>
      <c r="E9" s="3"/>
      <c r="F9" s="10" t="s">
        <v>9</v>
      </c>
      <c r="G9" s="3"/>
    </row>
    <row r="10" spans="1:25" x14ac:dyDescent="0.25">
      <c r="A10" s="140" t="s">
        <v>36</v>
      </c>
      <c r="B10" s="3" t="s">
        <v>65</v>
      </c>
      <c r="C10" s="3"/>
      <c r="D10" s="3"/>
      <c r="E10" s="3"/>
      <c r="F10" s="3"/>
      <c r="G10" s="3"/>
    </row>
    <row r="11" spans="1:25" x14ac:dyDescent="0.25">
      <c r="A11" s="140" t="s">
        <v>11</v>
      </c>
      <c r="B11" s="3"/>
      <c r="C11" s="3"/>
      <c r="D11" s="3"/>
      <c r="E11" s="3"/>
      <c r="F11" s="3"/>
      <c r="G11" s="3"/>
    </row>
    <row r="12" spans="1:25" ht="24" x14ac:dyDescent="0.25">
      <c r="A12" s="141" t="s">
        <v>640</v>
      </c>
      <c r="B12" s="141" t="s">
        <v>12</v>
      </c>
      <c r="C12" s="1943" t="s">
        <v>13</v>
      </c>
      <c r="D12" s="1944"/>
      <c r="E12" s="11" t="s">
        <v>14</v>
      </c>
      <c r="F12" s="144" t="s">
        <v>15</v>
      </c>
      <c r="G12" s="145" t="s">
        <v>368</v>
      </c>
    </row>
    <row r="13" spans="1:25" x14ac:dyDescent="0.25">
      <c r="A13" s="146">
        <v>1</v>
      </c>
      <c r="B13" s="146">
        <v>2</v>
      </c>
      <c r="C13" s="1945">
        <v>7</v>
      </c>
      <c r="D13" s="1945"/>
      <c r="E13" s="147">
        <v>8</v>
      </c>
      <c r="F13" s="147">
        <v>9</v>
      </c>
      <c r="G13" s="147">
        <v>12</v>
      </c>
    </row>
    <row r="14" spans="1:25" x14ac:dyDescent="0.25">
      <c r="A14" s="148" t="s">
        <v>641</v>
      </c>
      <c r="B14" s="149" t="s">
        <v>86</v>
      </c>
      <c r="C14" s="144"/>
      <c r="D14" s="144"/>
      <c r="E14" s="144"/>
      <c r="F14" s="144"/>
      <c r="G14" s="144"/>
    </row>
    <row r="15" spans="1:25" x14ac:dyDescent="0.25">
      <c r="A15" s="148" t="s">
        <v>642</v>
      </c>
      <c r="B15" s="150" t="s">
        <v>88</v>
      </c>
      <c r="C15" s="4"/>
      <c r="D15" s="4"/>
      <c r="E15" s="4"/>
      <c r="F15" s="4"/>
      <c r="G15" s="4"/>
    </row>
    <row r="16" spans="1:25" ht="24.75" x14ac:dyDescent="0.25">
      <c r="A16" s="148" t="s">
        <v>643</v>
      </c>
      <c r="B16" s="151" t="s">
        <v>90</v>
      </c>
      <c r="C16" s="4"/>
      <c r="D16" s="4"/>
      <c r="E16" s="4"/>
      <c r="F16" s="4"/>
      <c r="G16" s="4"/>
    </row>
    <row r="17" spans="1:24" x14ac:dyDescent="0.25">
      <c r="A17" s="148"/>
      <c r="B17" s="151" t="s">
        <v>644</v>
      </c>
      <c r="C17" s="4"/>
      <c r="D17" s="4"/>
      <c r="E17" s="4"/>
      <c r="F17" s="4"/>
      <c r="G17" s="4"/>
    </row>
    <row r="18" spans="1:24" x14ac:dyDescent="0.25">
      <c r="A18" s="2"/>
      <c r="B18" s="4" t="s">
        <v>645</v>
      </c>
      <c r="C18" s="152">
        <v>6</v>
      </c>
      <c r="D18" s="146" t="s">
        <v>204</v>
      </c>
      <c r="E18" s="12">
        <v>15840</v>
      </c>
      <c r="F18" s="12">
        <f t="shared" ref="F18:F34" si="1">E18*C18</f>
        <v>95040</v>
      </c>
      <c r="G18" s="4" t="s">
        <v>2387</v>
      </c>
      <c r="J18" s="286">
        <f>F18</f>
        <v>95040</v>
      </c>
      <c r="X18" s="286"/>
    </row>
    <row r="19" spans="1:24" x14ac:dyDescent="0.25">
      <c r="A19" s="2"/>
      <c r="B19" s="4" t="s">
        <v>646</v>
      </c>
      <c r="C19" s="152">
        <v>20</v>
      </c>
      <c r="D19" s="146" t="s">
        <v>102</v>
      </c>
      <c r="E19" s="12">
        <v>8000</v>
      </c>
      <c r="F19" s="12">
        <f t="shared" si="1"/>
        <v>160000</v>
      </c>
      <c r="G19" s="4" t="s">
        <v>2387</v>
      </c>
      <c r="J19" s="286">
        <f t="shared" ref="J19:J45" si="2">F19</f>
        <v>160000</v>
      </c>
      <c r="X19" s="286"/>
    </row>
    <row r="20" spans="1:24" x14ac:dyDescent="0.25">
      <c r="A20" s="2"/>
      <c r="B20" s="4" t="s">
        <v>647</v>
      </c>
      <c r="C20" s="152">
        <v>3</v>
      </c>
      <c r="D20" s="146" t="s">
        <v>102</v>
      </c>
      <c r="E20" s="12">
        <v>50400</v>
      </c>
      <c r="F20" s="12">
        <f t="shared" si="1"/>
        <v>151200</v>
      </c>
      <c r="G20" s="4" t="s">
        <v>2387</v>
      </c>
      <c r="J20" s="286">
        <f t="shared" si="2"/>
        <v>151200</v>
      </c>
      <c r="X20" s="286"/>
    </row>
    <row r="21" spans="1:24" x14ac:dyDescent="0.25">
      <c r="A21" s="2"/>
      <c r="B21" s="4" t="s">
        <v>648</v>
      </c>
      <c r="C21" s="152">
        <v>5</v>
      </c>
      <c r="D21" s="146" t="s">
        <v>91</v>
      </c>
      <c r="E21" s="12">
        <v>70000</v>
      </c>
      <c r="F21" s="12">
        <f t="shared" si="1"/>
        <v>350000</v>
      </c>
      <c r="G21" s="4" t="s">
        <v>2387</v>
      </c>
      <c r="J21" s="286">
        <f t="shared" si="2"/>
        <v>350000</v>
      </c>
      <c r="X21" s="286"/>
    </row>
    <row r="22" spans="1:24" x14ac:dyDescent="0.25">
      <c r="A22" s="2"/>
      <c r="B22" s="4" t="s">
        <v>649</v>
      </c>
      <c r="C22" s="152">
        <v>14</v>
      </c>
      <c r="D22" s="146" t="s">
        <v>91</v>
      </c>
      <c r="E22" s="12">
        <v>75000</v>
      </c>
      <c r="F22" s="12">
        <f>E22*C22</f>
        <v>1050000</v>
      </c>
      <c r="G22" s="4" t="s">
        <v>2387</v>
      </c>
      <c r="J22" s="286">
        <f t="shared" si="2"/>
        <v>1050000</v>
      </c>
      <c r="X22" s="286"/>
    </row>
    <row r="23" spans="1:24" x14ac:dyDescent="0.25">
      <c r="A23" s="2"/>
      <c r="B23" s="4" t="s">
        <v>306</v>
      </c>
      <c r="C23" s="152">
        <f>73*2</f>
        <v>146</v>
      </c>
      <c r="D23" s="146" t="s">
        <v>102</v>
      </c>
      <c r="E23" s="12">
        <v>5820</v>
      </c>
      <c r="F23" s="12">
        <f t="shared" si="1"/>
        <v>849720</v>
      </c>
      <c r="G23" s="4" t="s">
        <v>2387</v>
      </c>
      <c r="J23" s="286">
        <f t="shared" si="2"/>
        <v>849720</v>
      </c>
      <c r="X23" s="286"/>
    </row>
    <row r="24" spans="1:24" x14ac:dyDescent="0.25">
      <c r="A24" s="2"/>
      <c r="B24" s="4" t="s">
        <v>650</v>
      </c>
      <c r="C24" s="152">
        <v>4</v>
      </c>
      <c r="D24" s="146" t="s">
        <v>102</v>
      </c>
      <c r="E24" s="12">
        <v>17000</v>
      </c>
      <c r="F24" s="12">
        <f t="shared" si="1"/>
        <v>68000</v>
      </c>
      <c r="G24" s="4" t="s">
        <v>2387</v>
      </c>
      <c r="J24" s="286">
        <f t="shared" si="2"/>
        <v>68000</v>
      </c>
      <c r="X24" s="286"/>
    </row>
    <row r="25" spans="1:24" x14ac:dyDescent="0.25">
      <c r="A25" s="2"/>
      <c r="B25" s="4" t="s">
        <v>651</v>
      </c>
      <c r="C25" s="152">
        <v>4</v>
      </c>
      <c r="D25" s="146" t="s">
        <v>102</v>
      </c>
      <c r="E25" s="12">
        <v>50000</v>
      </c>
      <c r="F25" s="12">
        <f t="shared" si="1"/>
        <v>200000</v>
      </c>
      <c r="G25" s="4" t="s">
        <v>2387</v>
      </c>
      <c r="J25" s="286">
        <f t="shared" si="2"/>
        <v>200000</v>
      </c>
      <c r="X25" s="286"/>
    </row>
    <row r="26" spans="1:24" x14ac:dyDescent="0.25">
      <c r="A26" s="2"/>
      <c r="B26" s="4" t="s">
        <v>652</v>
      </c>
      <c r="C26" s="152">
        <v>4</v>
      </c>
      <c r="D26" s="146" t="s">
        <v>102</v>
      </c>
      <c r="E26" s="12">
        <v>7000</v>
      </c>
      <c r="F26" s="12">
        <f t="shared" si="1"/>
        <v>28000</v>
      </c>
      <c r="G26" s="4" t="s">
        <v>2387</v>
      </c>
      <c r="J26" s="286">
        <f t="shared" si="2"/>
        <v>28000</v>
      </c>
      <c r="X26" s="286"/>
    </row>
    <row r="27" spans="1:24" x14ac:dyDescent="0.25">
      <c r="A27" s="2"/>
      <c r="B27" s="4" t="s">
        <v>653</v>
      </c>
      <c r="C27" s="152">
        <v>8</v>
      </c>
      <c r="D27" s="146" t="s">
        <v>102</v>
      </c>
      <c r="E27" s="12">
        <v>100000</v>
      </c>
      <c r="F27" s="12">
        <f t="shared" si="1"/>
        <v>800000</v>
      </c>
      <c r="G27" s="4" t="s">
        <v>2387</v>
      </c>
      <c r="J27" s="286">
        <f t="shared" si="2"/>
        <v>800000</v>
      </c>
      <c r="X27" s="286"/>
    </row>
    <row r="28" spans="1:24" x14ac:dyDescent="0.25">
      <c r="A28" s="2"/>
      <c r="B28" s="4" t="s">
        <v>654</v>
      </c>
      <c r="C28" s="152">
        <v>6</v>
      </c>
      <c r="D28" s="146" t="s">
        <v>102</v>
      </c>
      <c r="E28" s="12">
        <v>100000</v>
      </c>
      <c r="F28" s="12">
        <f t="shared" si="1"/>
        <v>600000</v>
      </c>
      <c r="G28" s="4" t="s">
        <v>2387</v>
      </c>
      <c r="J28" s="286">
        <f t="shared" si="2"/>
        <v>600000</v>
      </c>
      <c r="X28" s="286"/>
    </row>
    <row r="29" spans="1:24" x14ac:dyDescent="0.25">
      <c r="A29" s="2"/>
      <c r="B29" s="4" t="s">
        <v>655</v>
      </c>
      <c r="C29" s="152">
        <v>18</v>
      </c>
      <c r="D29" s="146" t="s">
        <v>102</v>
      </c>
      <c r="E29" s="12">
        <v>12000</v>
      </c>
      <c r="F29" s="12">
        <f t="shared" si="1"/>
        <v>216000</v>
      </c>
      <c r="G29" s="4" t="s">
        <v>2387</v>
      </c>
      <c r="J29" s="286">
        <f t="shared" si="2"/>
        <v>216000</v>
      </c>
      <c r="X29" s="286"/>
    </row>
    <row r="30" spans="1:24" x14ac:dyDescent="0.25">
      <c r="A30" s="2"/>
      <c r="B30" s="4" t="s">
        <v>656</v>
      </c>
      <c r="C30" s="152">
        <v>2</v>
      </c>
      <c r="D30" s="146" t="s">
        <v>102</v>
      </c>
      <c r="E30" s="12">
        <v>10800</v>
      </c>
      <c r="F30" s="12">
        <f t="shared" si="1"/>
        <v>21600</v>
      </c>
      <c r="G30" s="4" t="s">
        <v>2387</v>
      </c>
      <c r="J30" s="286">
        <f t="shared" si="2"/>
        <v>21600</v>
      </c>
      <c r="X30" s="286"/>
    </row>
    <row r="31" spans="1:24" x14ac:dyDescent="0.25">
      <c r="A31" s="2"/>
      <c r="B31" s="4" t="s">
        <v>657</v>
      </c>
      <c r="C31" s="152">
        <v>18</v>
      </c>
      <c r="D31" s="146" t="s">
        <v>102</v>
      </c>
      <c r="E31" s="12">
        <v>4200</v>
      </c>
      <c r="F31" s="12">
        <f t="shared" si="1"/>
        <v>75600</v>
      </c>
      <c r="G31" s="4" t="s">
        <v>2387</v>
      </c>
      <c r="J31" s="286">
        <f t="shared" si="2"/>
        <v>75600</v>
      </c>
      <c r="X31" s="286"/>
    </row>
    <row r="32" spans="1:24" x14ac:dyDescent="0.25">
      <c r="A32" s="2"/>
      <c r="B32" s="4" t="s">
        <v>658</v>
      </c>
      <c r="C32" s="152">
        <v>40</v>
      </c>
      <c r="D32" s="146" t="s">
        <v>102</v>
      </c>
      <c r="E32" s="12">
        <v>4800</v>
      </c>
      <c r="F32" s="12">
        <f t="shared" si="1"/>
        <v>192000</v>
      </c>
      <c r="G32" s="4" t="s">
        <v>2387</v>
      </c>
      <c r="J32" s="286">
        <f t="shared" si="2"/>
        <v>192000</v>
      </c>
      <c r="X32" s="286"/>
    </row>
    <row r="33" spans="1:24" x14ac:dyDescent="0.25">
      <c r="A33" s="2"/>
      <c r="B33" s="4" t="s">
        <v>659</v>
      </c>
      <c r="C33" s="152">
        <v>2</v>
      </c>
      <c r="D33" s="146" t="s">
        <v>361</v>
      </c>
      <c r="E33" s="12">
        <v>82000</v>
      </c>
      <c r="F33" s="12">
        <f t="shared" si="1"/>
        <v>164000</v>
      </c>
      <c r="G33" s="4" t="s">
        <v>2387</v>
      </c>
      <c r="J33" s="286">
        <f t="shared" si="2"/>
        <v>164000</v>
      </c>
      <c r="X33" s="286"/>
    </row>
    <row r="34" spans="1:24" x14ac:dyDescent="0.25">
      <c r="A34" s="2"/>
      <c r="B34" s="4" t="s">
        <v>660</v>
      </c>
      <c r="C34" s="152">
        <v>20</v>
      </c>
      <c r="D34" s="146" t="s">
        <v>361</v>
      </c>
      <c r="E34" s="12">
        <v>46000</v>
      </c>
      <c r="F34" s="12">
        <f t="shared" si="1"/>
        <v>920000</v>
      </c>
      <c r="G34" s="4" t="s">
        <v>2387</v>
      </c>
      <c r="J34" s="286">
        <f t="shared" si="2"/>
        <v>920000</v>
      </c>
      <c r="R34" s="286"/>
      <c r="X34" s="286"/>
    </row>
    <row r="35" spans="1:24" x14ac:dyDescent="0.25">
      <c r="A35" s="2"/>
      <c r="B35" s="4" t="s">
        <v>661</v>
      </c>
      <c r="C35" s="152">
        <v>10</v>
      </c>
      <c r="D35" s="146" t="s">
        <v>361</v>
      </c>
      <c r="E35" s="12">
        <v>10000</v>
      </c>
      <c r="F35" s="12">
        <f>E35*C35</f>
        <v>100000</v>
      </c>
      <c r="G35" s="4" t="s">
        <v>2387</v>
      </c>
      <c r="J35" s="286">
        <f t="shared" si="2"/>
        <v>100000</v>
      </c>
      <c r="X35" s="286"/>
    </row>
    <row r="36" spans="1:24" x14ac:dyDescent="0.25">
      <c r="A36" s="2"/>
      <c r="B36" s="4" t="s">
        <v>662</v>
      </c>
      <c r="C36" s="152">
        <v>20</v>
      </c>
      <c r="D36" s="146" t="s">
        <v>312</v>
      </c>
      <c r="E36" s="12">
        <v>5000</v>
      </c>
      <c r="F36" s="12">
        <f t="shared" ref="F36:F52" si="3">E36*C36</f>
        <v>100000</v>
      </c>
      <c r="G36" s="4" t="s">
        <v>2387</v>
      </c>
      <c r="J36" s="286">
        <f t="shared" si="2"/>
        <v>100000</v>
      </c>
      <c r="X36" s="286"/>
    </row>
    <row r="37" spans="1:24" x14ac:dyDescent="0.25">
      <c r="A37" s="2"/>
      <c r="B37" s="4" t="s">
        <v>663</v>
      </c>
      <c r="C37" s="152">
        <v>3</v>
      </c>
      <c r="D37" s="146" t="s">
        <v>102</v>
      </c>
      <c r="E37" s="12">
        <v>6000</v>
      </c>
      <c r="F37" s="12">
        <f t="shared" si="3"/>
        <v>18000</v>
      </c>
      <c r="G37" s="4" t="s">
        <v>2387</v>
      </c>
      <c r="J37" s="286">
        <f t="shared" si="2"/>
        <v>18000</v>
      </c>
      <c r="X37" s="286"/>
    </row>
    <row r="38" spans="1:24" x14ac:dyDescent="0.25">
      <c r="A38" s="2"/>
      <c r="B38" s="4" t="s">
        <v>664</v>
      </c>
      <c r="C38" s="152">
        <v>3</v>
      </c>
      <c r="D38" s="146" t="s">
        <v>102</v>
      </c>
      <c r="E38" s="12">
        <v>21000</v>
      </c>
      <c r="F38" s="12">
        <f t="shared" si="3"/>
        <v>63000</v>
      </c>
      <c r="G38" s="4" t="s">
        <v>2387</v>
      </c>
      <c r="J38" s="286">
        <f t="shared" si="2"/>
        <v>63000</v>
      </c>
      <c r="X38" s="286"/>
    </row>
    <row r="39" spans="1:24" x14ac:dyDescent="0.25">
      <c r="A39" s="2"/>
      <c r="B39" s="4" t="s">
        <v>665</v>
      </c>
      <c r="C39" s="152">
        <v>4</v>
      </c>
      <c r="D39" s="146" t="s">
        <v>361</v>
      </c>
      <c r="E39" s="12">
        <v>28800</v>
      </c>
      <c r="F39" s="12">
        <f t="shared" si="3"/>
        <v>115200</v>
      </c>
      <c r="G39" s="4" t="s">
        <v>2387</v>
      </c>
      <c r="J39" s="286">
        <f t="shared" si="2"/>
        <v>115200</v>
      </c>
      <c r="X39" s="286"/>
    </row>
    <row r="40" spans="1:24" x14ac:dyDescent="0.25">
      <c r="A40" s="2"/>
      <c r="B40" s="153" t="s">
        <v>666</v>
      </c>
      <c r="C40" s="152">
        <v>4</v>
      </c>
      <c r="D40" s="146" t="s">
        <v>102</v>
      </c>
      <c r="E40" s="27">
        <v>26000</v>
      </c>
      <c r="F40" s="12">
        <f t="shared" si="3"/>
        <v>104000</v>
      </c>
      <c r="G40" s="4" t="s">
        <v>2387</v>
      </c>
      <c r="J40" s="286">
        <f t="shared" si="2"/>
        <v>104000</v>
      </c>
      <c r="X40" s="286"/>
    </row>
    <row r="41" spans="1:24" x14ac:dyDescent="0.25">
      <c r="A41" s="148"/>
      <c r="B41" s="4" t="s">
        <v>667</v>
      </c>
      <c r="C41" s="152">
        <v>1</v>
      </c>
      <c r="D41" s="146" t="s">
        <v>102</v>
      </c>
      <c r="E41" s="22">
        <v>190000</v>
      </c>
      <c r="F41" s="12">
        <f t="shared" si="3"/>
        <v>190000</v>
      </c>
      <c r="G41" s="4" t="s">
        <v>2387</v>
      </c>
      <c r="J41" s="286">
        <f t="shared" si="2"/>
        <v>190000</v>
      </c>
      <c r="X41" s="286"/>
    </row>
    <row r="42" spans="1:24" x14ac:dyDescent="0.25">
      <c r="A42" s="148"/>
      <c r="B42" s="4" t="s">
        <v>668</v>
      </c>
      <c r="C42" s="152">
        <v>70</v>
      </c>
      <c r="D42" s="146" t="s">
        <v>102</v>
      </c>
      <c r="E42" s="22">
        <v>5000</v>
      </c>
      <c r="F42" s="12">
        <f t="shared" si="3"/>
        <v>350000</v>
      </c>
      <c r="G42" s="4" t="s">
        <v>2387</v>
      </c>
      <c r="J42" s="286">
        <f t="shared" si="2"/>
        <v>350000</v>
      </c>
      <c r="X42" s="286"/>
    </row>
    <row r="43" spans="1:24" x14ac:dyDescent="0.25">
      <c r="A43" s="148"/>
      <c r="B43" s="4" t="s">
        <v>669</v>
      </c>
      <c r="C43" s="152">
        <v>70</v>
      </c>
      <c r="D43" s="146" t="s">
        <v>102</v>
      </c>
      <c r="E43" s="22">
        <v>7000</v>
      </c>
      <c r="F43" s="12">
        <f t="shared" si="3"/>
        <v>490000</v>
      </c>
      <c r="G43" s="4" t="s">
        <v>2387</v>
      </c>
      <c r="J43" s="286">
        <f t="shared" si="2"/>
        <v>490000</v>
      </c>
      <c r="X43" s="286"/>
    </row>
    <row r="44" spans="1:24" x14ac:dyDescent="0.25">
      <c r="A44" s="148"/>
      <c r="B44" s="153" t="s">
        <v>670</v>
      </c>
      <c r="C44" s="152">
        <v>70</v>
      </c>
      <c r="D44" s="146" t="s">
        <v>102</v>
      </c>
      <c r="E44" s="27">
        <v>7000</v>
      </c>
      <c r="F44" s="12">
        <f t="shared" si="3"/>
        <v>490000</v>
      </c>
      <c r="G44" s="4" t="s">
        <v>2387</v>
      </c>
      <c r="J44" s="286">
        <f t="shared" si="2"/>
        <v>490000</v>
      </c>
      <c r="X44" s="286"/>
    </row>
    <row r="45" spans="1:24" x14ac:dyDescent="0.25">
      <c r="A45" s="148"/>
      <c r="B45" s="153" t="s">
        <v>671</v>
      </c>
      <c r="C45" s="152">
        <v>70</v>
      </c>
      <c r="D45" s="146" t="s">
        <v>102</v>
      </c>
      <c r="E45" s="27">
        <v>50000</v>
      </c>
      <c r="F45" s="12">
        <f t="shared" si="3"/>
        <v>3500000</v>
      </c>
      <c r="G45" s="4" t="s">
        <v>2387</v>
      </c>
      <c r="J45" s="286">
        <f t="shared" si="2"/>
        <v>3500000</v>
      </c>
      <c r="X45" s="286"/>
    </row>
    <row r="46" spans="1:24" ht="24.75" x14ac:dyDescent="0.25">
      <c r="A46" s="148"/>
      <c r="B46" s="153" t="s">
        <v>672</v>
      </c>
      <c r="C46" s="152">
        <v>1</v>
      </c>
      <c r="D46" s="146" t="s">
        <v>204</v>
      </c>
      <c r="E46" s="27">
        <v>8000000</v>
      </c>
      <c r="F46" s="12">
        <f t="shared" si="3"/>
        <v>8000000</v>
      </c>
      <c r="G46" s="4" t="s">
        <v>2624</v>
      </c>
      <c r="J46" s="286"/>
      <c r="R46" s="286">
        <f>F46</f>
        <v>8000000</v>
      </c>
      <c r="X46" s="286"/>
    </row>
    <row r="47" spans="1:24" ht="24.75" x14ac:dyDescent="0.25">
      <c r="A47" s="148"/>
      <c r="B47" s="153" t="s">
        <v>673</v>
      </c>
      <c r="C47" s="152">
        <v>1</v>
      </c>
      <c r="D47" s="146" t="s">
        <v>204</v>
      </c>
      <c r="E47" s="27">
        <v>1000000</v>
      </c>
      <c r="F47" s="12">
        <f t="shared" si="3"/>
        <v>1000000</v>
      </c>
      <c r="G47" s="4" t="s">
        <v>2624</v>
      </c>
      <c r="J47" s="286"/>
      <c r="R47" s="286">
        <f t="shared" ref="R47:R54" si="4">F47</f>
        <v>1000000</v>
      </c>
      <c r="X47" s="286"/>
    </row>
    <row r="48" spans="1:24" ht="24.75" x14ac:dyDescent="0.25">
      <c r="A48" s="148"/>
      <c r="B48" s="153" t="s">
        <v>475</v>
      </c>
      <c r="C48" s="152">
        <v>1</v>
      </c>
      <c r="D48" s="146" t="s">
        <v>129</v>
      </c>
      <c r="E48" s="27">
        <v>3000000</v>
      </c>
      <c r="F48" s="12">
        <f t="shared" si="3"/>
        <v>3000000</v>
      </c>
      <c r="G48" s="4" t="s">
        <v>2624</v>
      </c>
      <c r="J48" s="286"/>
      <c r="R48" s="286">
        <f t="shared" si="4"/>
        <v>3000000</v>
      </c>
      <c r="X48" s="286"/>
    </row>
    <row r="49" spans="1:24" ht="24.75" x14ac:dyDescent="0.25">
      <c r="A49" s="148"/>
      <c r="B49" s="153" t="s">
        <v>674</v>
      </c>
      <c r="C49" s="152">
        <v>1</v>
      </c>
      <c r="D49" s="146" t="s">
        <v>204</v>
      </c>
      <c r="E49" s="27">
        <v>3000000</v>
      </c>
      <c r="F49" s="12">
        <f t="shared" si="3"/>
        <v>3000000</v>
      </c>
      <c r="G49" s="4" t="s">
        <v>2624</v>
      </c>
      <c r="J49" s="286"/>
      <c r="R49" s="286">
        <f t="shared" si="4"/>
        <v>3000000</v>
      </c>
      <c r="X49" s="286"/>
    </row>
    <row r="50" spans="1:24" ht="24.75" x14ac:dyDescent="0.25">
      <c r="A50" s="148"/>
      <c r="B50" s="153" t="s">
        <v>675</v>
      </c>
      <c r="C50" s="152">
        <v>6</v>
      </c>
      <c r="D50" s="146" t="s">
        <v>129</v>
      </c>
      <c r="E50" s="27">
        <v>1000000</v>
      </c>
      <c r="F50" s="12">
        <f t="shared" si="3"/>
        <v>6000000</v>
      </c>
      <c r="G50" s="4" t="s">
        <v>2624</v>
      </c>
      <c r="J50" s="286"/>
      <c r="R50" s="286">
        <f t="shared" si="4"/>
        <v>6000000</v>
      </c>
      <c r="X50" s="286"/>
    </row>
    <row r="51" spans="1:24" ht="24.75" x14ac:dyDescent="0.25">
      <c r="A51" s="148"/>
      <c r="B51" s="153" t="s">
        <v>676</v>
      </c>
      <c r="C51" s="152">
        <v>1</v>
      </c>
      <c r="D51" s="146" t="s">
        <v>129</v>
      </c>
      <c r="E51" s="27">
        <v>1000000</v>
      </c>
      <c r="F51" s="12">
        <f t="shared" si="3"/>
        <v>1000000</v>
      </c>
      <c r="G51" s="4" t="s">
        <v>2624</v>
      </c>
      <c r="J51" s="286"/>
      <c r="R51" s="286">
        <f t="shared" si="4"/>
        <v>1000000</v>
      </c>
      <c r="X51" s="286"/>
    </row>
    <row r="52" spans="1:24" ht="24.75" x14ac:dyDescent="0.25">
      <c r="A52" s="148"/>
      <c r="B52" s="153" t="s">
        <v>677</v>
      </c>
      <c r="C52" s="152">
        <v>1</v>
      </c>
      <c r="D52" s="146" t="s">
        <v>129</v>
      </c>
      <c r="E52" s="27">
        <v>1000000</v>
      </c>
      <c r="F52" s="12">
        <f t="shared" si="3"/>
        <v>1000000</v>
      </c>
      <c r="G52" s="4" t="s">
        <v>2624</v>
      </c>
      <c r="J52" s="286"/>
      <c r="R52" s="286">
        <f t="shared" si="4"/>
        <v>1000000</v>
      </c>
      <c r="X52" s="286"/>
    </row>
    <row r="53" spans="1:24" x14ac:dyDescent="0.25">
      <c r="A53" s="148"/>
      <c r="B53" s="154" t="s">
        <v>678</v>
      </c>
      <c r="C53" s="152"/>
      <c r="D53" s="146"/>
      <c r="E53" s="27"/>
      <c r="F53" s="12"/>
      <c r="G53" s="4"/>
      <c r="R53" s="286"/>
    </row>
    <row r="54" spans="1:24" ht="24.75" x14ac:dyDescent="0.25">
      <c r="A54" s="148"/>
      <c r="B54" s="153" t="s">
        <v>679</v>
      </c>
      <c r="C54" s="152">
        <v>70</v>
      </c>
      <c r="D54" s="146" t="s">
        <v>95</v>
      </c>
      <c r="E54" s="27">
        <v>5000</v>
      </c>
      <c r="F54" s="12">
        <f>E54*C54</f>
        <v>350000</v>
      </c>
      <c r="G54" s="4" t="s">
        <v>2624</v>
      </c>
      <c r="R54" s="286">
        <f t="shared" si="4"/>
        <v>350000</v>
      </c>
      <c r="X54" s="286"/>
    </row>
    <row r="55" spans="1:24" ht="24.75" x14ac:dyDescent="0.25">
      <c r="A55" s="148"/>
      <c r="B55" s="153" t="s">
        <v>680</v>
      </c>
      <c r="C55" s="152">
        <v>300</v>
      </c>
      <c r="D55" s="146" t="s">
        <v>102</v>
      </c>
      <c r="E55" s="12">
        <v>6000</v>
      </c>
      <c r="F55" s="12">
        <f t="shared" ref="F55:F72" si="5">E55*C55</f>
        <v>1800000</v>
      </c>
      <c r="G55" s="4" t="s">
        <v>2624</v>
      </c>
      <c r="R55" s="286">
        <f t="shared" ref="R55:R75" si="6">F55</f>
        <v>1800000</v>
      </c>
      <c r="X55" s="286"/>
    </row>
    <row r="56" spans="1:24" ht="24.75" x14ac:dyDescent="0.25">
      <c r="A56" s="148"/>
      <c r="B56" s="153" t="s">
        <v>681</v>
      </c>
      <c r="C56" s="152">
        <v>420</v>
      </c>
      <c r="D56" s="146" t="s">
        <v>102</v>
      </c>
      <c r="E56" s="27">
        <v>8500</v>
      </c>
      <c r="F56" s="12">
        <f t="shared" si="5"/>
        <v>3570000</v>
      </c>
      <c r="G56" s="4" t="s">
        <v>2624</v>
      </c>
      <c r="R56" s="286">
        <f t="shared" si="6"/>
        <v>3570000</v>
      </c>
      <c r="X56" s="286"/>
    </row>
    <row r="57" spans="1:24" ht="24.75" x14ac:dyDescent="0.25">
      <c r="A57" s="148"/>
      <c r="B57" s="153" t="s">
        <v>682</v>
      </c>
      <c r="C57" s="152">
        <v>140</v>
      </c>
      <c r="D57" s="146" t="s">
        <v>565</v>
      </c>
      <c r="E57" s="27">
        <v>25000</v>
      </c>
      <c r="F57" s="12">
        <f t="shared" si="5"/>
        <v>3500000</v>
      </c>
      <c r="G57" s="4" t="s">
        <v>2624</v>
      </c>
      <c r="R57" s="286">
        <f t="shared" si="6"/>
        <v>3500000</v>
      </c>
      <c r="X57" s="286"/>
    </row>
    <row r="58" spans="1:24" ht="24.75" x14ac:dyDescent="0.25">
      <c r="A58" s="148"/>
      <c r="B58" s="153" t="s">
        <v>683</v>
      </c>
      <c r="C58" s="152">
        <v>300</v>
      </c>
      <c r="D58" s="146" t="s">
        <v>102</v>
      </c>
      <c r="E58" s="27">
        <v>4500</v>
      </c>
      <c r="F58" s="12">
        <f t="shared" si="5"/>
        <v>1350000</v>
      </c>
      <c r="G58" s="4" t="s">
        <v>2624</v>
      </c>
      <c r="R58" s="286">
        <f t="shared" si="6"/>
        <v>1350000</v>
      </c>
      <c r="X58" s="286"/>
    </row>
    <row r="59" spans="1:24" ht="24.75" x14ac:dyDescent="0.25">
      <c r="A59" s="148"/>
      <c r="B59" s="153" t="s">
        <v>684</v>
      </c>
      <c r="C59" s="152">
        <v>300</v>
      </c>
      <c r="D59" s="146" t="s">
        <v>102</v>
      </c>
      <c r="E59" s="27">
        <v>3600</v>
      </c>
      <c r="F59" s="12">
        <f t="shared" si="5"/>
        <v>1080000</v>
      </c>
      <c r="G59" s="4" t="s">
        <v>2624</v>
      </c>
      <c r="R59" s="286">
        <f t="shared" si="6"/>
        <v>1080000</v>
      </c>
      <c r="X59" s="286"/>
    </row>
    <row r="60" spans="1:24" ht="24.75" x14ac:dyDescent="0.25">
      <c r="A60" s="148"/>
      <c r="B60" s="153" t="s">
        <v>685</v>
      </c>
      <c r="C60" s="152">
        <v>140</v>
      </c>
      <c r="D60" s="146" t="s">
        <v>102</v>
      </c>
      <c r="E60" s="27">
        <v>4200</v>
      </c>
      <c r="F60" s="12">
        <f t="shared" si="5"/>
        <v>588000</v>
      </c>
      <c r="G60" s="4" t="s">
        <v>2624</v>
      </c>
      <c r="R60" s="286">
        <f t="shared" si="6"/>
        <v>588000</v>
      </c>
      <c r="X60" s="286"/>
    </row>
    <row r="61" spans="1:24" ht="24.75" x14ac:dyDescent="0.25">
      <c r="A61" s="148"/>
      <c r="B61" s="153" t="s">
        <v>686</v>
      </c>
      <c r="C61" s="152">
        <v>70</v>
      </c>
      <c r="D61" s="146" t="s">
        <v>102</v>
      </c>
      <c r="E61" s="27">
        <v>27600</v>
      </c>
      <c r="F61" s="12">
        <f t="shared" si="5"/>
        <v>1932000</v>
      </c>
      <c r="G61" s="4" t="s">
        <v>2624</v>
      </c>
      <c r="R61" s="286">
        <f t="shared" si="6"/>
        <v>1932000</v>
      </c>
      <c r="X61" s="286"/>
    </row>
    <row r="62" spans="1:24" ht="24.75" x14ac:dyDescent="0.25">
      <c r="A62" s="148"/>
      <c r="B62" s="153" t="s">
        <v>687</v>
      </c>
      <c r="C62" s="152">
        <v>6</v>
      </c>
      <c r="D62" s="146" t="s">
        <v>91</v>
      </c>
      <c r="E62" s="27">
        <v>20000</v>
      </c>
      <c r="F62" s="12">
        <f t="shared" si="5"/>
        <v>120000</v>
      </c>
      <c r="G62" s="4" t="s">
        <v>2624</v>
      </c>
      <c r="R62" s="286">
        <f t="shared" si="6"/>
        <v>120000</v>
      </c>
      <c r="X62" s="286"/>
    </row>
    <row r="63" spans="1:24" ht="24.75" x14ac:dyDescent="0.25">
      <c r="A63" s="148"/>
      <c r="B63" s="153" t="s">
        <v>688</v>
      </c>
      <c r="C63" s="152">
        <v>70</v>
      </c>
      <c r="D63" s="146" t="s">
        <v>689</v>
      </c>
      <c r="E63" s="27">
        <v>220000</v>
      </c>
      <c r="F63" s="12">
        <f t="shared" si="5"/>
        <v>15400000</v>
      </c>
      <c r="G63" s="4" t="s">
        <v>2624</v>
      </c>
      <c r="R63" s="286">
        <f t="shared" si="6"/>
        <v>15400000</v>
      </c>
      <c r="S63" s="286"/>
      <c r="X63" s="286"/>
    </row>
    <row r="64" spans="1:24" ht="24.75" x14ac:dyDescent="0.25">
      <c r="A64" s="148"/>
      <c r="B64" s="153" t="s">
        <v>690</v>
      </c>
      <c r="C64" s="152">
        <v>6</v>
      </c>
      <c r="D64" s="146" t="s">
        <v>565</v>
      </c>
      <c r="E64" s="27">
        <v>30000</v>
      </c>
      <c r="F64" s="12">
        <f t="shared" si="5"/>
        <v>180000</v>
      </c>
      <c r="G64" s="4" t="s">
        <v>2624</v>
      </c>
      <c r="R64" s="286">
        <f t="shared" si="6"/>
        <v>180000</v>
      </c>
      <c r="X64" s="286"/>
    </row>
    <row r="65" spans="1:24" ht="24.75" x14ac:dyDescent="0.25">
      <c r="A65" s="148"/>
      <c r="B65" s="153" t="s">
        <v>691</v>
      </c>
      <c r="C65" s="152">
        <v>70</v>
      </c>
      <c r="D65" s="146" t="s">
        <v>102</v>
      </c>
      <c r="E65" s="27">
        <v>6000</v>
      </c>
      <c r="F65" s="12">
        <f t="shared" si="5"/>
        <v>420000</v>
      </c>
      <c r="G65" s="4" t="s">
        <v>2624</v>
      </c>
      <c r="R65" s="286">
        <f t="shared" si="6"/>
        <v>420000</v>
      </c>
      <c r="X65" s="286"/>
    </row>
    <row r="66" spans="1:24" ht="24.75" x14ac:dyDescent="0.25">
      <c r="A66" s="148"/>
      <c r="B66" s="153" t="s">
        <v>1712</v>
      </c>
      <c r="C66" s="152">
        <v>30</v>
      </c>
      <c r="D66" s="146" t="s">
        <v>565</v>
      </c>
      <c r="E66" s="27">
        <v>40000</v>
      </c>
      <c r="F66" s="12">
        <f t="shared" si="5"/>
        <v>1200000</v>
      </c>
      <c r="G66" s="4" t="s">
        <v>2624</v>
      </c>
      <c r="R66" s="286">
        <f t="shared" si="6"/>
        <v>1200000</v>
      </c>
      <c r="X66" s="286"/>
    </row>
    <row r="67" spans="1:24" ht="24.75" x14ac:dyDescent="0.25">
      <c r="A67" s="148"/>
      <c r="B67" s="153" t="s">
        <v>692</v>
      </c>
      <c r="C67" s="152">
        <v>70</v>
      </c>
      <c r="D67" s="146" t="s">
        <v>102</v>
      </c>
      <c r="E67" s="27">
        <v>10000</v>
      </c>
      <c r="F67" s="12">
        <f t="shared" si="5"/>
        <v>700000</v>
      </c>
      <c r="G67" s="4" t="s">
        <v>2624</v>
      </c>
      <c r="R67" s="286">
        <f t="shared" si="6"/>
        <v>700000</v>
      </c>
      <c r="X67" s="286"/>
    </row>
    <row r="68" spans="1:24" ht="24.75" x14ac:dyDescent="0.25">
      <c r="A68" s="148"/>
      <c r="B68" s="153" t="s">
        <v>693</v>
      </c>
      <c r="C68" s="152">
        <v>12</v>
      </c>
      <c r="D68" s="146" t="s">
        <v>102</v>
      </c>
      <c r="E68" s="27">
        <v>45000</v>
      </c>
      <c r="F68" s="12">
        <f t="shared" si="5"/>
        <v>540000</v>
      </c>
      <c r="G68" s="4" t="s">
        <v>2624</v>
      </c>
      <c r="R68" s="286">
        <f t="shared" si="6"/>
        <v>540000</v>
      </c>
      <c r="X68" s="286"/>
    </row>
    <row r="69" spans="1:24" ht="24.75" x14ac:dyDescent="0.25">
      <c r="A69" s="148"/>
      <c r="B69" s="153" t="s">
        <v>694</v>
      </c>
      <c r="C69" s="152">
        <v>72</v>
      </c>
      <c r="D69" s="146" t="s">
        <v>527</v>
      </c>
      <c r="E69" s="27">
        <v>2500</v>
      </c>
      <c r="F69" s="12">
        <f t="shared" si="5"/>
        <v>180000</v>
      </c>
      <c r="G69" s="4" t="s">
        <v>2624</v>
      </c>
      <c r="R69" s="286">
        <f t="shared" si="6"/>
        <v>180000</v>
      </c>
      <c r="X69" s="286"/>
    </row>
    <row r="70" spans="1:24" ht="24.75" x14ac:dyDescent="0.25">
      <c r="A70" s="148"/>
      <c r="B70" s="153" t="s">
        <v>695</v>
      </c>
      <c r="C70" s="152">
        <v>4</v>
      </c>
      <c r="D70" s="146" t="s">
        <v>528</v>
      </c>
      <c r="E70" s="27">
        <v>15000</v>
      </c>
      <c r="F70" s="12">
        <f t="shared" si="5"/>
        <v>60000</v>
      </c>
      <c r="G70" s="4" t="s">
        <v>2624</v>
      </c>
      <c r="R70" s="286">
        <f t="shared" si="6"/>
        <v>60000</v>
      </c>
      <c r="X70" s="286"/>
    </row>
    <row r="71" spans="1:24" ht="24.75" x14ac:dyDescent="0.25">
      <c r="A71" s="148"/>
      <c r="B71" s="153" t="s">
        <v>696</v>
      </c>
      <c r="C71" s="152">
        <v>5</v>
      </c>
      <c r="D71" s="146" t="s">
        <v>527</v>
      </c>
      <c r="E71" s="27">
        <v>100000</v>
      </c>
      <c r="F71" s="12">
        <f t="shared" si="5"/>
        <v>500000</v>
      </c>
      <c r="G71" s="4" t="s">
        <v>2624</v>
      </c>
      <c r="R71" s="286">
        <f t="shared" si="6"/>
        <v>500000</v>
      </c>
      <c r="X71" s="286"/>
    </row>
    <row r="72" spans="1:24" ht="24.75" x14ac:dyDescent="0.25">
      <c r="A72" s="148"/>
      <c r="B72" s="153" t="s">
        <v>697</v>
      </c>
      <c r="C72" s="152">
        <v>15</v>
      </c>
      <c r="D72" s="146" t="s">
        <v>102</v>
      </c>
      <c r="E72" s="83">
        <v>15000</v>
      </c>
      <c r="F72" s="155">
        <f t="shared" si="5"/>
        <v>225000</v>
      </c>
      <c r="G72" s="4" t="s">
        <v>2624</v>
      </c>
      <c r="R72" s="286">
        <f t="shared" si="6"/>
        <v>225000</v>
      </c>
      <c r="X72" s="286"/>
    </row>
    <row r="73" spans="1:24" ht="24.75" x14ac:dyDescent="0.25">
      <c r="A73" s="148"/>
      <c r="B73" s="153" t="s">
        <v>698</v>
      </c>
      <c r="C73" s="152">
        <v>2</v>
      </c>
      <c r="D73" s="146" t="s">
        <v>527</v>
      </c>
      <c r="E73" s="83">
        <v>50000</v>
      </c>
      <c r="F73" s="155">
        <f>E73*C73</f>
        <v>100000</v>
      </c>
      <c r="G73" s="4" t="s">
        <v>2624</v>
      </c>
      <c r="R73" s="286">
        <f t="shared" si="6"/>
        <v>100000</v>
      </c>
      <c r="X73" s="286"/>
    </row>
    <row r="74" spans="1:24" ht="24.75" x14ac:dyDescent="0.25">
      <c r="A74" s="148" t="s">
        <v>699</v>
      </c>
      <c r="B74" s="150" t="s">
        <v>700</v>
      </c>
      <c r="C74" s="152"/>
      <c r="D74" s="146"/>
      <c r="E74" s="22"/>
      <c r="F74" s="22"/>
      <c r="G74" s="4"/>
      <c r="R74" s="286">
        <f t="shared" si="6"/>
        <v>0</v>
      </c>
    </row>
    <row r="75" spans="1:24" ht="24.75" x14ac:dyDescent="0.25">
      <c r="A75" s="148"/>
      <c r="B75" s="4" t="s">
        <v>701</v>
      </c>
      <c r="C75" s="152">
        <v>16</v>
      </c>
      <c r="D75" s="146" t="s">
        <v>102</v>
      </c>
      <c r="E75" s="22">
        <v>80000</v>
      </c>
      <c r="F75" s="22">
        <f>C75*E75</f>
        <v>1280000</v>
      </c>
      <c r="G75" s="4" t="s">
        <v>2624</v>
      </c>
      <c r="K75" s="175"/>
      <c r="R75" s="286">
        <f t="shared" si="6"/>
        <v>1280000</v>
      </c>
      <c r="S75" s="175"/>
    </row>
    <row r="76" spans="1:24" x14ac:dyDescent="0.25">
      <c r="A76" s="148"/>
      <c r="B76" s="153"/>
      <c r="C76" s="16"/>
      <c r="D76" s="146"/>
      <c r="E76" s="152"/>
      <c r="F76" s="156"/>
      <c r="G76" s="4"/>
    </row>
    <row r="77" spans="1:24" ht="36.75" x14ac:dyDescent="0.25">
      <c r="A77" s="148" t="s">
        <v>702</v>
      </c>
      <c r="B77" s="150" t="s">
        <v>131</v>
      </c>
      <c r="C77" s="152"/>
      <c r="D77" s="146"/>
      <c r="E77" s="22"/>
      <c r="F77" s="22"/>
      <c r="G77" s="4"/>
    </row>
    <row r="78" spans="1:24" ht="24.75" x14ac:dyDescent="0.25">
      <c r="A78" s="2"/>
      <c r="B78" s="4" t="s">
        <v>703</v>
      </c>
      <c r="C78" s="152">
        <v>6</v>
      </c>
      <c r="D78" s="146" t="s">
        <v>102</v>
      </c>
      <c r="E78" s="22">
        <v>10000</v>
      </c>
      <c r="F78" s="22">
        <f t="shared" ref="F78:F98" si="7">C78*E78</f>
        <v>60000</v>
      </c>
      <c r="G78" s="4" t="s">
        <v>2624</v>
      </c>
      <c r="R78" s="175">
        <f>F78</f>
        <v>60000</v>
      </c>
    </row>
    <row r="79" spans="1:24" ht="24.75" x14ac:dyDescent="0.25">
      <c r="A79" s="2"/>
      <c r="B79" s="4" t="s">
        <v>704</v>
      </c>
      <c r="C79" s="152">
        <v>14</v>
      </c>
      <c r="D79" s="146" t="s">
        <v>102</v>
      </c>
      <c r="E79" s="22">
        <v>30000</v>
      </c>
      <c r="F79" s="22">
        <f t="shared" si="7"/>
        <v>420000</v>
      </c>
      <c r="G79" s="4" t="s">
        <v>2624</v>
      </c>
      <c r="R79" s="175">
        <f t="shared" ref="R79:R98" si="8">F79</f>
        <v>420000</v>
      </c>
    </row>
    <row r="80" spans="1:24" ht="24.75" x14ac:dyDescent="0.25">
      <c r="A80" s="2"/>
      <c r="B80" s="4" t="s">
        <v>705</v>
      </c>
      <c r="C80" s="152">
        <v>7</v>
      </c>
      <c r="D80" s="146" t="s">
        <v>102</v>
      </c>
      <c r="E80" s="22">
        <v>35000</v>
      </c>
      <c r="F80" s="22">
        <f>C80*E80</f>
        <v>245000</v>
      </c>
      <c r="G80" s="4" t="s">
        <v>2624</v>
      </c>
      <c r="R80" s="175">
        <f t="shared" si="8"/>
        <v>245000</v>
      </c>
    </row>
    <row r="81" spans="1:18" ht="24.75" x14ac:dyDescent="0.25">
      <c r="A81" s="2"/>
      <c r="B81" s="4" t="s">
        <v>706</v>
      </c>
      <c r="C81" s="152">
        <v>1</v>
      </c>
      <c r="D81" s="146" t="s">
        <v>204</v>
      </c>
      <c r="E81" s="22">
        <v>500000</v>
      </c>
      <c r="F81" s="22">
        <f>C81*E81</f>
        <v>500000</v>
      </c>
      <c r="G81" s="4" t="s">
        <v>2624</v>
      </c>
      <c r="R81" s="175">
        <f t="shared" si="8"/>
        <v>500000</v>
      </c>
    </row>
    <row r="82" spans="1:18" ht="24.75" x14ac:dyDescent="0.25">
      <c r="A82" s="2"/>
      <c r="B82" s="4" t="s">
        <v>707</v>
      </c>
      <c r="C82" s="152">
        <v>8</v>
      </c>
      <c r="D82" s="146" t="s">
        <v>102</v>
      </c>
      <c r="E82" s="22">
        <v>8100</v>
      </c>
      <c r="F82" s="22">
        <f t="shared" si="7"/>
        <v>64800</v>
      </c>
      <c r="G82" s="4" t="s">
        <v>2624</v>
      </c>
      <c r="R82" s="175">
        <f t="shared" si="8"/>
        <v>64800</v>
      </c>
    </row>
    <row r="83" spans="1:18" ht="24.75" x14ac:dyDescent="0.25">
      <c r="A83" s="2"/>
      <c r="B83" s="157" t="s">
        <v>708</v>
      </c>
      <c r="C83" s="152">
        <v>10</v>
      </c>
      <c r="D83" s="146" t="s">
        <v>102</v>
      </c>
      <c r="E83" s="22">
        <v>30000</v>
      </c>
      <c r="F83" s="22">
        <f t="shared" si="7"/>
        <v>300000</v>
      </c>
      <c r="G83" s="4" t="s">
        <v>2624</v>
      </c>
      <c r="R83" s="175">
        <f t="shared" si="8"/>
        <v>300000</v>
      </c>
    </row>
    <row r="84" spans="1:18" ht="24.75" x14ac:dyDescent="0.25">
      <c r="A84" s="2"/>
      <c r="B84" s="157" t="s">
        <v>709</v>
      </c>
      <c r="C84" s="152">
        <v>3</v>
      </c>
      <c r="D84" s="146" t="s">
        <v>102</v>
      </c>
      <c r="E84" s="158">
        <v>35000</v>
      </c>
      <c r="F84" s="22">
        <f t="shared" si="7"/>
        <v>105000</v>
      </c>
      <c r="G84" s="4" t="s">
        <v>2624</v>
      </c>
      <c r="R84" s="175">
        <f t="shared" si="8"/>
        <v>105000</v>
      </c>
    </row>
    <row r="85" spans="1:18" ht="24.75" x14ac:dyDescent="0.25">
      <c r="A85" s="2"/>
      <c r="B85" s="157" t="s">
        <v>133</v>
      </c>
      <c r="C85" s="152">
        <v>3</v>
      </c>
      <c r="D85" s="146" t="s">
        <v>102</v>
      </c>
      <c r="E85" s="158">
        <v>7000</v>
      </c>
      <c r="F85" s="22">
        <f t="shared" si="7"/>
        <v>21000</v>
      </c>
      <c r="G85" s="4" t="s">
        <v>2624</v>
      </c>
      <c r="R85" s="175">
        <f t="shared" si="8"/>
        <v>21000</v>
      </c>
    </row>
    <row r="86" spans="1:18" ht="24.75" x14ac:dyDescent="0.25">
      <c r="A86" s="2"/>
      <c r="B86" s="4" t="s">
        <v>710</v>
      </c>
      <c r="C86" s="152">
        <v>3</v>
      </c>
      <c r="D86" s="146" t="s">
        <v>102</v>
      </c>
      <c r="E86" s="158">
        <v>42600</v>
      </c>
      <c r="F86" s="22">
        <f t="shared" si="7"/>
        <v>127800</v>
      </c>
      <c r="G86" s="4" t="s">
        <v>2624</v>
      </c>
      <c r="R86" s="175">
        <f t="shared" si="8"/>
        <v>127800</v>
      </c>
    </row>
    <row r="87" spans="1:18" ht="24.75" x14ac:dyDescent="0.25">
      <c r="A87" s="2"/>
      <c r="B87" s="4" t="s">
        <v>711</v>
      </c>
      <c r="C87" s="152">
        <v>1</v>
      </c>
      <c r="D87" s="146" t="s">
        <v>102</v>
      </c>
      <c r="E87" s="84">
        <v>445000</v>
      </c>
      <c r="F87" s="22">
        <f t="shared" si="7"/>
        <v>445000</v>
      </c>
      <c r="G87" s="4" t="s">
        <v>2624</v>
      </c>
      <c r="R87" s="175">
        <f t="shared" si="8"/>
        <v>445000</v>
      </c>
    </row>
    <row r="88" spans="1:18" ht="24.75" x14ac:dyDescent="0.25">
      <c r="A88" s="2"/>
      <c r="B88" s="4" t="s">
        <v>712</v>
      </c>
      <c r="C88" s="152">
        <v>3</v>
      </c>
      <c r="D88" s="146" t="s">
        <v>102</v>
      </c>
      <c r="E88" s="22">
        <v>22500</v>
      </c>
      <c r="F88" s="22">
        <f t="shared" si="7"/>
        <v>67500</v>
      </c>
      <c r="G88" s="4" t="s">
        <v>2624</v>
      </c>
      <c r="R88" s="175">
        <f t="shared" si="8"/>
        <v>67500</v>
      </c>
    </row>
    <row r="89" spans="1:18" ht="24.75" x14ac:dyDescent="0.25">
      <c r="A89" s="2"/>
      <c r="B89" s="4" t="s">
        <v>713</v>
      </c>
      <c r="C89" s="152">
        <v>2</v>
      </c>
      <c r="D89" s="146" t="s">
        <v>102</v>
      </c>
      <c r="E89" s="22">
        <v>250000</v>
      </c>
      <c r="F89" s="22">
        <f t="shared" si="7"/>
        <v>500000</v>
      </c>
      <c r="G89" s="4" t="s">
        <v>2624</v>
      </c>
      <c r="R89" s="175">
        <f t="shared" si="8"/>
        <v>500000</v>
      </c>
    </row>
    <row r="90" spans="1:18" ht="24.75" x14ac:dyDescent="0.25">
      <c r="A90" s="2"/>
      <c r="B90" s="4" t="s">
        <v>714</v>
      </c>
      <c r="C90" s="152">
        <v>6</v>
      </c>
      <c r="D90" s="146" t="s">
        <v>102</v>
      </c>
      <c r="E90" s="22">
        <v>35000</v>
      </c>
      <c r="F90" s="22">
        <f t="shared" si="7"/>
        <v>210000</v>
      </c>
      <c r="G90" s="4" t="s">
        <v>2624</v>
      </c>
      <c r="R90" s="175">
        <f t="shared" si="8"/>
        <v>210000</v>
      </c>
    </row>
    <row r="91" spans="1:18" ht="24.75" x14ac:dyDescent="0.25">
      <c r="A91" s="2"/>
      <c r="B91" s="4" t="s">
        <v>715</v>
      </c>
      <c r="C91" s="152">
        <v>4</v>
      </c>
      <c r="D91" s="146" t="s">
        <v>102</v>
      </c>
      <c r="E91" s="22">
        <v>20000</v>
      </c>
      <c r="F91" s="22">
        <f t="shared" si="7"/>
        <v>80000</v>
      </c>
      <c r="G91" s="4" t="s">
        <v>2624</v>
      </c>
      <c r="R91" s="175">
        <f t="shared" si="8"/>
        <v>80000</v>
      </c>
    </row>
    <row r="92" spans="1:18" ht="24.75" x14ac:dyDescent="0.25">
      <c r="A92" s="2"/>
      <c r="B92" s="4" t="s">
        <v>716</v>
      </c>
      <c r="C92" s="152">
        <v>3</v>
      </c>
      <c r="D92" s="146" t="s">
        <v>102</v>
      </c>
      <c r="E92" s="22">
        <v>90000</v>
      </c>
      <c r="F92" s="22">
        <f t="shared" si="7"/>
        <v>270000</v>
      </c>
      <c r="G92" s="4" t="s">
        <v>2624</v>
      </c>
      <c r="R92" s="175">
        <f t="shared" si="8"/>
        <v>270000</v>
      </c>
    </row>
    <row r="93" spans="1:18" ht="24.75" x14ac:dyDescent="0.25">
      <c r="A93" s="2"/>
      <c r="B93" s="4" t="s">
        <v>717</v>
      </c>
      <c r="C93" s="152">
        <v>4</v>
      </c>
      <c r="D93" s="146" t="s">
        <v>102</v>
      </c>
      <c r="E93" s="22">
        <v>30000</v>
      </c>
      <c r="F93" s="22">
        <f t="shared" si="7"/>
        <v>120000</v>
      </c>
      <c r="G93" s="4" t="s">
        <v>2624</v>
      </c>
      <c r="R93" s="175">
        <f t="shared" si="8"/>
        <v>120000</v>
      </c>
    </row>
    <row r="94" spans="1:18" ht="24.75" x14ac:dyDescent="0.25">
      <c r="A94" s="2"/>
      <c r="B94" s="4" t="s">
        <v>718</v>
      </c>
      <c r="C94" s="152">
        <v>5</v>
      </c>
      <c r="D94" s="146" t="s">
        <v>102</v>
      </c>
      <c r="E94" s="22">
        <v>30000</v>
      </c>
      <c r="F94" s="22">
        <f t="shared" si="7"/>
        <v>150000</v>
      </c>
      <c r="G94" s="4" t="s">
        <v>2624</v>
      </c>
      <c r="R94" s="175">
        <f t="shared" si="8"/>
        <v>150000</v>
      </c>
    </row>
    <row r="95" spans="1:18" ht="24.75" x14ac:dyDescent="0.25">
      <c r="A95" s="2"/>
      <c r="B95" s="4" t="s">
        <v>719</v>
      </c>
      <c r="C95" s="152">
        <v>10</v>
      </c>
      <c r="D95" s="146" t="s">
        <v>102</v>
      </c>
      <c r="E95" s="22">
        <v>8000</v>
      </c>
      <c r="F95" s="22">
        <f t="shared" si="7"/>
        <v>80000</v>
      </c>
      <c r="G95" s="4" t="s">
        <v>2624</v>
      </c>
      <c r="R95" s="175">
        <f t="shared" si="8"/>
        <v>80000</v>
      </c>
    </row>
    <row r="96" spans="1:18" ht="24.75" x14ac:dyDescent="0.25">
      <c r="A96" s="2"/>
      <c r="B96" s="4" t="s">
        <v>720</v>
      </c>
      <c r="C96" s="152">
        <v>8</v>
      </c>
      <c r="D96" s="146" t="s">
        <v>102</v>
      </c>
      <c r="E96" s="22">
        <v>20000</v>
      </c>
      <c r="F96" s="22">
        <f t="shared" si="7"/>
        <v>160000</v>
      </c>
      <c r="G96" s="4" t="s">
        <v>2624</v>
      </c>
      <c r="R96" s="175">
        <f t="shared" si="8"/>
        <v>160000</v>
      </c>
    </row>
    <row r="97" spans="1:19" ht="24.75" x14ac:dyDescent="0.25">
      <c r="A97" s="2"/>
      <c r="B97" s="4" t="s">
        <v>721</v>
      </c>
      <c r="C97" s="152">
        <v>2</v>
      </c>
      <c r="D97" s="146" t="s">
        <v>102</v>
      </c>
      <c r="E97" s="22">
        <v>15000</v>
      </c>
      <c r="F97" s="12">
        <f t="shared" si="7"/>
        <v>30000</v>
      </c>
      <c r="G97" s="4" t="s">
        <v>2624</v>
      </c>
      <c r="R97" s="175">
        <f t="shared" si="8"/>
        <v>30000</v>
      </c>
    </row>
    <row r="98" spans="1:19" ht="24.75" x14ac:dyDescent="0.25">
      <c r="A98" s="2"/>
      <c r="B98" s="4" t="s">
        <v>722</v>
      </c>
      <c r="C98" s="152">
        <v>3</v>
      </c>
      <c r="D98" s="146" t="s">
        <v>527</v>
      </c>
      <c r="E98" s="22">
        <v>35000</v>
      </c>
      <c r="F98" s="12">
        <f t="shared" si="7"/>
        <v>105000</v>
      </c>
      <c r="G98" s="4" t="s">
        <v>2624</v>
      </c>
      <c r="R98" s="175">
        <f t="shared" si="8"/>
        <v>105000</v>
      </c>
    </row>
    <row r="99" spans="1:19" x14ac:dyDescent="0.25">
      <c r="A99" s="2" t="s">
        <v>723</v>
      </c>
      <c r="B99" s="150" t="s">
        <v>724</v>
      </c>
      <c r="C99" s="152"/>
      <c r="D99" s="146"/>
      <c r="E99" s="22"/>
      <c r="F99" s="22"/>
      <c r="G99" s="4"/>
    </row>
    <row r="100" spans="1:19" ht="24.75" x14ac:dyDescent="0.25">
      <c r="A100" s="2"/>
      <c r="B100" s="159" t="s">
        <v>725</v>
      </c>
      <c r="C100" s="152">
        <v>24</v>
      </c>
      <c r="D100" s="146" t="s">
        <v>210</v>
      </c>
      <c r="E100" s="22">
        <v>50000</v>
      </c>
      <c r="F100" s="22">
        <f>E100*C100</f>
        <v>1200000</v>
      </c>
      <c r="G100" s="4" t="s">
        <v>2624</v>
      </c>
      <c r="R100" s="175">
        <f>F100</f>
        <v>1200000</v>
      </c>
    </row>
    <row r="101" spans="1:19" ht="36.75" x14ac:dyDescent="0.25">
      <c r="A101" s="148" t="s">
        <v>726</v>
      </c>
      <c r="B101" s="151" t="s">
        <v>172</v>
      </c>
      <c r="C101" s="152"/>
      <c r="D101" s="146"/>
      <c r="E101" s="22"/>
      <c r="F101" s="12"/>
      <c r="G101" s="4"/>
      <c r="R101" s="175">
        <f t="shared" ref="R101:R138" si="9">F101</f>
        <v>0</v>
      </c>
    </row>
    <row r="102" spans="1:19" ht="24.75" x14ac:dyDescent="0.25">
      <c r="A102" s="148"/>
      <c r="B102" s="4" t="s">
        <v>175</v>
      </c>
      <c r="C102" s="152">
        <v>30</v>
      </c>
      <c r="D102" s="146" t="s">
        <v>176</v>
      </c>
      <c r="E102" s="22">
        <v>6000</v>
      </c>
      <c r="F102" s="12">
        <f>E102*C102</f>
        <v>180000</v>
      </c>
      <c r="G102" s="4" t="s">
        <v>2624</v>
      </c>
      <c r="R102" s="175">
        <f t="shared" si="9"/>
        <v>180000</v>
      </c>
    </row>
    <row r="103" spans="1:19" x14ac:dyDescent="0.25">
      <c r="A103" s="148"/>
      <c r="B103" s="4"/>
      <c r="C103" s="152"/>
      <c r="D103" s="146"/>
      <c r="E103" s="22"/>
      <c r="F103" s="12"/>
      <c r="G103" s="4"/>
      <c r="R103" s="175"/>
    </row>
    <row r="104" spans="1:19" x14ac:dyDescent="0.25">
      <c r="A104" s="148" t="s">
        <v>727</v>
      </c>
      <c r="B104" s="150" t="s">
        <v>728</v>
      </c>
      <c r="C104" s="152"/>
      <c r="D104" s="146"/>
      <c r="E104" s="22"/>
      <c r="F104" s="12"/>
      <c r="G104" s="4"/>
      <c r="R104" s="175"/>
    </row>
    <row r="105" spans="1:19" x14ac:dyDescent="0.25">
      <c r="A105" s="148"/>
      <c r="B105" s="4" t="s">
        <v>729</v>
      </c>
      <c r="C105" s="152">
        <v>5</v>
      </c>
      <c r="D105" s="146" t="s">
        <v>123</v>
      </c>
      <c r="E105" s="22">
        <v>150000</v>
      </c>
      <c r="F105" s="12">
        <f>E105*C105</f>
        <v>750000</v>
      </c>
      <c r="G105" s="4" t="s">
        <v>2625</v>
      </c>
      <c r="R105" s="175"/>
      <c r="S105" s="286">
        <f>F105</f>
        <v>750000</v>
      </c>
    </row>
    <row r="106" spans="1:19" x14ac:dyDescent="0.25">
      <c r="A106" s="148"/>
      <c r="B106" s="4" t="s">
        <v>730</v>
      </c>
      <c r="C106" s="152">
        <v>10</v>
      </c>
      <c r="D106" s="146" t="s">
        <v>123</v>
      </c>
      <c r="E106" s="22">
        <v>350000</v>
      </c>
      <c r="F106" s="12">
        <f>E106*C106</f>
        <v>3500000</v>
      </c>
      <c r="G106" s="4" t="s">
        <v>2625</v>
      </c>
      <c r="R106" s="175"/>
      <c r="S106" s="286">
        <f>F106</f>
        <v>3500000</v>
      </c>
    </row>
    <row r="107" spans="1:19" x14ac:dyDescent="0.25">
      <c r="A107" s="148"/>
      <c r="B107" s="4"/>
      <c r="C107" s="152"/>
      <c r="D107" s="146"/>
      <c r="E107" s="22"/>
      <c r="F107" s="12"/>
      <c r="G107" s="4"/>
      <c r="R107" s="175"/>
    </row>
    <row r="108" spans="1:19" ht="24.75" x14ac:dyDescent="0.25">
      <c r="A108" s="148" t="s">
        <v>731</v>
      </c>
      <c r="B108" s="150" t="s">
        <v>189</v>
      </c>
      <c r="C108" s="152"/>
      <c r="D108" s="146"/>
      <c r="E108" s="12"/>
      <c r="F108" s="12"/>
      <c r="G108" s="4"/>
      <c r="R108" s="175"/>
    </row>
    <row r="109" spans="1:19" ht="24.75" x14ac:dyDescent="0.25">
      <c r="A109" s="2"/>
      <c r="B109" s="4" t="s">
        <v>732</v>
      </c>
      <c r="C109" s="152">
        <v>3</v>
      </c>
      <c r="D109" s="146" t="s">
        <v>102</v>
      </c>
      <c r="E109" s="22">
        <v>100000</v>
      </c>
      <c r="F109" s="22">
        <f>E109*C109</f>
        <v>300000</v>
      </c>
      <c r="G109" s="4" t="s">
        <v>2624</v>
      </c>
      <c r="R109" s="175">
        <f>F109</f>
        <v>300000</v>
      </c>
      <c r="S109" s="175"/>
    </row>
    <row r="110" spans="1:19" x14ac:dyDescent="0.25">
      <c r="A110" s="148"/>
      <c r="B110" s="4"/>
      <c r="C110" s="152"/>
      <c r="D110" s="146"/>
      <c r="E110" s="22"/>
      <c r="F110" s="22"/>
      <c r="G110" s="4"/>
      <c r="R110" s="175">
        <f t="shared" si="9"/>
        <v>0</v>
      </c>
    </row>
    <row r="111" spans="1:19" ht="24.75" x14ac:dyDescent="0.25">
      <c r="A111" s="148" t="s">
        <v>733</v>
      </c>
      <c r="B111" s="150" t="s">
        <v>734</v>
      </c>
      <c r="C111" s="152"/>
      <c r="D111" s="146"/>
      <c r="E111" s="12"/>
      <c r="F111" s="12"/>
      <c r="G111" s="4"/>
      <c r="R111" s="175">
        <f t="shared" si="9"/>
        <v>0</v>
      </c>
    </row>
    <row r="112" spans="1:19" ht="24.75" x14ac:dyDescent="0.25">
      <c r="A112" s="2"/>
      <c r="B112" s="4" t="s">
        <v>735</v>
      </c>
      <c r="C112" s="152">
        <v>5</v>
      </c>
      <c r="D112" s="146" t="s">
        <v>102</v>
      </c>
      <c r="E112" s="22">
        <v>750000</v>
      </c>
      <c r="F112" s="22">
        <f>C112*E112</f>
        <v>3750000</v>
      </c>
      <c r="G112" s="4" t="s">
        <v>2624</v>
      </c>
      <c r="R112" s="175">
        <f t="shared" si="9"/>
        <v>3750000</v>
      </c>
    </row>
    <row r="113" spans="1:23" x14ac:dyDescent="0.25">
      <c r="A113" s="2"/>
      <c r="B113" s="4"/>
      <c r="C113" s="152"/>
      <c r="D113" s="146"/>
      <c r="E113" s="22"/>
      <c r="F113" s="22"/>
      <c r="G113" s="4"/>
      <c r="R113" s="175">
        <f t="shared" si="9"/>
        <v>0</v>
      </c>
    </row>
    <row r="114" spans="1:23" ht="24.75" x14ac:dyDescent="0.25">
      <c r="A114" s="148" t="s">
        <v>736</v>
      </c>
      <c r="B114" s="150" t="s">
        <v>319</v>
      </c>
      <c r="C114" s="152"/>
      <c r="D114" s="146"/>
      <c r="E114" s="22"/>
      <c r="F114" s="12"/>
      <c r="G114" s="4"/>
      <c r="R114" s="175">
        <f t="shared" si="9"/>
        <v>0</v>
      </c>
    </row>
    <row r="115" spans="1:23" ht="24.75" x14ac:dyDescent="0.25">
      <c r="A115" s="148"/>
      <c r="B115" s="4" t="s">
        <v>737</v>
      </c>
      <c r="C115" s="152">
        <v>5832</v>
      </c>
      <c r="D115" s="152" t="s">
        <v>738</v>
      </c>
      <c r="E115" s="22">
        <v>1000</v>
      </c>
      <c r="F115" s="22">
        <f t="shared" ref="F115:F123" si="10">C115*E115</f>
        <v>5832000</v>
      </c>
      <c r="G115" s="4" t="s">
        <v>2896</v>
      </c>
      <c r="R115" s="175"/>
      <c r="S115" s="175"/>
      <c r="V115" s="175">
        <f>F115</f>
        <v>5832000</v>
      </c>
    </row>
    <row r="116" spans="1:23" ht="24.75" x14ac:dyDescent="0.25">
      <c r="A116" s="148"/>
      <c r="B116" s="4" t="s">
        <v>739</v>
      </c>
      <c r="C116" s="152">
        <v>12</v>
      </c>
      <c r="D116" s="152" t="s">
        <v>210</v>
      </c>
      <c r="E116" s="22">
        <v>150000</v>
      </c>
      <c r="F116" s="22">
        <f t="shared" si="10"/>
        <v>1800000</v>
      </c>
      <c r="G116" s="4" t="s">
        <v>2896</v>
      </c>
      <c r="R116" s="175"/>
      <c r="S116" s="175"/>
      <c r="V116" s="175">
        <f t="shared" ref="V116:V126" si="11">F116</f>
        <v>1800000</v>
      </c>
    </row>
    <row r="117" spans="1:23" ht="24.75" x14ac:dyDescent="0.25">
      <c r="A117" s="148"/>
      <c r="B117" s="4" t="s">
        <v>740</v>
      </c>
      <c r="C117" s="152">
        <v>12</v>
      </c>
      <c r="D117" s="152" t="s">
        <v>210</v>
      </c>
      <c r="E117" s="22">
        <v>110000</v>
      </c>
      <c r="F117" s="22">
        <f t="shared" si="10"/>
        <v>1320000</v>
      </c>
      <c r="G117" s="4" t="s">
        <v>2896</v>
      </c>
      <c r="R117" s="175"/>
      <c r="S117" s="175"/>
      <c r="V117" s="175">
        <f t="shared" si="11"/>
        <v>1320000</v>
      </c>
    </row>
    <row r="118" spans="1:23" ht="24.75" x14ac:dyDescent="0.25">
      <c r="A118" s="148"/>
      <c r="B118" s="4" t="s">
        <v>741</v>
      </c>
      <c r="C118" s="152">
        <v>14</v>
      </c>
      <c r="D118" s="152" t="s">
        <v>152</v>
      </c>
      <c r="E118" s="22">
        <v>30000</v>
      </c>
      <c r="F118" s="22">
        <f t="shared" si="10"/>
        <v>420000</v>
      </c>
      <c r="G118" s="4" t="s">
        <v>2896</v>
      </c>
      <c r="R118" s="175"/>
      <c r="S118" s="175"/>
      <c r="V118" s="175">
        <f t="shared" si="11"/>
        <v>420000</v>
      </c>
    </row>
    <row r="119" spans="1:23" ht="24.75" x14ac:dyDescent="0.25">
      <c r="A119" s="148"/>
      <c r="B119" s="4" t="s">
        <v>742</v>
      </c>
      <c r="C119" s="152">
        <v>2</v>
      </c>
      <c r="D119" s="152" t="s">
        <v>152</v>
      </c>
      <c r="E119" s="22">
        <v>2400000</v>
      </c>
      <c r="F119" s="22">
        <f t="shared" si="10"/>
        <v>4800000</v>
      </c>
      <c r="G119" s="4" t="s">
        <v>2896</v>
      </c>
      <c r="R119" s="175"/>
      <c r="S119" s="175"/>
      <c r="V119" s="175">
        <f t="shared" si="11"/>
        <v>4800000</v>
      </c>
    </row>
    <row r="120" spans="1:23" ht="24.75" x14ac:dyDescent="0.25">
      <c r="A120" s="148"/>
      <c r="B120" s="4" t="s">
        <v>743</v>
      </c>
      <c r="C120" s="152">
        <v>4</v>
      </c>
      <c r="D120" s="152" t="s">
        <v>333</v>
      </c>
      <c r="E120" s="22">
        <v>50000</v>
      </c>
      <c r="F120" s="22">
        <f t="shared" si="10"/>
        <v>200000</v>
      </c>
      <c r="G120" s="4" t="s">
        <v>2896</v>
      </c>
      <c r="R120" s="175"/>
      <c r="S120" s="175"/>
      <c r="V120" s="175">
        <f t="shared" si="11"/>
        <v>200000</v>
      </c>
    </row>
    <row r="121" spans="1:23" ht="24.75" x14ac:dyDescent="0.25">
      <c r="A121" s="148"/>
      <c r="B121" s="4" t="s">
        <v>744</v>
      </c>
      <c r="C121" s="152">
        <v>4</v>
      </c>
      <c r="D121" s="152" t="s">
        <v>333</v>
      </c>
      <c r="E121" s="22">
        <v>50000</v>
      </c>
      <c r="F121" s="22">
        <f t="shared" si="10"/>
        <v>200000</v>
      </c>
      <c r="G121" s="4" t="s">
        <v>2896</v>
      </c>
      <c r="R121" s="175"/>
      <c r="S121" s="175"/>
      <c r="V121" s="175">
        <f t="shared" si="11"/>
        <v>200000</v>
      </c>
    </row>
    <row r="122" spans="1:23" ht="24.75" x14ac:dyDescent="0.25">
      <c r="A122" s="148"/>
      <c r="B122" s="4" t="s">
        <v>745</v>
      </c>
      <c r="C122" s="152">
        <v>4</v>
      </c>
      <c r="D122" s="152" t="s">
        <v>333</v>
      </c>
      <c r="E122" s="22">
        <v>50000</v>
      </c>
      <c r="F122" s="22">
        <f t="shared" si="10"/>
        <v>200000</v>
      </c>
      <c r="G122" s="4" t="s">
        <v>2896</v>
      </c>
      <c r="R122" s="175"/>
      <c r="S122" s="175"/>
      <c r="V122" s="175">
        <f t="shared" si="11"/>
        <v>200000</v>
      </c>
    </row>
    <row r="123" spans="1:23" ht="24.75" x14ac:dyDescent="0.25">
      <c r="A123" s="148"/>
      <c r="B123" s="4" t="s">
        <v>2917</v>
      </c>
      <c r="C123" s="152">
        <v>1</v>
      </c>
      <c r="D123" s="152" t="s">
        <v>129</v>
      </c>
      <c r="E123" s="22">
        <v>85069.18</v>
      </c>
      <c r="F123" s="22">
        <f t="shared" si="10"/>
        <v>85069.18</v>
      </c>
      <c r="G123" s="4" t="s">
        <v>2896</v>
      </c>
      <c r="R123" s="175"/>
      <c r="S123" s="175"/>
      <c r="V123" s="175">
        <f t="shared" si="11"/>
        <v>85069.18</v>
      </c>
    </row>
    <row r="124" spans="1:23" x14ac:dyDescent="0.25">
      <c r="A124" s="148"/>
      <c r="B124" s="4"/>
      <c r="C124" s="152"/>
      <c r="D124" s="152"/>
      <c r="E124" s="22"/>
      <c r="F124" s="22"/>
      <c r="G124" s="4"/>
      <c r="R124" s="175">
        <f t="shared" si="9"/>
        <v>0</v>
      </c>
      <c r="V124" s="175">
        <f t="shared" si="11"/>
        <v>0</v>
      </c>
    </row>
    <row r="125" spans="1:23" x14ac:dyDescent="0.25">
      <c r="A125" s="148" t="s">
        <v>746</v>
      </c>
      <c r="B125" s="150" t="s">
        <v>206</v>
      </c>
      <c r="C125" s="152"/>
      <c r="D125" s="146"/>
      <c r="E125" s="22"/>
      <c r="F125" s="12"/>
      <c r="G125" s="4"/>
      <c r="R125" s="175">
        <f t="shared" si="9"/>
        <v>0</v>
      </c>
      <c r="V125" s="175">
        <f t="shared" si="11"/>
        <v>0</v>
      </c>
    </row>
    <row r="126" spans="1:23" ht="36.75" x14ac:dyDescent="0.25">
      <c r="A126" s="160" t="s">
        <v>747</v>
      </c>
      <c r="B126" s="150" t="s">
        <v>748</v>
      </c>
      <c r="C126" s="152"/>
      <c r="D126" s="146"/>
      <c r="E126" s="22"/>
      <c r="F126" s="12"/>
      <c r="G126" s="4"/>
      <c r="R126" s="175">
        <f t="shared" si="9"/>
        <v>0</v>
      </c>
      <c r="V126" s="175">
        <f t="shared" si="11"/>
        <v>0</v>
      </c>
    </row>
    <row r="127" spans="1:23" ht="24.75" x14ac:dyDescent="0.25">
      <c r="A127" s="148"/>
      <c r="B127" s="4" t="s">
        <v>749</v>
      </c>
      <c r="C127" s="152">
        <v>12</v>
      </c>
      <c r="D127" s="146" t="s">
        <v>22</v>
      </c>
      <c r="E127" s="22">
        <v>1850000</v>
      </c>
      <c r="F127" s="12">
        <f t="shared" ref="F127:F133" si="12">E127*C127</f>
        <v>22200000</v>
      </c>
      <c r="G127" s="4" t="s">
        <v>2639</v>
      </c>
      <c r="R127" s="175"/>
      <c r="W127" s="286">
        <f>F127</f>
        <v>22200000</v>
      </c>
    </row>
    <row r="128" spans="1:23" ht="24.75" x14ac:dyDescent="0.25">
      <c r="A128" s="148"/>
      <c r="B128" s="4" t="s">
        <v>750</v>
      </c>
      <c r="C128" s="152">
        <v>12</v>
      </c>
      <c r="D128" s="146" t="s">
        <v>22</v>
      </c>
      <c r="E128" s="22">
        <v>1750000</v>
      </c>
      <c r="F128" s="12">
        <f t="shared" si="12"/>
        <v>21000000</v>
      </c>
      <c r="G128" s="4" t="s">
        <v>2639</v>
      </c>
      <c r="R128" s="175"/>
      <c r="W128" s="286">
        <f t="shared" ref="W128:W133" si="13">F128</f>
        <v>21000000</v>
      </c>
    </row>
    <row r="129" spans="1:23" ht="24.75" x14ac:dyDescent="0.25">
      <c r="A129" s="148"/>
      <c r="B129" s="4" t="s">
        <v>751</v>
      </c>
      <c r="C129" s="152">
        <v>12</v>
      </c>
      <c r="D129" s="146" t="s">
        <v>22</v>
      </c>
      <c r="E129" s="22">
        <v>1600000</v>
      </c>
      <c r="F129" s="12">
        <f t="shared" si="12"/>
        <v>19200000</v>
      </c>
      <c r="G129" s="4" t="s">
        <v>2639</v>
      </c>
      <c r="R129" s="175"/>
      <c r="W129" s="286">
        <f t="shared" si="13"/>
        <v>19200000</v>
      </c>
    </row>
    <row r="130" spans="1:23" ht="24.75" x14ac:dyDescent="0.25">
      <c r="A130" s="148"/>
      <c r="B130" s="4" t="s">
        <v>752</v>
      </c>
      <c r="C130" s="152">
        <v>12</v>
      </c>
      <c r="D130" s="146" t="s">
        <v>22</v>
      </c>
      <c r="E130" s="22">
        <v>1500000</v>
      </c>
      <c r="F130" s="12">
        <f t="shared" si="12"/>
        <v>18000000</v>
      </c>
      <c r="G130" s="4" t="s">
        <v>2639</v>
      </c>
      <c r="R130" s="175"/>
      <c r="W130" s="286">
        <f t="shared" si="13"/>
        <v>18000000</v>
      </c>
    </row>
    <row r="131" spans="1:23" ht="24.75" x14ac:dyDescent="0.25">
      <c r="A131" s="148"/>
      <c r="B131" s="4" t="s">
        <v>753</v>
      </c>
      <c r="C131" s="152">
        <v>12</v>
      </c>
      <c r="D131" s="146" t="s">
        <v>22</v>
      </c>
      <c r="E131" s="22">
        <v>1500000</v>
      </c>
      <c r="F131" s="12">
        <f t="shared" si="12"/>
        <v>18000000</v>
      </c>
      <c r="G131" s="4" t="s">
        <v>2639</v>
      </c>
      <c r="R131" s="175"/>
      <c r="W131" s="286">
        <f t="shared" si="13"/>
        <v>18000000</v>
      </c>
    </row>
    <row r="132" spans="1:23" ht="24.75" x14ac:dyDescent="0.25">
      <c r="A132" s="148"/>
      <c r="B132" s="4" t="s">
        <v>754</v>
      </c>
      <c r="C132" s="152">
        <v>24</v>
      </c>
      <c r="D132" s="146" t="s">
        <v>22</v>
      </c>
      <c r="E132" s="22">
        <v>400000</v>
      </c>
      <c r="F132" s="12">
        <f t="shared" si="12"/>
        <v>9600000</v>
      </c>
      <c r="G132" s="4" t="s">
        <v>2639</v>
      </c>
      <c r="R132" s="175"/>
      <c r="W132" s="286">
        <f t="shared" si="13"/>
        <v>9600000</v>
      </c>
    </row>
    <row r="133" spans="1:23" ht="24.75" x14ac:dyDescent="0.25">
      <c r="A133" s="148"/>
      <c r="B133" s="4" t="s">
        <v>755</v>
      </c>
      <c r="C133" s="152">
        <v>12</v>
      </c>
      <c r="D133" s="146" t="s">
        <v>22</v>
      </c>
      <c r="E133" s="22">
        <v>1000000</v>
      </c>
      <c r="F133" s="12">
        <f t="shared" si="12"/>
        <v>12000000</v>
      </c>
      <c r="G133" s="4" t="s">
        <v>2639</v>
      </c>
      <c r="R133" s="175"/>
      <c r="W133" s="286">
        <f t="shared" si="13"/>
        <v>12000000</v>
      </c>
    </row>
    <row r="134" spans="1:23" x14ac:dyDescent="0.25">
      <c r="A134" s="148"/>
      <c r="B134" s="4" t="s">
        <v>756</v>
      </c>
      <c r="C134" s="152"/>
      <c r="D134" s="146"/>
      <c r="E134" s="22"/>
      <c r="F134" s="12"/>
      <c r="G134" s="4"/>
      <c r="R134" s="175"/>
    </row>
    <row r="135" spans="1:23" ht="24.75" x14ac:dyDescent="0.25">
      <c r="A135" s="148"/>
      <c r="B135" s="4" t="s">
        <v>757</v>
      </c>
      <c r="C135" s="152">
        <v>12</v>
      </c>
      <c r="D135" s="146" t="s">
        <v>22</v>
      </c>
      <c r="E135" s="22">
        <v>250000</v>
      </c>
      <c r="F135" s="12">
        <f>E135*C135</f>
        <v>3000000</v>
      </c>
      <c r="G135" s="4" t="s">
        <v>2624</v>
      </c>
      <c r="R135" s="175">
        <f>F135</f>
        <v>3000000</v>
      </c>
    </row>
    <row r="136" spans="1:23" ht="24.75" x14ac:dyDescent="0.25">
      <c r="A136" s="148"/>
      <c r="B136" s="4" t="s">
        <v>758</v>
      </c>
      <c r="C136" s="152">
        <v>12</v>
      </c>
      <c r="D136" s="146" t="s">
        <v>22</v>
      </c>
      <c r="E136" s="22">
        <v>200000</v>
      </c>
      <c r="F136" s="12">
        <f>E136*C136</f>
        <v>2400000</v>
      </c>
      <c r="G136" s="4" t="s">
        <v>2624</v>
      </c>
      <c r="R136" s="175">
        <f>F136</f>
        <v>2400000</v>
      </c>
    </row>
    <row r="137" spans="1:23" x14ac:dyDescent="0.25">
      <c r="A137" s="148"/>
      <c r="B137" s="4"/>
      <c r="C137" s="152"/>
      <c r="D137" s="146"/>
      <c r="E137" s="22"/>
      <c r="F137" s="12"/>
      <c r="G137" s="4"/>
      <c r="R137" s="175">
        <f t="shared" si="9"/>
        <v>0</v>
      </c>
    </row>
    <row r="138" spans="1:23" x14ac:dyDescent="0.25">
      <c r="A138" s="148" t="s">
        <v>759</v>
      </c>
      <c r="B138" s="150" t="s">
        <v>760</v>
      </c>
      <c r="C138" s="152"/>
      <c r="D138" s="146"/>
      <c r="E138" s="22"/>
      <c r="F138" s="12"/>
      <c r="G138" s="4"/>
      <c r="R138" s="175">
        <f t="shared" si="9"/>
        <v>0</v>
      </c>
    </row>
    <row r="139" spans="1:23" ht="24.75" x14ac:dyDescent="0.25">
      <c r="A139" s="148" t="s">
        <v>761</v>
      </c>
      <c r="B139" s="4" t="s">
        <v>762</v>
      </c>
      <c r="C139" s="152">
        <v>12</v>
      </c>
      <c r="D139" s="146" t="s">
        <v>210</v>
      </c>
      <c r="E139" s="22">
        <v>500000</v>
      </c>
      <c r="F139" s="12">
        <f>E139*C139</f>
        <v>6000000</v>
      </c>
      <c r="G139" s="4" t="s">
        <v>2896</v>
      </c>
      <c r="R139" s="175"/>
      <c r="S139" s="286"/>
      <c r="V139" s="286">
        <f>F139</f>
        <v>6000000</v>
      </c>
    </row>
    <row r="140" spans="1:23" ht="24.75" x14ac:dyDescent="0.25">
      <c r="A140" s="148" t="s">
        <v>763</v>
      </c>
      <c r="B140" s="4" t="s">
        <v>764</v>
      </c>
      <c r="C140" s="152">
        <v>12</v>
      </c>
      <c r="D140" s="146" t="s">
        <v>210</v>
      </c>
      <c r="E140" s="22">
        <v>250000</v>
      </c>
      <c r="F140" s="12">
        <f>E140*C140</f>
        <v>3000000</v>
      </c>
      <c r="G140" s="4" t="s">
        <v>2896</v>
      </c>
      <c r="R140" s="175"/>
      <c r="S140" s="286"/>
      <c r="V140" s="286">
        <f t="shared" ref="V140:V141" si="14">F140</f>
        <v>3000000</v>
      </c>
    </row>
    <row r="141" spans="1:23" ht="24.75" x14ac:dyDescent="0.25">
      <c r="A141" s="148" t="s">
        <v>765</v>
      </c>
      <c r="B141" s="4" t="s">
        <v>232</v>
      </c>
      <c r="C141" s="152">
        <v>12</v>
      </c>
      <c r="D141" s="146" t="s">
        <v>210</v>
      </c>
      <c r="E141" s="22">
        <v>400000</v>
      </c>
      <c r="F141" s="12">
        <f>E141*C141</f>
        <v>4800000</v>
      </c>
      <c r="G141" s="4" t="s">
        <v>2896</v>
      </c>
      <c r="R141" s="175"/>
      <c r="S141" s="286"/>
      <c r="V141" s="286">
        <f t="shared" si="14"/>
        <v>4800000</v>
      </c>
    </row>
    <row r="142" spans="1:23" x14ac:dyDescent="0.25">
      <c r="A142" s="148"/>
      <c r="B142" s="4"/>
      <c r="C142" s="152"/>
      <c r="D142" s="146"/>
      <c r="E142" s="22"/>
      <c r="F142" s="12"/>
      <c r="G142" s="4"/>
      <c r="V142" s="286"/>
    </row>
    <row r="143" spans="1:23" x14ac:dyDescent="0.25">
      <c r="A143" s="2"/>
      <c r="B143" s="4"/>
      <c r="C143" s="4"/>
      <c r="D143" s="4"/>
      <c r="E143" s="4"/>
      <c r="F143" s="4"/>
      <c r="G143" s="4"/>
      <c r="V143" s="286"/>
    </row>
    <row r="144" spans="1:23" x14ac:dyDescent="0.25">
      <c r="A144" s="1861" t="s">
        <v>27</v>
      </c>
      <c r="B144" s="1805"/>
      <c r="C144" s="4"/>
      <c r="D144" s="4"/>
      <c r="E144" s="4"/>
      <c r="F144" s="85">
        <f>SUM(F14:F143)</f>
        <v>237334529.18000001</v>
      </c>
      <c r="G144" s="4"/>
    </row>
    <row r="145" spans="1:8" x14ac:dyDescent="0.25">
      <c r="A145" s="1807" t="s">
        <v>614</v>
      </c>
      <c r="B145" s="1807"/>
      <c r="C145" s="5" t="s">
        <v>28</v>
      </c>
      <c r="D145" s="1808" t="s">
        <v>1700</v>
      </c>
      <c r="E145" s="1808"/>
      <c r="F145" s="1808"/>
      <c r="G145" s="5"/>
    </row>
    <row r="146" spans="1:8" x14ac:dyDescent="0.25">
      <c r="A146" s="1807" t="s">
        <v>29</v>
      </c>
      <c r="B146" s="1807"/>
      <c r="C146" s="5"/>
      <c r="D146" s="1809" t="s">
        <v>2996</v>
      </c>
      <c r="E146" s="1809"/>
      <c r="F146" s="1809"/>
      <c r="G146" s="5"/>
    </row>
    <row r="147" spans="1:8" x14ac:dyDescent="0.25">
      <c r="A147" s="1"/>
      <c r="B147" s="3"/>
      <c r="C147" s="5"/>
      <c r="D147" s="7"/>
      <c r="E147" s="17"/>
      <c r="F147" s="1706">
        <f>SUM(R12:R143)</f>
        <v>72966100</v>
      </c>
      <c r="G147" s="5"/>
    </row>
    <row r="148" spans="1:8" x14ac:dyDescent="0.25">
      <c r="A148" s="1"/>
      <c r="B148" s="3"/>
      <c r="C148" s="5"/>
      <c r="D148" s="7"/>
      <c r="E148" s="17"/>
      <c r="F148" s="1706">
        <f>SUM(W11:W143)</f>
        <v>120000000</v>
      </c>
      <c r="G148" s="5"/>
      <c r="H148" s="451">
        <v>197216100</v>
      </c>
    </row>
    <row r="149" spans="1:8" x14ac:dyDescent="0.25">
      <c r="A149" s="1807"/>
      <c r="B149" s="1807"/>
      <c r="C149" s="5"/>
      <c r="D149" s="7"/>
      <c r="E149" s="1948">
        <f>F148+F147</f>
        <v>192966100</v>
      </c>
      <c r="F149" s="1948"/>
      <c r="G149" s="5"/>
      <c r="H149" s="175">
        <f>E149-H148</f>
        <v>-4250000</v>
      </c>
    </row>
    <row r="150" spans="1:8" x14ac:dyDescent="0.25">
      <c r="A150" s="1807" t="s">
        <v>30</v>
      </c>
      <c r="B150" s="1807"/>
      <c r="C150" s="5"/>
      <c r="D150" s="1807" t="s">
        <v>2993</v>
      </c>
      <c r="E150" s="1807"/>
      <c r="F150" s="1807"/>
      <c r="G150" s="5"/>
    </row>
    <row r="151" spans="1:8" x14ac:dyDescent="0.25">
      <c r="A151" s="1925" t="s">
        <v>0</v>
      </c>
      <c r="B151" s="1925"/>
      <c r="C151" s="1925"/>
      <c r="D151" s="1925"/>
      <c r="E151" s="1925"/>
      <c r="F151" s="1925"/>
      <c r="G151" s="61"/>
    </row>
    <row r="152" spans="1:8" x14ac:dyDescent="0.25">
      <c r="A152" s="1925" t="s">
        <v>1</v>
      </c>
      <c r="B152" s="1925"/>
      <c r="C152" s="1925"/>
      <c r="D152" s="1925"/>
      <c r="E152" s="1925"/>
      <c r="F152" s="1925"/>
      <c r="G152" s="61"/>
    </row>
    <row r="153" spans="1:8" x14ac:dyDescent="0.25">
      <c r="A153" s="1925" t="s">
        <v>1697</v>
      </c>
      <c r="B153" s="1925"/>
      <c r="C153" s="1925"/>
      <c r="D153" s="1925"/>
      <c r="E153" s="1925"/>
      <c r="F153" s="1925"/>
      <c r="G153" s="61"/>
    </row>
    <row r="154" spans="1:8" x14ac:dyDescent="0.25">
      <c r="A154" s="388"/>
      <c r="B154" s="388"/>
      <c r="C154" s="388"/>
      <c r="D154" s="925"/>
      <c r="E154" s="1076"/>
      <c r="F154" s="388"/>
      <c r="G154" s="61"/>
    </row>
    <row r="155" spans="1:8" x14ac:dyDescent="0.25">
      <c r="A155" s="925" t="s">
        <v>2279</v>
      </c>
      <c r="B155" s="925" t="s">
        <v>1089</v>
      </c>
      <c r="C155" s="925"/>
      <c r="D155" s="925"/>
      <c r="E155" s="1076" t="s">
        <v>6</v>
      </c>
      <c r="F155" s="1076" t="s">
        <v>506</v>
      </c>
      <c r="G155" s="61"/>
    </row>
    <row r="156" spans="1:8" x14ac:dyDescent="0.25">
      <c r="A156" s="925" t="s">
        <v>1100</v>
      </c>
      <c r="B156" s="925" t="s">
        <v>2280</v>
      </c>
      <c r="C156" s="925"/>
      <c r="D156" s="925"/>
      <c r="E156" s="1077"/>
      <c r="F156" s="925"/>
      <c r="G156" s="61"/>
    </row>
    <row r="157" spans="1:8" ht="48" x14ac:dyDescent="0.25">
      <c r="A157" s="926" t="s">
        <v>2281</v>
      </c>
      <c r="B157" s="1078" t="s">
        <v>2897</v>
      </c>
      <c r="C157" s="925"/>
      <c r="D157" s="925"/>
      <c r="E157" s="1079" t="s">
        <v>573</v>
      </c>
      <c r="F157" s="1079"/>
      <c r="G157" s="61"/>
    </row>
    <row r="158" spans="1:8" x14ac:dyDescent="0.25">
      <c r="A158" s="388" t="s">
        <v>1157</v>
      </c>
      <c r="B158" s="388" t="s">
        <v>63</v>
      </c>
      <c r="C158" s="388"/>
      <c r="D158" s="388"/>
      <c r="E158" s="388"/>
      <c r="F158" s="388"/>
      <c r="G158" s="61"/>
    </row>
    <row r="159" spans="1:8" x14ac:dyDescent="0.25">
      <c r="A159" s="441" t="s">
        <v>64</v>
      </c>
      <c r="B159" s="441" t="s">
        <v>65</v>
      </c>
      <c r="C159" s="388"/>
      <c r="D159" s="925"/>
      <c r="E159" s="1076"/>
      <c r="F159" s="388"/>
      <c r="G159" s="61"/>
    </row>
    <row r="160" spans="1:8" ht="9" customHeight="1" x14ac:dyDescent="0.25">
      <c r="A160" s="925"/>
      <c r="B160" s="925"/>
      <c r="C160" s="388"/>
      <c r="D160" s="925"/>
      <c r="E160" s="1076"/>
      <c r="F160" s="388"/>
      <c r="G160" s="61"/>
    </row>
    <row r="161" spans="1:13" ht="24" x14ac:dyDescent="0.25">
      <c r="A161" s="766" t="s">
        <v>31</v>
      </c>
      <c r="B161" s="766" t="s">
        <v>12</v>
      </c>
      <c r="C161" s="1926" t="s">
        <v>13</v>
      </c>
      <c r="D161" s="1927"/>
      <c r="E161" s="1080" t="s">
        <v>14</v>
      </c>
      <c r="F161" s="767" t="s">
        <v>15</v>
      </c>
      <c r="G161" s="64" t="s">
        <v>405</v>
      </c>
    </row>
    <row r="162" spans="1:13" x14ac:dyDescent="0.25">
      <c r="A162" s="770">
        <v>1</v>
      </c>
      <c r="B162" s="770">
        <v>2</v>
      </c>
      <c r="C162" s="1928">
        <v>3</v>
      </c>
      <c r="D162" s="1929"/>
      <c r="E162" s="1081">
        <v>4</v>
      </c>
      <c r="F162" s="57">
        <v>5</v>
      </c>
      <c r="G162" s="1082">
        <v>6</v>
      </c>
    </row>
    <row r="163" spans="1:13" x14ac:dyDescent="0.25">
      <c r="A163" s="770"/>
      <c r="B163" s="1083" t="s">
        <v>2282</v>
      </c>
      <c r="C163" s="57"/>
      <c r="D163" s="58"/>
      <c r="E163" s="1081"/>
      <c r="F163" s="57"/>
      <c r="G163" s="515"/>
    </row>
    <row r="164" spans="1:13" x14ac:dyDescent="0.25">
      <c r="A164" s="930" t="s">
        <v>2283</v>
      </c>
      <c r="B164" s="734" t="s">
        <v>323</v>
      </c>
      <c r="C164" s="931"/>
      <c r="D164" s="89"/>
      <c r="E164" s="739"/>
      <c r="F164" s="932"/>
      <c r="G164" s="87"/>
    </row>
    <row r="165" spans="1:13" x14ac:dyDescent="0.25">
      <c r="A165" s="933" t="s">
        <v>2284</v>
      </c>
      <c r="B165" s="734" t="s">
        <v>88</v>
      </c>
      <c r="C165" s="931"/>
      <c r="D165" s="89"/>
      <c r="E165" s="739"/>
      <c r="F165" s="932"/>
      <c r="G165" s="87"/>
    </row>
    <row r="166" spans="1:13" ht="24.75" x14ac:dyDescent="0.25">
      <c r="A166" s="933" t="s">
        <v>2285</v>
      </c>
      <c r="B166" s="734" t="s">
        <v>845</v>
      </c>
      <c r="C166" s="931"/>
      <c r="D166" s="89"/>
      <c r="E166" s="739"/>
      <c r="F166" s="932"/>
      <c r="G166" s="87"/>
    </row>
    <row r="167" spans="1:13" x14ac:dyDescent="0.25">
      <c r="A167" s="933"/>
      <c r="B167" s="60" t="s">
        <v>2286</v>
      </c>
      <c r="C167" s="41">
        <v>50</v>
      </c>
      <c r="D167" s="89" t="s">
        <v>2287</v>
      </c>
      <c r="E167" s="59">
        <v>6000</v>
      </c>
      <c r="F167" s="932">
        <f>E167*C167</f>
        <v>300000</v>
      </c>
      <c r="G167" s="87"/>
    </row>
    <row r="168" spans="1:13" ht="24.75" x14ac:dyDescent="0.25">
      <c r="A168" s="1084" t="s">
        <v>2288</v>
      </c>
      <c r="B168" s="734" t="s">
        <v>2289</v>
      </c>
      <c r="C168" s="41"/>
      <c r="D168" s="89"/>
      <c r="E168" s="739"/>
      <c r="F168" s="932"/>
      <c r="G168" s="87"/>
    </row>
    <row r="169" spans="1:13" x14ac:dyDescent="0.25">
      <c r="A169" s="1084"/>
      <c r="B169" s="60" t="s">
        <v>2290</v>
      </c>
      <c r="C169" s="41">
        <v>375</v>
      </c>
      <c r="D169" s="89" t="s">
        <v>565</v>
      </c>
      <c r="E169" s="739">
        <v>15000</v>
      </c>
      <c r="F169" s="932">
        <f>E169*C169</f>
        <v>5625000</v>
      </c>
      <c r="G169" s="87"/>
    </row>
    <row r="170" spans="1:13" ht="24.75" x14ac:dyDescent="0.25">
      <c r="A170" s="933" t="s">
        <v>2291</v>
      </c>
      <c r="B170" s="734" t="s">
        <v>376</v>
      </c>
      <c r="C170" s="41"/>
      <c r="D170" s="89"/>
      <c r="E170" s="59"/>
      <c r="F170" s="932"/>
      <c r="G170" s="87"/>
    </row>
    <row r="171" spans="1:13" x14ac:dyDescent="0.25">
      <c r="A171" s="933"/>
      <c r="B171" s="60" t="s">
        <v>377</v>
      </c>
      <c r="C171" s="41">
        <v>1</v>
      </c>
      <c r="D171" s="89" t="s">
        <v>102</v>
      </c>
      <c r="E171" s="59">
        <v>90000</v>
      </c>
      <c r="F171" s="932">
        <f>E171*C171</f>
        <v>90000</v>
      </c>
      <c r="G171" s="87"/>
    </row>
    <row r="172" spans="1:13" x14ac:dyDescent="0.25">
      <c r="A172" s="933" t="s">
        <v>2177</v>
      </c>
      <c r="B172" s="734" t="s">
        <v>569</v>
      </c>
      <c r="C172" s="41"/>
      <c r="D172" s="89"/>
      <c r="E172" s="739"/>
      <c r="F172" s="932"/>
      <c r="G172" s="87"/>
    </row>
    <row r="173" spans="1:13" ht="24.75" x14ac:dyDescent="0.25">
      <c r="A173" s="933" t="s">
        <v>2292</v>
      </c>
      <c r="B173" s="734" t="s">
        <v>575</v>
      </c>
      <c r="C173" s="41"/>
      <c r="D173" s="89"/>
      <c r="E173" s="739"/>
      <c r="F173" s="932"/>
      <c r="G173" s="87"/>
    </row>
    <row r="174" spans="1:13" x14ac:dyDescent="0.25">
      <c r="A174" s="40"/>
      <c r="B174" s="60" t="s">
        <v>2293</v>
      </c>
      <c r="C174" s="41">
        <v>30</v>
      </c>
      <c r="D174" s="89" t="s">
        <v>461</v>
      </c>
      <c r="E174" s="739">
        <v>100000</v>
      </c>
      <c r="F174" s="932">
        <f>E174*C174</f>
        <v>3000000</v>
      </c>
      <c r="G174" s="87"/>
    </row>
    <row r="175" spans="1:13" x14ac:dyDescent="0.25">
      <c r="A175" s="40"/>
      <c r="B175" s="572"/>
      <c r="C175" s="1085"/>
      <c r="D175" s="461"/>
      <c r="E175" s="1086"/>
      <c r="F175" s="1087"/>
      <c r="G175" s="87"/>
    </row>
    <row r="176" spans="1:13" x14ac:dyDescent="0.25">
      <c r="A176" s="931"/>
      <c r="B176" s="1930" t="s">
        <v>27</v>
      </c>
      <c r="C176" s="1931"/>
      <c r="D176" s="1931"/>
      <c r="E176" s="1932"/>
      <c r="F176" s="463">
        <f>SUM(F167:F175)</f>
        <v>9015000</v>
      </c>
      <c r="G176" s="87" t="s">
        <v>2621</v>
      </c>
      <c r="J176" s="175"/>
      <c r="L176" s="175"/>
      <c r="M176" s="175">
        <f>F176</f>
        <v>9015000</v>
      </c>
    </row>
    <row r="177" spans="1:7" x14ac:dyDescent="0.25">
      <c r="A177" s="1807" t="s">
        <v>614</v>
      </c>
      <c r="B177" s="1807"/>
      <c r="C177" s="5" t="s">
        <v>28</v>
      </c>
      <c r="D177" s="1808" t="s">
        <v>1700</v>
      </c>
      <c r="E177" s="1808"/>
      <c r="F177" s="1808"/>
      <c r="G177" s="5"/>
    </row>
    <row r="178" spans="1:7" x14ac:dyDescent="0.25">
      <c r="A178" s="1807" t="s">
        <v>29</v>
      </c>
      <c r="B178" s="1807"/>
      <c r="C178" s="5"/>
      <c r="D178" s="1809" t="s">
        <v>2996</v>
      </c>
      <c r="E178" s="1809"/>
      <c r="F178" s="1809"/>
      <c r="G178" s="5"/>
    </row>
    <row r="179" spans="1:7" x14ac:dyDescent="0.25">
      <c r="A179" s="1"/>
      <c r="B179" s="3"/>
      <c r="C179" s="5"/>
      <c r="D179" s="7"/>
      <c r="E179" s="17"/>
      <c r="F179" s="17"/>
      <c r="G179" s="5"/>
    </row>
    <row r="180" spans="1:7" x14ac:dyDescent="0.25">
      <c r="A180" s="1"/>
      <c r="B180" s="3"/>
      <c r="C180" s="5"/>
      <c r="D180" s="7"/>
      <c r="E180" s="17"/>
      <c r="F180" s="17"/>
      <c r="G180" s="5"/>
    </row>
    <row r="181" spans="1:7" x14ac:dyDescent="0.25">
      <c r="A181" s="1807"/>
      <c r="B181" s="1807"/>
      <c r="C181" s="5"/>
      <c r="D181" s="7"/>
      <c r="E181" s="1807"/>
      <c r="F181" s="1807"/>
      <c r="G181" s="5"/>
    </row>
    <row r="182" spans="1:7" x14ac:dyDescent="0.25">
      <c r="A182" s="1807" t="s">
        <v>30</v>
      </c>
      <c r="B182" s="1807"/>
      <c r="C182" s="5"/>
      <c r="D182" s="1807" t="s">
        <v>2993</v>
      </c>
      <c r="E182" s="1807"/>
      <c r="F182" s="1807"/>
      <c r="G182" s="5"/>
    </row>
    <row r="183" spans="1:7" x14ac:dyDescent="0.25">
      <c r="A183" s="1925" t="s">
        <v>0</v>
      </c>
      <c r="B183" s="1925"/>
      <c r="C183" s="1925"/>
      <c r="D183" s="1925"/>
      <c r="E183" s="1925"/>
      <c r="F183" s="1925"/>
      <c r="G183" s="61"/>
    </row>
    <row r="184" spans="1:7" x14ac:dyDescent="0.25">
      <c r="A184" s="1925" t="s">
        <v>1</v>
      </c>
      <c r="B184" s="1925"/>
      <c r="C184" s="1925"/>
      <c r="D184" s="1925"/>
      <c r="E184" s="1925"/>
      <c r="F184" s="1925"/>
      <c r="G184" s="61"/>
    </row>
    <row r="185" spans="1:7" x14ac:dyDescent="0.25">
      <c r="A185" s="1925" t="s">
        <v>1697</v>
      </c>
      <c r="B185" s="1925"/>
      <c r="C185" s="1925"/>
      <c r="D185" s="1925"/>
      <c r="E185" s="1925"/>
      <c r="F185" s="1925"/>
      <c r="G185" s="61"/>
    </row>
    <row r="186" spans="1:7" x14ac:dyDescent="0.25">
      <c r="A186" s="388"/>
      <c r="B186" s="388"/>
      <c r="C186" s="388"/>
      <c r="D186" s="925"/>
      <c r="E186" s="1076"/>
      <c r="F186" s="388"/>
      <c r="G186" s="61"/>
    </row>
    <row r="187" spans="1:7" x14ac:dyDescent="0.25">
      <c r="A187" s="925" t="s">
        <v>2279</v>
      </c>
      <c r="B187" s="925" t="s">
        <v>1089</v>
      </c>
      <c r="C187" s="925"/>
      <c r="D187" s="925"/>
      <c r="E187" s="1076" t="s">
        <v>6</v>
      </c>
      <c r="F187" s="1076" t="s">
        <v>506</v>
      </c>
      <c r="G187" s="61"/>
    </row>
    <row r="188" spans="1:7" x14ac:dyDescent="0.25">
      <c r="A188" s="925" t="s">
        <v>1100</v>
      </c>
      <c r="B188" s="925" t="s">
        <v>2280</v>
      </c>
      <c r="C188" s="925"/>
      <c r="D188" s="925"/>
      <c r="E188" s="1077"/>
      <c r="F188" s="925"/>
      <c r="G188" s="61"/>
    </row>
    <row r="189" spans="1:7" ht="48" x14ac:dyDescent="0.25">
      <c r="A189" s="926" t="s">
        <v>2281</v>
      </c>
      <c r="B189" s="1078" t="s">
        <v>2327</v>
      </c>
      <c r="C189" s="925"/>
      <c r="D189" s="925"/>
      <c r="E189" s="1079" t="s">
        <v>573</v>
      </c>
      <c r="F189" s="1079"/>
      <c r="G189" s="61"/>
    </row>
    <row r="190" spans="1:7" x14ac:dyDescent="0.25">
      <c r="A190" s="388" t="s">
        <v>1157</v>
      </c>
      <c r="B190" s="388" t="s">
        <v>63</v>
      </c>
      <c r="C190" s="388"/>
      <c r="D190" s="388"/>
      <c r="E190" s="388"/>
      <c r="F190" s="388"/>
      <c r="G190" s="61"/>
    </row>
    <row r="191" spans="1:7" x14ac:dyDescent="0.25">
      <c r="A191" s="441" t="s">
        <v>64</v>
      </c>
      <c r="B191" s="441" t="s">
        <v>65</v>
      </c>
      <c r="C191" s="388"/>
      <c r="D191" s="925"/>
      <c r="E191" s="1076"/>
      <c r="F191" s="388"/>
      <c r="G191" s="61"/>
    </row>
    <row r="192" spans="1:7" ht="9" customHeight="1" x14ac:dyDescent="0.25">
      <c r="A192" s="925"/>
      <c r="B192" s="925"/>
      <c r="C192" s="388"/>
      <c r="D192" s="925"/>
      <c r="E192" s="1076"/>
      <c r="F192" s="388"/>
      <c r="G192" s="61"/>
    </row>
    <row r="193" spans="1:7" ht="24" x14ac:dyDescent="0.25">
      <c r="A193" s="766" t="s">
        <v>31</v>
      </c>
      <c r="B193" s="766" t="s">
        <v>12</v>
      </c>
      <c r="C193" s="1926" t="s">
        <v>13</v>
      </c>
      <c r="D193" s="1927"/>
      <c r="E193" s="1080" t="s">
        <v>14</v>
      </c>
      <c r="F193" s="767" t="s">
        <v>15</v>
      </c>
      <c r="G193" s="64" t="s">
        <v>405</v>
      </c>
    </row>
    <row r="194" spans="1:7" x14ac:dyDescent="0.25">
      <c r="A194" s="770">
        <v>1</v>
      </c>
      <c r="B194" s="770">
        <v>2</v>
      </c>
      <c r="C194" s="1928">
        <v>3</v>
      </c>
      <c r="D194" s="1929"/>
      <c r="E194" s="1081">
        <v>4</v>
      </c>
      <c r="F194" s="57">
        <v>5</v>
      </c>
      <c r="G194" s="1082">
        <v>6</v>
      </c>
    </row>
    <row r="195" spans="1:7" x14ac:dyDescent="0.25">
      <c r="A195" s="770"/>
      <c r="B195" s="1083" t="s">
        <v>2282</v>
      </c>
      <c r="C195" s="57"/>
      <c r="D195" s="58"/>
      <c r="E195" s="1081"/>
      <c r="F195" s="57"/>
      <c r="G195" s="515"/>
    </row>
    <row r="196" spans="1:7" x14ac:dyDescent="0.25">
      <c r="A196" s="930" t="s">
        <v>2283</v>
      </c>
      <c r="B196" s="734" t="s">
        <v>323</v>
      </c>
      <c r="C196" s="931"/>
      <c r="D196" s="89"/>
      <c r="E196" s="739"/>
      <c r="F196" s="932"/>
      <c r="G196" s="87"/>
    </row>
    <row r="197" spans="1:7" x14ac:dyDescent="0.25">
      <c r="A197" s="933" t="s">
        <v>2284</v>
      </c>
      <c r="B197" s="734" t="s">
        <v>88</v>
      </c>
      <c r="C197" s="931"/>
      <c r="D197" s="89"/>
      <c r="E197" s="739"/>
      <c r="F197" s="932"/>
      <c r="G197" s="87"/>
    </row>
    <row r="198" spans="1:7" ht="24.75" x14ac:dyDescent="0.25">
      <c r="A198" s="933" t="s">
        <v>2285</v>
      </c>
      <c r="B198" s="734" t="s">
        <v>845</v>
      </c>
      <c r="C198" s="931"/>
      <c r="D198" s="89"/>
      <c r="E198" s="739"/>
      <c r="F198" s="932"/>
      <c r="G198" s="87"/>
    </row>
    <row r="199" spans="1:7" x14ac:dyDescent="0.25">
      <c r="A199" s="933"/>
      <c r="B199" s="60" t="s">
        <v>2328</v>
      </c>
      <c r="C199" s="41">
        <v>7</v>
      </c>
      <c r="D199" s="89" t="s">
        <v>123</v>
      </c>
      <c r="E199" s="59">
        <v>5000</v>
      </c>
      <c r="F199" s="932">
        <f>E199*C199</f>
        <v>35000</v>
      </c>
      <c r="G199" s="87"/>
    </row>
    <row r="200" spans="1:7" x14ac:dyDescent="0.25">
      <c r="A200" s="1084"/>
      <c r="B200" s="60" t="s">
        <v>2329</v>
      </c>
      <c r="C200" s="41">
        <v>7</v>
      </c>
      <c r="D200" s="89" t="s">
        <v>123</v>
      </c>
      <c r="E200" s="59">
        <v>4000</v>
      </c>
      <c r="F200" s="932">
        <f>E200*C200</f>
        <v>28000</v>
      </c>
      <c r="G200" s="87"/>
    </row>
    <row r="201" spans="1:7" ht="24.75" x14ac:dyDescent="0.25">
      <c r="A201" s="1084" t="s">
        <v>2288</v>
      </c>
      <c r="B201" s="734" t="s">
        <v>2289</v>
      </c>
      <c r="C201" s="41"/>
      <c r="D201" s="89"/>
      <c r="E201" s="739"/>
      <c r="F201" s="932"/>
      <c r="G201" s="87"/>
    </row>
    <row r="202" spans="1:7" ht="36.75" x14ac:dyDescent="0.25">
      <c r="A202" s="1084"/>
      <c r="B202" s="60" t="s">
        <v>2330</v>
      </c>
      <c r="C202" s="41">
        <v>12</v>
      </c>
      <c r="D202" s="89" t="s">
        <v>315</v>
      </c>
      <c r="E202" s="739">
        <v>15000</v>
      </c>
      <c r="F202" s="932">
        <f>E202*C202</f>
        <v>180000</v>
      </c>
      <c r="G202" s="87"/>
    </row>
    <row r="203" spans="1:7" ht="36.75" x14ac:dyDescent="0.25">
      <c r="A203" s="1084"/>
      <c r="B203" s="60" t="s">
        <v>2331</v>
      </c>
      <c r="C203" s="41">
        <v>177</v>
      </c>
      <c r="D203" s="89" t="s">
        <v>315</v>
      </c>
      <c r="E203" s="739">
        <v>15000</v>
      </c>
      <c r="F203" s="932">
        <f>E203*C203</f>
        <v>2655000</v>
      </c>
      <c r="G203" s="87"/>
    </row>
    <row r="204" spans="1:7" x14ac:dyDescent="0.25">
      <c r="A204" s="1084" t="s">
        <v>2332</v>
      </c>
      <c r="B204" s="734" t="s">
        <v>1271</v>
      </c>
      <c r="C204" s="41"/>
      <c r="D204" s="89"/>
      <c r="E204" s="739"/>
      <c r="F204" s="932"/>
      <c r="G204" s="87"/>
    </row>
    <row r="205" spans="1:7" x14ac:dyDescent="0.25">
      <c r="A205" s="1435"/>
      <c r="B205" s="396" t="s">
        <v>2788</v>
      </c>
      <c r="C205" s="397">
        <v>7</v>
      </c>
      <c r="D205" s="522" t="s">
        <v>204</v>
      </c>
      <c r="E205" s="1436">
        <v>750000</v>
      </c>
      <c r="F205" s="400">
        <f>E205*C205</f>
        <v>5250000</v>
      </c>
      <c r="G205" s="401"/>
    </row>
    <row r="206" spans="1:7" x14ac:dyDescent="0.25">
      <c r="A206" s="1435"/>
      <c r="B206" s="396" t="s">
        <v>2333</v>
      </c>
      <c r="C206" s="397">
        <f>7*3</f>
        <v>21</v>
      </c>
      <c r="D206" s="522" t="s">
        <v>252</v>
      </c>
      <c r="E206" s="1436">
        <v>250000</v>
      </c>
      <c r="F206" s="400">
        <f>E206*C206</f>
        <v>5250000</v>
      </c>
      <c r="G206" s="401"/>
    </row>
    <row r="207" spans="1:7" ht="24.75" x14ac:dyDescent="0.25">
      <c r="A207" s="933" t="s">
        <v>2291</v>
      </c>
      <c r="B207" s="734" t="s">
        <v>376</v>
      </c>
      <c r="C207" s="41"/>
      <c r="D207" s="89"/>
      <c r="E207" s="59"/>
      <c r="F207" s="932"/>
      <c r="G207" s="87"/>
    </row>
    <row r="208" spans="1:7" x14ac:dyDescent="0.25">
      <c r="A208" s="933"/>
      <c r="B208" s="60" t="s">
        <v>377</v>
      </c>
      <c r="C208" s="41">
        <v>2</v>
      </c>
      <c r="D208" s="89" t="s">
        <v>102</v>
      </c>
      <c r="E208" s="59">
        <v>90000</v>
      </c>
      <c r="F208" s="932">
        <f>E208*C208</f>
        <v>180000</v>
      </c>
      <c r="G208" s="87"/>
    </row>
    <row r="209" spans="1:19" x14ac:dyDescent="0.25">
      <c r="A209" s="933" t="s">
        <v>2177</v>
      </c>
      <c r="B209" s="734" t="s">
        <v>569</v>
      </c>
      <c r="C209" s="41"/>
      <c r="D209" s="89"/>
      <c r="E209" s="739"/>
      <c r="F209" s="932"/>
      <c r="G209" s="87"/>
    </row>
    <row r="210" spans="1:19" ht="24.75" x14ac:dyDescent="0.25">
      <c r="A210" s="933" t="s">
        <v>2292</v>
      </c>
      <c r="B210" s="734" t="s">
        <v>575</v>
      </c>
      <c r="C210" s="41"/>
      <c r="D210" s="89"/>
      <c r="E210" s="739"/>
      <c r="F210" s="932"/>
      <c r="G210" s="87"/>
    </row>
    <row r="211" spans="1:19" x14ac:dyDescent="0.25">
      <c r="A211" s="40"/>
      <c r="B211" s="60" t="s">
        <v>2334</v>
      </c>
      <c r="C211" s="41">
        <v>2</v>
      </c>
      <c r="D211" s="89" t="s">
        <v>315</v>
      </c>
      <c r="E211" s="739">
        <v>300000</v>
      </c>
      <c r="F211" s="932">
        <f>E211*C211</f>
        <v>600000</v>
      </c>
      <c r="G211" s="87"/>
    </row>
    <row r="212" spans="1:19" x14ac:dyDescent="0.25">
      <c r="A212" s="40"/>
      <c r="B212" s="572"/>
      <c r="C212" s="1085"/>
      <c r="D212" s="461"/>
      <c r="E212" s="1086"/>
      <c r="F212" s="1087"/>
      <c r="G212" s="87"/>
    </row>
    <row r="213" spans="1:19" x14ac:dyDescent="0.25">
      <c r="A213" s="931"/>
      <c r="B213" s="1930" t="s">
        <v>27</v>
      </c>
      <c r="C213" s="1931"/>
      <c r="D213" s="1931"/>
      <c r="E213" s="1932"/>
      <c r="F213" s="463">
        <f>SUM(F199:F212)</f>
        <v>14178000</v>
      </c>
      <c r="G213" s="87" t="s">
        <v>2625</v>
      </c>
      <c r="L213" s="175"/>
      <c r="S213" s="175">
        <f>F213</f>
        <v>14178000</v>
      </c>
    </row>
    <row r="214" spans="1:19" x14ac:dyDescent="0.25">
      <c r="A214" s="1807" t="s">
        <v>614</v>
      </c>
      <c r="B214" s="1807"/>
      <c r="C214" s="5" t="s">
        <v>28</v>
      </c>
      <c r="D214" s="1808" t="s">
        <v>1700</v>
      </c>
      <c r="E214" s="1808"/>
      <c r="F214" s="1808"/>
      <c r="G214" s="5"/>
    </row>
    <row r="215" spans="1:19" x14ac:dyDescent="0.25">
      <c r="A215" s="1807" t="s">
        <v>29</v>
      </c>
      <c r="B215" s="1807"/>
      <c r="C215" s="5"/>
      <c r="D215" s="1809" t="s">
        <v>2996</v>
      </c>
      <c r="E215" s="1809"/>
      <c r="F215" s="1809"/>
      <c r="G215" s="5"/>
    </row>
    <row r="216" spans="1:19" x14ac:dyDescent="0.25">
      <c r="A216" s="1"/>
      <c r="B216" s="3"/>
      <c r="C216" s="5"/>
      <c r="D216" s="7"/>
      <c r="E216" s="17"/>
      <c r="F216" s="17"/>
      <c r="G216" s="5"/>
    </row>
    <row r="217" spans="1:19" x14ac:dyDescent="0.25">
      <c r="A217" s="1"/>
      <c r="B217" s="3"/>
      <c r="C217" s="5"/>
      <c r="D217" s="7"/>
      <c r="E217" s="17"/>
      <c r="F217" s="17"/>
      <c r="G217" s="5"/>
    </row>
    <row r="218" spans="1:19" x14ac:dyDescent="0.25">
      <c r="A218" s="1807"/>
      <c r="B218" s="1807"/>
      <c r="C218" s="5"/>
      <c r="D218" s="7"/>
      <c r="E218" s="1807"/>
      <c r="F218" s="1807"/>
      <c r="G218" s="5"/>
    </row>
    <row r="219" spans="1:19" x14ac:dyDescent="0.25">
      <c r="A219" s="1807" t="s">
        <v>30</v>
      </c>
      <c r="B219" s="1807"/>
      <c r="C219" s="5"/>
      <c r="D219" s="1807" t="s">
        <v>2993</v>
      </c>
      <c r="E219" s="1807"/>
      <c r="F219" s="1807"/>
      <c r="G219" s="5"/>
    </row>
    <row r="220" spans="1:19" x14ac:dyDescent="0.25">
      <c r="A220" s="1816" t="s">
        <v>0</v>
      </c>
      <c r="B220" s="1816"/>
      <c r="C220" s="1816"/>
      <c r="D220" s="1816"/>
      <c r="E220" s="1816"/>
      <c r="F220" s="1816"/>
      <c r="G220" s="1816"/>
    </row>
    <row r="221" spans="1:19" x14ac:dyDescent="0.25">
      <c r="A221" s="1816" t="s">
        <v>1</v>
      </c>
      <c r="B221" s="1816"/>
      <c r="C221" s="1816"/>
      <c r="D221" s="1816"/>
      <c r="E221" s="1816"/>
      <c r="F221" s="1816"/>
      <c r="G221" s="1816"/>
    </row>
    <row r="222" spans="1:19" x14ac:dyDescent="0.25">
      <c r="A222" s="1816" t="s">
        <v>1697</v>
      </c>
      <c r="B222" s="1816"/>
      <c r="C222" s="1816"/>
      <c r="D222" s="1816"/>
      <c r="E222" s="1816"/>
      <c r="F222" s="1816"/>
      <c r="G222" s="1816"/>
    </row>
    <row r="223" spans="1:19" x14ac:dyDescent="0.25">
      <c r="A223" s="863"/>
      <c r="B223" s="863"/>
      <c r="C223" s="597"/>
      <c r="D223" s="597"/>
      <c r="E223" s="863"/>
      <c r="F223" s="863"/>
      <c r="G223" s="619"/>
    </row>
    <row r="224" spans="1:19" ht="30" x14ac:dyDescent="0.25">
      <c r="A224" s="372" t="s">
        <v>399</v>
      </c>
      <c r="B224" s="279" t="s">
        <v>59</v>
      </c>
      <c r="C224" s="280"/>
      <c r="D224" s="274"/>
      <c r="E224" s="632" t="s">
        <v>6</v>
      </c>
      <c r="F224" s="633"/>
      <c r="G224" s="972"/>
    </row>
    <row r="225" spans="1:7" x14ac:dyDescent="0.25">
      <c r="A225" s="281" t="s">
        <v>400</v>
      </c>
      <c r="B225" s="686" t="s">
        <v>638</v>
      </c>
      <c r="C225" s="686"/>
      <c r="D225" s="686"/>
      <c r="E225" s="686" t="s">
        <v>368</v>
      </c>
      <c r="F225" s="240"/>
      <c r="G225" s="973"/>
    </row>
    <row r="226" spans="1:7" ht="45" x14ac:dyDescent="0.25">
      <c r="A226" s="281" t="s">
        <v>402</v>
      </c>
      <c r="B226" s="686" t="s">
        <v>2070</v>
      </c>
      <c r="C226" s="686"/>
      <c r="D226" s="686"/>
      <c r="E226" s="686"/>
      <c r="F226" s="240"/>
      <c r="G226" s="685"/>
    </row>
    <row r="227" spans="1:7" x14ac:dyDescent="0.25">
      <c r="A227" s="275" t="s">
        <v>610</v>
      </c>
      <c r="B227" s="275" t="s">
        <v>2071</v>
      </c>
      <c r="C227" s="844"/>
      <c r="D227" s="844"/>
      <c r="E227" s="844"/>
      <c r="F227" s="844"/>
      <c r="G227" s="972"/>
    </row>
    <row r="228" spans="1:7" x14ac:dyDescent="0.25">
      <c r="A228" s="863" t="s">
        <v>464</v>
      </c>
      <c r="B228" s="863" t="s">
        <v>611</v>
      </c>
      <c r="C228" s="597"/>
      <c r="D228" s="597"/>
      <c r="E228" s="863"/>
      <c r="F228" s="863"/>
      <c r="G228" s="619"/>
    </row>
    <row r="229" spans="1:7" x14ac:dyDescent="0.25">
      <c r="A229" s="1817" t="s">
        <v>561</v>
      </c>
      <c r="B229" s="1817"/>
      <c r="C229" s="844"/>
      <c r="D229" s="844"/>
      <c r="E229" s="633"/>
      <c r="F229" s="280"/>
      <c r="G229" s="619"/>
    </row>
    <row r="230" spans="1:7" x14ac:dyDescent="0.25">
      <c r="A230" s="844"/>
      <c r="B230" s="844"/>
      <c r="C230" s="844"/>
      <c r="D230" s="844"/>
      <c r="E230" s="844"/>
      <c r="F230" s="844"/>
      <c r="G230" s="619"/>
    </row>
    <row r="231" spans="1:7" ht="30" x14ac:dyDescent="0.25">
      <c r="A231" s="601" t="s">
        <v>31</v>
      </c>
      <c r="B231" s="601" t="s">
        <v>12</v>
      </c>
      <c r="C231" s="1818" t="s">
        <v>13</v>
      </c>
      <c r="D231" s="1819"/>
      <c r="E231" s="944" t="s">
        <v>14</v>
      </c>
      <c r="F231" s="691" t="s">
        <v>15</v>
      </c>
      <c r="G231" s="603" t="s">
        <v>405</v>
      </c>
    </row>
    <row r="232" spans="1:7" x14ac:dyDescent="0.25">
      <c r="A232" s="604">
        <v>1</v>
      </c>
      <c r="B232" s="604">
        <v>2</v>
      </c>
      <c r="C232" s="1820">
        <v>3</v>
      </c>
      <c r="D232" s="1821"/>
      <c r="E232" s="946">
        <v>4</v>
      </c>
      <c r="F232" s="605">
        <v>5</v>
      </c>
      <c r="G232" s="608">
        <v>6</v>
      </c>
    </row>
    <row r="233" spans="1:7" x14ac:dyDescent="0.25">
      <c r="A233" s="620" t="s">
        <v>2072</v>
      </c>
      <c r="B233" s="621" t="s">
        <v>466</v>
      </c>
      <c r="C233" s="640"/>
      <c r="D233" s="641"/>
      <c r="E233" s="947"/>
      <c r="F233" s="947"/>
      <c r="G233" s="887"/>
    </row>
    <row r="234" spans="1:7" ht="30" x14ac:dyDescent="0.25">
      <c r="A234" s="620" t="s">
        <v>2073</v>
      </c>
      <c r="B234" s="621" t="s">
        <v>2064</v>
      </c>
      <c r="C234" s="640"/>
      <c r="D234" s="641"/>
      <c r="E234" s="947"/>
      <c r="F234" s="947"/>
      <c r="G234" s="887"/>
    </row>
    <row r="235" spans="1:7" ht="30" x14ac:dyDescent="0.25">
      <c r="A235" s="620" t="s">
        <v>2074</v>
      </c>
      <c r="B235" s="618" t="s">
        <v>470</v>
      </c>
      <c r="C235" s="640"/>
      <c r="D235" s="641"/>
      <c r="E235" s="948"/>
      <c r="F235" s="948"/>
      <c r="G235" s="887"/>
    </row>
    <row r="236" spans="1:7" x14ac:dyDescent="0.25">
      <c r="A236" s="620"/>
      <c r="B236" s="618" t="s">
        <v>214</v>
      </c>
      <c r="C236" s="640">
        <v>1</v>
      </c>
      <c r="D236" s="949" t="s">
        <v>520</v>
      </c>
      <c r="E236" s="950">
        <v>300000</v>
      </c>
      <c r="F236" s="950">
        <f>E236*C236</f>
        <v>300000</v>
      </c>
      <c r="G236" s="887"/>
    </row>
    <row r="237" spans="1:7" x14ac:dyDescent="0.25">
      <c r="A237" s="620"/>
      <c r="B237" s="618" t="s">
        <v>1953</v>
      </c>
      <c r="C237" s="640">
        <v>1</v>
      </c>
      <c r="D237" s="949" t="s">
        <v>520</v>
      </c>
      <c r="E237" s="950">
        <v>250000</v>
      </c>
      <c r="F237" s="950">
        <f>E237*C237</f>
        <v>250000</v>
      </c>
      <c r="G237" s="887"/>
    </row>
    <row r="238" spans="1:7" ht="15.75" thickBot="1" x14ac:dyDescent="0.3">
      <c r="A238" s="620"/>
      <c r="B238" s="618" t="s">
        <v>391</v>
      </c>
      <c r="C238" s="844">
        <v>1</v>
      </c>
      <c r="D238" s="949" t="s">
        <v>520</v>
      </c>
      <c r="E238" s="950">
        <v>200000</v>
      </c>
      <c r="F238" s="950">
        <f>E238*C238</f>
        <v>200000</v>
      </c>
      <c r="G238" s="618"/>
    </row>
    <row r="239" spans="1:7" ht="15.75" thickBot="1" x14ac:dyDescent="0.3">
      <c r="A239" s="620"/>
      <c r="B239" s="618"/>
      <c r="C239" s="1822" t="s">
        <v>613</v>
      </c>
      <c r="D239" s="1823"/>
      <c r="E239" s="1824"/>
      <c r="F239" s="951">
        <f>SUM(F236:F238)</f>
        <v>750000</v>
      </c>
      <c r="G239" s="618"/>
    </row>
    <row r="240" spans="1:7" x14ac:dyDescent="0.25">
      <c r="A240" s="620" t="s">
        <v>2075</v>
      </c>
      <c r="B240" s="618" t="s">
        <v>2067</v>
      </c>
      <c r="C240" s="952"/>
      <c r="D240" s="953"/>
      <c r="E240" s="954"/>
      <c r="F240" s="954"/>
      <c r="G240" s="618"/>
    </row>
    <row r="241" spans="1:19" ht="15.75" thickBot="1" x14ac:dyDescent="0.3">
      <c r="A241" s="955"/>
      <c r="B241" s="960" t="s">
        <v>2076</v>
      </c>
      <c r="C241" s="952">
        <v>29.2</v>
      </c>
      <c r="D241" s="953" t="s">
        <v>539</v>
      </c>
      <c r="E241" s="954">
        <v>497250</v>
      </c>
      <c r="F241" s="954">
        <f>E241*C241</f>
        <v>14519700</v>
      </c>
      <c r="G241" s="974"/>
    </row>
    <row r="242" spans="1:19" ht="15.75" thickBot="1" x14ac:dyDescent="0.3">
      <c r="A242" s="604"/>
      <c r="B242" s="962"/>
      <c r="C242" s="1825" t="s">
        <v>613</v>
      </c>
      <c r="D242" s="1826"/>
      <c r="E242" s="1827"/>
      <c r="F242" s="968">
        <f>SUM(F241:F241)</f>
        <v>14519700</v>
      </c>
      <c r="G242" s="618"/>
    </row>
    <row r="243" spans="1:19" x14ac:dyDescent="0.25">
      <c r="A243" s="604"/>
      <c r="B243" s="969"/>
      <c r="C243" s="961"/>
      <c r="D243" s="963"/>
      <c r="E243" s="962"/>
      <c r="F243" s="970"/>
      <c r="G243" s="618"/>
    </row>
    <row r="244" spans="1:19" x14ac:dyDescent="0.25">
      <c r="A244" s="241"/>
      <c r="B244" s="1883" t="s">
        <v>27</v>
      </c>
      <c r="C244" s="1884"/>
      <c r="D244" s="1884"/>
      <c r="E244" s="1885"/>
      <c r="F244" s="971">
        <f>F242+F239</f>
        <v>15269700</v>
      </c>
      <c r="G244" s="252" t="s">
        <v>2387</v>
      </c>
      <c r="J244" s="175">
        <f>F244</f>
        <v>15269700</v>
      </c>
      <c r="K244" s="175"/>
      <c r="S244" s="175"/>
    </row>
    <row r="245" spans="1:19" x14ac:dyDescent="0.25">
      <c r="A245" s="1807" t="s">
        <v>614</v>
      </c>
      <c r="B245" s="1807"/>
      <c r="C245" s="5" t="s">
        <v>28</v>
      </c>
      <c r="D245" s="1808" t="s">
        <v>1698</v>
      </c>
      <c r="E245" s="1808"/>
      <c r="F245" s="1808"/>
      <c r="G245" s="5"/>
    </row>
    <row r="246" spans="1:19" x14ac:dyDescent="0.25">
      <c r="A246" s="1807" t="s">
        <v>29</v>
      </c>
      <c r="B246" s="1807"/>
      <c r="C246" s="5"/>
      <c r="D246" s="1809" t="s">
        <v>2990</v>
      </c>
      <c r="E246" s="1809"/>
      <c r="F246" s="1809"/>
      <c r="G246" s="5"/>
    </row>
    <row r="247" spans="1:19" x14ac:dyDescent="0.25">
      <c r="A247" s="1"/>
      <c r="B247" s="3"/>
      <c r="C247" s="5"/>
      <c r="D247" s="7"/>
      <c r="E247" s="17"/>
      <c r="F247" s="17"/>
      <c r="G247" s="5"/>
    </row>
    <row r="248" spans="1:19" x14ac:dyDescent="0.25">
      <c r="A248" s="1"/>
      <c r="B248" s="3"/>
      <c r="C248" s="5"/>
      <c r="D248" s="7"/>
      <c r="E248" s="17"/>
      <c r="F248" s="17"/>
      <c r="G248" s="5"/>
    </row>
    <row r="249" spans="1:19" x14ac:dyDescent="0.25">
      <c r="A249" s="1807"/>
      <c r="B249" s="1807"/>
      <c r="C249" s="5"/>
      <c r="D249" s="7"/>
      <c r="E249" s="1807"/>
      <c r="F249" s="1807"/>
      <c r="G249" s="5"/>
    </row>
    <row r="250" spans="1:19" x14ac:dyDescent="0.25">
      <c r="A250" s="1807" t="s">
        <v>30</v>
      </c>
      <c r="B250" s="1807"/>
      <c r="C250" s="5"/>
      <c r="D250" s="1807" t="s">
        <v>2991</v>
      </c>
      <c r="E250" s="1807"/>
      <c r="F250" s="1807"/>
      <c r="G250" s="5"/>
    </row>
    <row r="252" spans="1:19" x14ac:dyDescent="0.25">
      <c r="A252" s="1816" t="s">
        <v>0</v>
      </c>
      <c r="B252" s="1816"/>
      <c r="C252" s="1816"/>
      <c r="D252" s="1816"/>
      <c r="E252" s="1816"/>
      <c r="F252" s="1816"/>
      <c r="G252" s="1816"/>
    </row>
    <row r="253" spans="1:19" x14ac:dyDescent="0.25">
      <c r="A253" s="1816" t="s">
        <v>1</v>
      </c>
      <c r="B253" s="1816"/>
      <c r="C253" s="1816"/>
      <c r="D253" s="1816"/>
      <c r="E253" s="1816"/>
      <c r="F253" s="1816"/>
      <c r="G253" s="1816"/>
    </row>
    <row r="254" spans="1:19" x14ac:dyDescent="0.25">
      <c r="A254" s="1816" t="s">
        <v>1697</v>
      </c>
      <c r="B254" s="1816"/>
      <c r="C254" s="1816"/>
      <c r="D254" s="1816"/>
      <c r="E254" s="1816"/>
      <c r="F254" s="1816"/>
      <c r="G254" s="1816"/>
    </row>
    <row r="255" spans="1:19" x14ac:dyDescent="0.25">
      <c r="A255" s="863"/>
      <c r="B255" s="863"/>
      <c r="C255" s="597"/>
      <c r="D255" s="597"/>
      <c r="E255" s="863"/>
      <c r="F255" s="863"/>
      <c r="G255" s="619"/>
    </row>
    <row r="256" spans="1:19" ht="30" x14ac:dyDescent="0.25">
      <c r="A256" s="372" t="s">
        <v>399</v>
      </c>
      <c r="B256" s="279" t="s">
        <v>59</v>
      </c>
      <c r="C256" s="280"/>
      <c r="D256" s="274"/>
      <c r="E256" s="632" t="s">
        <v>6</v>
      </c>
      <c r="F256" s="633"/>
      <c r="G256" s="972"/>
    </row>
    <row r="257" spans="1:7" x14ac:dyDescent="0.25">
      <c r="A257" s="281" t="s">
        <v>400</v>
      </c>
      <c r="B257" s="686" t="s">
        <v>638</v>
      </c>
      <c r="C257" s="686"/>
      <c r="D257" s="686"/>
      <c r="E257" s="686" t="s">
        <v>368</v>
      </c>
      <c r="F257" s="240"/>
      <c r="G257" s="973"/>
    </row>
    <row r="258" spans="1:7" ht="45" x14ac:dyDescent="0.25">
      <c r="A258" s="281" t="s">
        <v>402</v>
      </c>
      <c r="B258" s="686" t="s">
        <v>2077</v>
      </c>
      <c r="C258" s="686"/>
      <c r="D258" s="686"/>
      <c r="E258" s="686"/>
      <c r="F258" s="240"/>
      <c r="G258" s="685"/>
    </row>
    <row r="259" spans="1:7" x14ac:dyDescent="0.25">
      <c r="A259" s="275" t="s">
        <v>610</v>
      </c>
      <c r="B259" s="275" t="s">
        <v>2078</v>
      </c>
      <c r="C259" s="844"/>
      <c r="D259" s="844"/>
      <c r="E259" s="844"/>
      <c r="F259" s="844"/>
      <c r="G259" s="972"/>
    </row>
    <row r="260" spans="1:7" x14ac:dyDescent="0.25">
      <c r="A260" s="863" t="s">
        <v>464</v>
      </c>
      <c r="B260" s="863" t="s">
        <v>611</v>
      </c>
      <c r="C260" s="597"/>
      <c r="D260" s="597"/>
      <c r="E260" s="863"/>
      <c r="F260" s="863"/>
      <c r="G260" s="619"/>
    </row>
    <row r="261" spans="1:7" x14ac:dyDescent="0.25">
      <c r="A261" s="1817" t="s">
        <v>561</v>
      </c>
      <c r="B261" s="1817"/>
      <c r="C261" s="844"/>
      <c r="D261" s="844"/>
      <c r="E261" s="633"/>
      <c r="F261" s="280"/>
      <c r="G261" s="619"/>
    </row>
    <row r="262" spans="1:7" x14ac:dyDescent="0.25">
      <c r="A262" s="844"/>
      <c r="B262" s="844"/>
      <c r="C262" s="844"/>
      <c r="D262" s="844"/>
      <c r="E262" s="844"/>
      <c r="F262" s="844"/>
      <c r="G262" s="619"/>
    </row>
    <row r="263" spans="1:7" ht="30" x14ac:dyDescent="0.25">
      <c r="A263" s="601" t="s">
        <v>31</v>
      </c>
      <c r="B263" s="601" t="s">
        <v>12</v>
      </c>
      <c r="C263" s="1818" t="s">
        <v>13</v>
      </c>
      <c r="D263" s="1819"/>
      <c r="E263" s="944" t="s">
        <v>14</v>
      </c>
      <c r="F263" s="691" t="s">
        <v>15</v>
      </c>
      <c r="G263" s="603" t="s">
        <v>405</v>
      </c>
    </row>
    <row r="264" spans="1:7" x14ac:dyDescent="0.25">
      <c r="A264" s="604">
        <v>1</v>
      </c>
      <c r="B264" s="604">
        <v>2</v>
      </c>
      <c r="C264" s="1820">
        <v>3</v>
      </c>
      <c r="D264" s="1821"/>
      <c r="E264" s="946">
        <v>4</v>
      </c>
      <c r="F264" s="605">
        <v>5</v>
      </c>
      <c r="G264" s="608">
        <v>6</v>
      </c>
    </row>
    <row r="265" spans="1:7" x14ac:dyDescent="0.25">
      <c r="A265" s="620" t="s">
        <v>2072</v>
      </c>
      <c r="B265" s="621" t="s">
        <v>466</v>
      </c>
      <c r="C265" s="640"/>
      <c r="D265" s="641"/>
      <c r="E265" s="947"/>
      <c r="F265" s="947"/>
      <c r="G265" s="887"/>
    </row>
    <row r="266" spans="1:7" ht="30" x14ac:dyDescent="0.25">
      <c r="A266" s="620" t="s">
        <v>2073</v>
      </c>
      <c r="B266" s="621" t="s">
        <v>2064</v>
      </c>
      <c r="C266" s="640"/>
      <c r="D266" s="641"/>
      <c r="E266" s="947"/>
      <c r="F266" s="947"/>
      <c r="G266" s="887"/>
    </row>
    <row r="267" spans="1:7" ht="30" x14ac:dyDescent="0.25">
      <c r="A267" s="620" t="s">
        <v>2074</v>
      </c>
      <c r="B267" s="618" t="s">
        <v>470</v>
      </c>
      <c r="C267" s="640"/>
      <c r="D267" s="641"/>
      <c r="E267" s="948"/>
      <c r="F267" s="948"/>
      <c r="G267" s="887"/>
    </row>
    <row r="268" spans="1:7" ht="15.75" thickBot="1" x14ac:dyDescent="0.3">
      <c r="A268" s="620"/>
      <c r="B268" s="618" t="s">
        <v>2815</v>
      </c>
      <c r="C268" s="640">
        <v>1</v>
      </c>
      <c r="D268" s="949" t="s">
        <v>252</v>
      </c>
      <c r="E268" s="950">
        <v>108000</v>
      </c>
      <c r="F268" s="950">
        <f>E268*C268</f>
        <v>108000</v>
      </c>
      <c r="G268" s="887"/>
    </row>
    <row r="269" spans="1:7" ht="15.75" thickBot="1" x14ac:dyDescent="0.3">
      <c r="A269" s="620"/>
      <c r="B269" s="618"/>
      <c r="C269" s="1822" t="s">
        <v>613</v>
      </c>
      <c r="D269" s="1823"/>
      <c r="E269" s="1824"/>
      <c r="F269" s="951">
        <f>SUM(F268:F268)</f>
        <v>108000</v>
      </c>
      <c r="G269" s="618"/>
    </row>
    <row r="270" spans="1:7" ht="30" x14ac:dyDescent="0.25">
      <c r="A270" s="620" t="s">
        <v>2080</v>
      </c>
      <c r="B270" s="613" t="s">
        <v>2081</v>
      </c>
      <c r="C270" s="976"/>
      <c r="D270" s="977"/>
      <c r="E270" s="978"/>
      <c r="F270" s="978"/>
      <c r="G270" s="618"/>
    </row>
    <row r="271" spans="1:7" x14ac:dyDescent="0.25">
      <c r="A271" s="620"/>
      <c r="B271" s="613" t="s">
        <v>1928</v>
      </c>
      <c r="C271" s="979">
        <v>4</v>
      </c>
      <c r="D271" s="980" t="s">
        <v>461</v>
      </c>
      <c r="E271" s="981">
        <v>143000</v>
      </c>
      <c r="F271" s="982">
        <f>E271*C271</f>
        <v>572000</v>
      </c>
      <c r="G271" s="618"/>
    </row>
    <row r="272" spans="1:7" x14ac:dyDescent="0.25">
      <c r="A272" s="620"/>
      <c r="B272" s="618" t="s">
        <v>1929</v>
      </c>
      <c r="C272" s="979">
        <v>5</v>
      </c>
      <c r="D272" s="980" t="s">
        <v>461</v>
      </c>
      <c r="E272" s="962">
        <v>130000</v>
      </c>
      <c r="F272" s="947">
        <f>E272*C272</f>
        <v>650000</v>
      </c>
      <c r="G272" s="887"/>
    </row>
    <row r="273" spans="1:19" ht="15.75" thickBot="1" x14ac:dyDescent="0.3">
      <c r="A273" s="620"/>
      <c r="B273" s="618"/>
      <c r="C273" s="961"/>
      <c r="D273" s="606"/>
      <c r="E273" s="954"/>
      <c r="F273" s="948"/>
      <c r="G273" s="618"/>
    </row>
    <row r="274" spans="1:19" ht="15.75" thickBot="1" x14ac:dyDescent="0.3">
      <c r="A274" s="620"/>
      <c r="B274" s="618"/>
      <c r="C274" s="1822" t="s">
        <v>613</v>
      </c>
      <c r="D274" s="1823"/>
      <c r="E274" s="1824"/>
      <c r="F274" s="951">
        <f>F272+F271</f>
        <v>1222000</v>
      </c>
      <c r="G274" s="618"/>
      <c r="H274" s="175"/>
    </row>
    <row r="275" spans="1:19" x14ac:dyDescent="0.25">
      <c r="A275" s="620" t="s">
        <v>2075</v>
      </c>
      <c r="B275" s="618" t="s">
        <v>2067</v>
      </c>
      <c r="C275" s="952"/>
      <c r="D275" s="953"/>
      <c r="E275" s="954"/>
      <c r="F275" s="954"/>
      <c r="G275" s="618"/>
      <c r="H275" s="175"/>
    </row>
    <row r="276" spans="1:19" x14ac:dyDescent="0.25">
      <c r="A276" s="955"/>
      <c r="B276" s="960" t="s">
        <v>2083</v>
      </c>
      <c r="C276" s="952">
        <v>54</v>
      </c>
      <c r="D276" s="953" t="s">
        <v>1938</v>
      </c>
      <c r="E276" s="954">
        <v>64000</v>
      </c>
      <c r="F276" s="954">
        <f>E276*C276</f>
        <v>3456000</v>
      </c>
      <c r="G276" s="974"/>
    </row>
    <row r="277" spans="1:19" x14ac:dyDescent="0.25">
      <c r="A277" s="620"/>
      <c r="B277" s="960" t="s">
        <v>2082</v>
      </c>
      <c r="C277" s="961">
        <v>2</v>
      </c>
      <c r="D277" s="641" t="s">
        <v>123</v>
      </c>
      <c r="E277" s="954">
        <v>37000</v>
      </c>
      <c r="F277" s="954">
        <f>E277*C277</f>
        <v>74000</v>
      </c>
      <c r="G277" s="618"/>
    </row>
    <row r="278" spans="1:19" x14ac:dyDescent="0.25">
      <c r="A278" s="620"/>
      <c r="B278" s="960" t="s">
        <v>2084</v>
      </c>
      <c r="C278" s="961">
        <v>56</v>
      </c>
      <c r="D278" s="959" t="s">
        <v>312</v>
      </c>
      <c r="E278" s="962">
        <v>12000</v>
      </c>
      <c r="F278" s="954">
        <f>E278*C278</f>
        <v>672000</v>
      </c>
      <c r="G278" s="618"/>
    </row>
    <row r="279" spans="1:19" ht="15.75" thickBot="1" x14ac:dyDescent="0.3">
      <c r="A279" s="620"/>
      <c r="B279" s="960"/>
      <c r="C279" s="961"/>
      <c r="D279" s="641"/>
      <c r="E279" s="962"/>
      <c r="F279" s="962"/>
      <c r="G279" s="618"/>
    </row>
    <row r="280" spans="1:19" ht="15.75" thickBot="1" x14ac:dyDescent="0.3">
      <c r="A280" s="604"/>
      <c r="B280" s="962"/>
      <c r="C280" s="1825" t="s">
        <v>613</v>
      </c>
      <c r="D280" s="1826"/>
      <c r="E280" s="1827"/>
      <c r="F280" s="968">
        <f>SUM(F276:F279)</f>
        <v>4202000</v>
      </c>
      <c r="G280" s="618"/>
    </row>
    <row r="281" spans="1:19" x14ac:dyDescent="0.25">
      <c r="A281" s="604"/>
      <c r="B281" s="969"/>
      <c r="C281" s="961"/>
      <c r="D281" s="963"/>
      <c r="E281" s="962"/>
      <c r="F281" s="970"/>
      <c r="G281" s="618"/>
    </row>
    <row r="282" spans="1:19" x14ac:dyDescent="0.25">
      <c r="A282" s="241"/>
      <c r="B282" s="1883" t="s">
        <v>27</v>
      </c>
      <c r="C282" s="1884"/>
      <c r="D282" s="1884"/>
      <c r="E282" s="1885"/>
      <c r="F282" s="971">
        <f>F280+F274+F269</f>
        <v>5532000</v>
      </c>
      <c r="G282" s="252" t="s">
        <v>2387</v>
      </c>
      <c r="J282" s="175">
        <f>F282</f>
        <v>5532000</v>
      </c>
      <c r="K282" s="175"/>
      <c r="S282" s="175"/>
    </row>
    <row r="283" spans="1:19" x14ac:dyDescent="0.25">
      <c r="A283" s="1807" t="s">
        <v>614</v>
      </c>
      <c r="B283" s="1807"/>
      <c r="C283" s="5" t="s">
        <v>28</v>
      </c>
      <c r="D283" s="1808" t="s">
        <v>1698</v>
      </c>
      <c r="E283" s="1808"/>
      <c r="F283" s="1808"/>
      <c r="G283" s="5"/>
    </row>
    <row r="284" spans="1:19" x14ac:dyDescent="0.25">
      <c r="A284" s="1807" t="s">
        <v>29</v>
      </c>
      <c r="B284" s="1807"/>
      <c r="C284" s="5"/>
      <c r="D284" s="1809" t="s">
        <v>2990</v>
      </c>
      <c r="E284" s="1809"/>
      <c r="F284" s="1809"/>
      <c r="G284" s="5"/>
    </row>
    <row r="285" spans="1:19" x14ac:dyDescent="0.25">
      <c r="A285" s="1"/>
      <c r="B285" s="3"/>
      <c r="C285" s="5"/>
      <c r="D285" s="7"/>
      <c r="E285" s="17"/>
      <c r="F285" s="17"/>
      <c r="G285" s="5"/>
    </row>
    <row r="286" spans="1:19" x14ac:dyDescent="0.25">
      <c r="A286" s="1"/>
      <c r="B286" s="3"/>
      <c r="C286" s="5"/>
      <c r="D286" s="7"/>
      <c r="E286" s="17"/>
      <c r="F286" s="17"/>
      <c r="G286" s="5"/>
    </row>
    <row r="287" spans="1:19" x14ac:dyDescent="0.25">
      <c r="A287" s="1807"/>
      <c r="B287" s="1807"/>
      <c r="C287" s="5"/>
      <c r="D287" s="7"/>
      <c r="E287" s="1807"/>
      <c r="F287" s="1807"/>
      <c r="G287" s="5"/>
    </row>
    <row r="288" spans="1:19" x14ac:dyDescent="0.25">
      <c r="A288" s="1807" t="s">
        <v>30</v>
      </c>
      <c r="B288" s="1807"/>
      <c r="C288" s="5"/>
      <c r="D288" s="1807" t="s">
        <v>2991</v>
      </c>
      <c r="E288" s="1807"/>
      <c r="F288" s="1807"/>
      <c r="G288" s="5"/>
    </row>
    <row r="289" spans="1:7" x14ac:dyDescent="0.25">
      <c r="A289" s="1816" t="s">
        <v>0</v>
      </c>
      <c r="B289" s="1816"/>
      <c r="C289" s="1816"/>
      <c r="D289" s="1816"/>
      <c r="E289" s="1816"/>
      <c r="F289" s="1816"/>
      <c r="G289" s="1816"/>
    </row>
    <row r="290" spans="1:7" x14ac:dyDescent="0.25">
      <c r="A290" s="1816" t="s">
        <v>1</v>
      </c>
      <c r="B290" s="1816"/>
      <c r="C290" s="1816"/>
      <c r="D290" s="1816"/>
      <c r="E290" s="1816"/>
      <c r="F290" s="1816"/>
      <c r="G290" s="1816"/>
    </row>
    <row r="291" spans="1:7" x14ac:dyDescent="0.25">
      <c r="A291" s="1816" t="s">
        <v>1697</v>
      </c>
      <c r="B291" s="1816"/>
      <c r="C291" s="1816"/>
      <c r="D291" s="1816"/>
      <c r="E291" s="1816"/>
      <c r="F291" s="1816"/>
      <c r="G291" s="1816"/>
    </row>
    <row r="292" spans="1:7" x14ac:dyDescent="0.25">
      <c r="A292" s="863"/>
      <c r="B292" s="863"/>
      <c r="C292" s="597"/>
      <c r="D292" s="597"/>
      <c r="E292" s="863"/>
      <c r="F292" s="863"/>
      <c r="G292" s="619"/>
    </row>
    <row r="293" spans="1:7" ht="30" x14ac:dyDescent="0.25">
      <c r="A293" s="372" t="s">
        <v>399</v>
      </c>
      <c r="B293" s="279" t="s">
        <v>59</v>
      </c>
      <c r="C293" s="280"/>
      <c r="D293" s="274"/>
      <c r="E293" s="632" t="s">
        <v>6</v>
      </c>
      <c r="F293" s="633"/>
      <c r="G293" s="972"/>
    </row>
    <row r="294" spans="1:7" x14ac:dyDescent="0.25">
      <c r="A294" s="281" t="s">
        <v>400</v>
      </c>
      <c r="B294" s="686" t="s">
        <v>638</v>
      </c>
      <c r="C294" s="686"/>
      <c r="D294" s="686"/>
      <c r="E294" s="686" t="s">
        <v>368</v>
      </c>
      <c r="F294" s="240"/>
      <c r="G294" s="973"/>
    </row>
    <row r="295" spans="1:7" ht="45" x14ac:dyDescent="0.25">
      <c r="A295" s="281" t="s">
        <v>402</v>
      </c>
      <c r="B295" s="686" t="s">
        <v>2789</v>
      </c>
      <c r="C295" s="686"/>
      <c r="D295" s="686"/>
      <c r="E295" s="686"/>
      <c r="F295" s="240"/>
      <c r="G295" s="685"/>
    </row>
    <row r="296" spans="1:7" x14ac:dyDescent="0.25">
      <c r="A296" s="275" t="s">
        <v>610</v>
      </c>
      <c r="B296" s="275" t="s">
        <v>2085</v>
      </c>
      <c r="C296" s="844"/>
      <c r="D296" s="844"/>
      <c r="E296" s="844"/>
      <c r="F296" s="844"/>
      <c r="G296" s="972"/>
    </row>
    <row r="297" spans="1:7" x14ac:dyDescent="0.25">
      <c r="A297" s="863" t="s">
        <v>464</v>
      </c>
      <c r="B297" s="863" t="s">
        <v>611</v>
      </c>
      <c r="C297" s="597"/>
      <c r="D297" s="597"/>
      <c r="E297" s="863"/>
      <c r="F297" s="863"/>
      <c r="G297" s="619"/>
    </row>
    <row r="298" spans="1:7" x14ac:dyDescent="0.25">
      <c r="A298" s="1817" t="s">
        <v>561</v>
      </c>
      <c r="B298" s="1817"/>
      <c r="C298" s="844"/>
      <c r="D298" s="844"/>
      <c r="E298" s="633"/>
      <c r="F298" s="280"/>
      <c r="G298" s="619"/>
    </row>
    <row r="299" spans="1:7" x14ac:dyDescent="0.25">
      <c r="A299" s="844"/>
      <c r="B299" s="844"/>
      <c r="C299" s="844"/>
      <c r="D299" s="844"/>
      <c r="E299" s="844"/>
      <c r="F299" s="844"/>
      <c r="G299" s="619"/>
    </row>
    <row r="300" spans="1:7" ht="30" x14ac:dyDescent="0.25">
      <c r="A300" s="601" t="s">
        <v>31</v>
      </c>
      <c r="B300" s="601" t="s">
        <v>12</v>
      </c>
      <c r="C300" s="1818" t="s">
        <v>13</v>
      </c>
      <c r="D300" s="1819"/>
      <c r="E300" s="944" t="s">
        <v>14</v>
      </c>
      <c r="F300" s="691" t="s">
        <v>15</v>
      </c>
      <c r="G300" s="603" t="s">
        <v>405</v>
      </c>
    </row>
    <row r="301" spans="1:7" x14ac:dyDescent="0.25">
      <c r="A301" s="604">
        <v>1</v>
      </c>
      <c r="B301" s="604">
        <v>2</v>
      </c>
      <c r="C301" s="1820">
        <v>3</v>
      </c>
      <c r="D301" s="1821"/>
      <c r="E301" s="946">
        <v>4</v>
      </c>
      <c r="F301" s="605">
        <v>5</v>
      </c>
      <c r="G301" s="608">
        <v>6</v>
      </c>
    </row>
    <row r="302" spans="1:7" x14ac:dyDescent="0.25">
      <c r="A302" s="620" t="s">
        <v>2072</v>
      </c>
      <c r="B302" s="621" t="s">
        <v>466</v>
      </c>
      <c r="C302" s="640"/>
      <c r="D302" s="641"/>
      <c r="E302" s="947"/>
      <c r="F302" s="947"/>
      <c r="G302" s="887"/>
    </row>
    <row r="303" spans="1:7" ht="30" x14ac:dyDescent="0.25">
      <c r="A303" s="620" t="s">
        <v>2073</v>
      </c>
      <c r="B303" s="621" t="s">
        <v>2064</v>
      </c>
      <c r="C303" s="640"/>
      <c r="D303" s="641"/>
      <c r="E303" s="947"/>
      <c r="F303" s="947"/>
      <c r="G303" s="887"/>
    </row>
    <row r="304" spans="1:7" ht="30" x14ac:dyDescent="0.25">
      <c r="A304" s="620" t="s">
        <v>2074</v>
      </c>
      <c r="B304" s="618" t="s">
        <v>470</v>
      </c>
      <c r="C304" s="640"/>
      <c r="D304" s="641"/>
      <c r="E304" s="948"/>
      <c r="F304" s="948"/>
      <c r="G304" s="887"/>
    </row>
    <row r="305" spans="1:19" ht="15.75" thickBot="1" x14ac:dyDescent="0.3">
      <c r="A305" s="620"/>
      <c r="B305" s="618" t="s">
        <v>2815</v>
      </c>
      <c r="C305" s="640">
        <v>1</v>
      </c>
      <c r="D305" s="949" t="s">
        <v>2816</v>
      </c>
      <c r="E305" s="950">
        <v>422000</v>
      </c>
      <c r="F305" s="950">
        <f>E305*C305</f>
        <v>422000</v>
      </c>
      <c r="G305" s="887"/>
    </row>
    <row r="306" spans="1:19" ht="15.75" thickBot="1" x14ac:dyDescent="0.3">
      <c r="A306" s="620"/>
      <c r="B306" s="618"/>
      <c r="C306" s="1822" t="s">
        <v>613</v>
      </c>
      <c r="D306" s="1823"/>
      <c r="E306" s="1824"/>
      <c r="F306" s="951">
        <f>SUM(F305:F305)</f>
        <v>422000</v>
      </c>
      <c r="G306" s="618"/>
    </row>
    <row r="307" spans="1:19" ht="30" x14ac:dyDescent="0.25">
      <c r="A307" s="620" t="s">
        <v>2080</v>
      </c>
      <c r="B307" s="613" t="s">
        <v>2081</v>
      </c>
      <c r="C307" s="976"/>
      <c r="D307" s="977"/>
      <c r="E307" s="978"/>
      <c r="F307" s="978"/>
      <c r="G307" s="618"/>
    </row>
    <row r="308" spans="1:19" x14ac:dyDescent="0.25">
      <c r="A308" s="620"/>
      <c r="B308" s="613" t="s">
        <v>1928</v>
      </c>
      <c r="C308" s="979">
        <v>6</v>
      </c>
      <c r="D308" s="980" t="s">
        <v>461</v>
      </c>
      <c r="E308" s="981">
        <v>143000</v>
      </c>
      <c r="F308" s="982">
        <f>E308*C308</f>
        <v>858000</v>
      </c>
      <c r="G308" s="618"/>
    </row>
    <row r="309" spans="1:19" x14ac:dyDescent="0.25">
      <c r="A309" s="620"/>
      <c r="B309" s="618" t="s">
        <v>1929</v>
      </c>
      <c r="C309" s="979">
        <v>8</v>
      </c>
      <c r="D309" s="980" t="s">
        <v>461</v>
      </c>
      <c r="E309" s="962">
        <v>130000</v>
      </c>
      <c r="F309" s="947">
        <f>E309*C309</f>
        <v>1040000</v>
      </c>
      <c r="G309" s="887"/>
      <c r="H309" s="175"/>
    </row>
    <row r="310" spans="1:19" ht="15.75" thickBot="1" x14ac:dyDescent="0.3">
      <c r="A310" s="620"/>
      <c r="B310" s="618"/>
      <c r="C310" s="961"/>
      <c r="D310" s="606"/>
      <c r="E310" s="954"/>
      <c r="F310" s="948"/>
      <c r="G310" s="618"/>
      <c r="H310" s="175"/>
    </row>
    <row r="311" spans="1:19" ht="15.75" thickBot="1" x14ac:dyDescent="0.3">
      <c r="A311" s="620"/>
      <c r="B311" s="618"/>
      <c r="C311" s="1822" t="s">
        <v>613</v>
      </c>
      <c r="D311" s="1823"/>
      <c r="E311" s="1824"/>
      <c r="F311" s="951">
        <f>F309+F308</f>
        <v>1898000</v>
      </c>
      <c r="G311" s="618"/>
    </row>
    <row r="312" spans="1:19" x14ac:dyDescent="0.25">
      <c r="A312" s="620" t="s">
        <v>2075</v>
      </c>
      <c r="B312" s="618" t="s">
        <v>2067</v>
      </c>
      <c r="C312" s="952"/>
      <c r="D312" s="953"/>
      <c r="E312" s="954"/>
      <c r="F312" s="954"/>
      <c r="G312" s="618"/>
    </row>
    <row r="313" spans="1:19" x14ac:dyDescent="0.25">
      <c r="A313" s="955"/>
      <c r="B313" s="960" t="s">
        <v>2086</v>
      </c>
      <c r="C313" s="952">
        <v>86</v>
      </c>
      <c r="D313" s="953" t="s">
        <v>1938</v>
      </c>
      <c r="E313" s="954">
        <v>210000</v>
      </c>
      <c r="F313" s="954">
        <f>E313*C313</f>
        <v>18060000</v>
      </c>
      <c r="G313" s="974"/>
    </row>
    <row r="314" spans="1:19" x14ac:dyDescent="0.25">
      <c r="A314" s="620"/>
      <c r="B314" s="960" t="s">
        <v>2082</v>
      </c>
      <c r="C314" s="961">
        <v>2</v>
      </c>
      <c r="D314" s="641" t="s">
        <v>123</v>
      </c>
      <c r="E314" s="954">
        <v>37000</v>
      </c>
      <c r="F314" s="954">
        <f>E314*C314</f>
        <v>74000</v>
      </c>
      <c r="G314" s="618"/>
    </row>
    <row r="315" spans="1:19" ht="15.75" thickBot="1" x14ac:dyDescent="0.3">
      <c r="A315" s="620"/>
      <c r="B315" s="960" t="s">
        <v>2079</v>
      </c>
      <c r="C315" s="961">
        <v>91</v>
      </c>
      <c r="D315" s="641" t="s">
        <v>312</v>
      </c>
      <c r="E315" s="962">
        <v>12000</v>
      </c>
      <c r="F315" s="954">
        <f>E315*C315</f>
        <v>1092000</v>
      </c>
      <c r="G315" s="618"/>
    </row>
    <row r="316" spans="1:19" ht="15.75" thickBot="1" x14ac:dyDescent="0.3">
      <c r="A316" s="604"/>
      <c r="B316" s="962"/>
      <c r="C316" s="1825" t="s">
        <v>613</v>
      </c>
      <c r="D316" s="1826"/>
      <c r="E316" s="1827"/>
      <c r="F316" s="968">
        <f>SUM(F313:F315)</f>
        <v>19226000</v>
      </c>
      <c r="G316" s="618"/>
    </row>
    <row r="317" spans="1:19" x14ac:dyDescent="0.25">
      <c r="A317" s="604"/>
      <c r="B317" s="969"/>
      <c r="C317" s="961"/>
      <c r="D317" s="963"/>
      <c r="E317" s="962"/>
      <c r="F317" s="970"/>
      <c r="G317" s="618"/>
    </row>
    <row r="318" spans="1:19" x14ac:dyDescent="0.25">
      <c r="A318" s="241"/>
      <c r="B318" s="1883" t="s">
        <v>27</v>
      </c>
      <c r="C318" s="1884"/>
      <c r="D318" s="1884"/>
      <c r="E318" s="1885"/>
      <c r="F318" s="971">
        <f>F316+F311+F306</f>
        <v>21546000</v>
      </c>
      <c r="G318" s="252" t="s">
        <v>2387</v>
      </c>
      <c r="J318" s="175">
        <f>F318</f>
        <v>21546000</v>
      </c>
      <c r="K318" s="175"/>
      <c r="S318" s="175"/>
    </row>
    <row r="319" spans="1:19" x14ac:dyDescent="0.25">
      <c r="A319" s="1807" t="s">
        <v>614</v>
      </c>
      <c r="B319" s="1807"/>
      <c r="C319" s="5" t="s">
        <v>28</v>
      </c>
      <c r="D319" s="1808" t="s">
        <v>1698</v>
      </c>
      <c r="E319" s="1808"/>
      <c r="F319" s="1808"/>
      <c r="G319" s="5"/>
    </row>
    <row r="320" spans="1:19" x14ac:dyDescent="0.25">
      <c r="A320" s="1807" t="s">
        <v>29</v>
      </c>
      <c r="B320" s="1807"/>
      <c r="C320" s="5"/>
      <c r="D320" s="1809" t="s">
        <v>2990</v>
      </c>
      <c r="E320" s="1809"/>
      <c r="F320" s="1809"/>
      <c r="G320" s="5"/>
    </row>
    <row r="321" spans="1:7" x14ac:dyDescent="0.25">
      <c r="A321" s="1"/>
      <c r="B321" s="3"/>
      <c r="C321" s="5"/>
      <c r="D321" s="7"/>
      <c r="E321" s="17"/>
      <c r="F321" s="17"/>
      <c r="G321" s="5"/>
    </row>
    <row r="322" spans="1:7" x14ac:dyDescent="0.25">
      <c r="A322" s="1"/>
      <c r="B322" s="3"/>
      <c r="C322" s="5"/>
      <c r="D322" s="7"/>
      <c r="E322" s="17"/>
      <c r="F322" s="17"/>
      <c r="G322" s="5"/>
    </row>
    <row r="323" spans="1:7" x14ac:dyDescent="0.25">
      <c r="A323" s="1807"/>
      <c r="B323" s="1807"/>
      <c r="C323" s="5"/>
      <c r="D323" s="7"/>
      <c r="E323" s="1807"/>
      <c r="F323" s="1807"/>
      <c r="G323" s="5"/>
    </row>
    <row r="324" spans="1:7" x14ac:dyDescent="0.25">
      <c r="A324" s="1807" t="s">
        <v>30</v>
      </c>
      <c r="B324" s="1807"/>
      <c r="C324" s="5"/>
      <c r="D324" s="1807" t="s">
        <v>2991</v>
      </c>
      <c r="E324" s="1807"/>
      <c r="F324" s="1807"/>
      <c r="G324" s="5"/>
    </row>
    <row r="325" spans="1:7" x14ac:dyDescent="0.25">
      <c r="A325" s="1816" t="s">
        <v>0</v>
      </c>
      <c r="B325" s="1816"/>
      <c r="C325" s="1816"/>
      <c r="D325" s="1816"/>
      <c r="E325" s="1816"/>
      <c r="F325" s="1816"/>
      <c r="G325" s="1816"/>
    </row>
    <row r="326" spans="1:7" x14ac:dyDescent="0.25">
      <c r="A326" s="1816" t="s">
        <v>1</v>
      </c>
      <c r="B326" s="1816"/>
      <c r="C326" s="1816"/>
      <c r="D326" s="1816"/>
      <c r="E326" s="1816"/>
      <c r="F326" s="1816"/>
      <c r="G326" s="1816"/>
    </row>
    <row r="327" spans="1:7" x14ac:dyDescent="0.25">
      <c r="A327" s="1816" t="s">
        <v>1697</v>
      </c>
      <c r="B327" s="1816"/>
      <c r="C327" s="1816"/>
      <c r="D327" s="1816"/>
      <c r="E327" s="1816"/>
      <c r="F327" s="1816"/>
      <c r="G327" s="1816"/>
    </row>
    <row r="328" spans="1:7" x14ac:dyDescent="0.25">
      <c r="A328" s="863"/>
      <c r="B328" s="863"/>
      <c r="C328" s="597"/>
      <c r="D328" s="597"/>
      <c r="E328" s="863"/>
      <c r="F328" s="863"/>
      <c r="G328" s="619"/>
    </row>
    <row r="329" spans="1:7" ht="30" x14ac:dyDescent="0.25">
      <c r="A329" s="372" t="s">
        <v>399</v>
      </c>
      <c r="B329" s="279" t="s">
        <v>59</v>
      </c>
      <c r="C329" s="280"/>
      <c r="D329" s="274"/>
      <c r="E329" s="632" t="s">
        <v>6</v>
      </c>
      <c r="F329" s="633"/>
      <c r="G329" s="972"/>
    </row>
    <row r="330" spans="1:7" x14ac:dyDescent="0.25">
      <c r="A330" s="281" t="s">
        <v>400</v>
      </c>
      <c r="B330" s="686" t="s">
        <v>638</v>
      </c>
      <c r="C330" s="686"/>
      <c r="D330" s="686"/>
      <c r="E330" s="686" t="s">
        <v>368</v>
      </c>
      <c r="F330" s="240"/>
      <c r="G330" s="973"/>
    </row>
    <row r="331" spans="1:7" ht="45" x14ac:dyDescent="0.25">
      <c r="A331" s="281" t="s">
        <v>402</v>
      </c>
      <c r="B331" s="686" t="s">
        <v>2087</v>
      </c>
      <c r="C331" s="686"/>
      <c r="D331" s="686"/>
      <c r="E331" s="686"/>
      <c r="F331" s="240"/>
      <c r="G331" s="685"/>
    </row>
    <row r="332" spans="1:7" x14ac:dyDescent="0.25">
      <c r="A332" s="275" t="s">
        <v>610</v>
      </c>
      <c r="B332" s="275" t="s">
        <v>2088</v>
      </c>
      <c r="C332" s="844"/>
      <c r="D332" s="844"/>
      <c r="E332" s="844"/>
      <c r="F332" s="844"/>
      <c r="G332" s="972"/>
    </row>
    <row r="333" spans="1:7" x14ac:dyDescent="0.25">
      <c r="A333" s="863" t="s">
        <v>464</v>
      </c>
      <c r="B333" s="863" t="s">
        <v>611</v>
      </c>
      <c r="C333" s="597"/>
      <c r="D333" s="597"/>
      <c r="E333" s="863"/>
      <c r="F333" s="863"/>
      <c r="G333" s="619"/>
    </row>
    <row r="334" spans="1:7" x14ac:dyDescent="0.25">
      <c r="A334" s="1817" t="s">
        <v>561</v>
      </c>
      <c r="B334" s="1817"/>
      <c r="C334" s="844"/>
      <c r="D334" s="844"/>
      <c r="E334" s="633"/>
      <c r="F334" s="280"/>
      <c r="G334" s="619"/>
    </row>
    <row r="335" spans="1:7" x14ac:dyDescent="0.25">
      <c r="A335" s="844"/>
      <c r="B335" s="844"/>
      <c r="C335" s="844"/>
      <c r="D335" s="844"/>
      <c r="E335" s="844"/>
      <c r="F335" s="844"/>
      <c r="G335" s="619"/>
    </row>
    <row r="336" spans="1:7" ht="30" x14ac:dyDescent="0.25">
      <c r="A336" s="601" t="s">
        <v>31</v>
      </c>
      <c r="B336" s="601" t="s">
        <v>12</v>
      </c>
      <c r="C336" s="1818" t="s">
        <v>13</v>
      </c>
      <c r="D336" s="1819"/>
      <c r="E336" s="944" t="s">
        <v>14</v>
      </c>
      <c r="F336" s="691" t="s">
        <v>15</v>
      </c>
      <c r="G336" s="603" t="s">
        <v>405</v>
      </c>
    </row>
    <row r="337" spans="1:8" x14ac:dyDescent="0.25">
      <c r="A337" s="604">
        <v>1</v>
      </c>
      <c r="B337" s="604">
        <v>2</v>
      </c>
      <c r="C337" s="1820">
        <v>3</v>
      </c>
      <c r="D337" s="1821"/>
      <c r="E337" s="946">
        <v>4</v>
      </c>
      <c r="F337" s="605">
        <v>5</v>
      </c>
      <c r="G337" s="608">
        <v>6</v>
      </c>
    </row>
    <row r="338" spans="1:8" x14ac:dyDescent="0.25">
      <c r="A338" s="620" t="s">
        <v>2072</v>
      </c>
      <c r="B338" s="621" t="s">
        <v>466</v>
      </c>
      <c r="C338" s="640"/>
      <c r="D338" s="641"/>
      <c r="E338" s="947"/>
      <c r="F338" s="947"/>
      <c r="G338" s="887"/>
    </row>
    <row r="339" spans="1:8" ht="30" x14ac:dyDescent="0.25">
      <c r="A339" s="620" t="s">
        <v>2073</v>
      </c>
      <c r="B339" s="621" t="s">
        <v>2064</v>
      </c>
      <c r="C339" s="640"/>
      <c r="D339" s="641"/>
      <c r="E339" s="947"/>
      <c r="F339" s="947"/>
      <c r="G339" s="887"/>
    </row>
    <row r="340" spans="1:8" ht="30" x14ac:dyDescent="0.25">
      <c r="A340" s="620" t="s">
        <v>2074</v>
      </c>
      <c r="B340" s="618" t="s">
        <v>470</v>
      </c>
      <c r="C340" s="640"/>
      <c r="D340" s="641"/>
      <c r="E340" s="948"/>
      <c r="F340" s="948"/>
      <c r="G340" s="887"/>
    </row>
    <row r="341" spans="1:8" ht="15.75" thickBot="1" x14ac:dyDescent="0.3">
      <c r="A341" s="620"/>
      <c r="B341" s="618" t="s">
        <v>2817</v>
      </c>
      <c r="C341" s="640">
        <v>1</v>
      </c>
      <c r="D341" s="949" t="s">
        <v>520</v>
      </c>
      <c r="E341" s="950">
        <v>218000</v>
      </c>
      <c r="F341" s="950">
        <f>E341*C341</f>
        <v>218000</v>
      </c>
      <c r="G341" s="887"/>
    </row>
    <row r="342" spans="1:8" ht="15.75" thickBot="1" x14ac:dyDescent="0.3">
      <c r="A342" s="620"/>
      <c r="B342" s="618"/>
      <c r="C342" s="1822" t="s">
        <v>613</v>
      </c>
      <c r="D342" s="1823"/>
      <c r="E342" s="1824"/>
      <c r="F342" s="951">
        <f>F341</f>
        <v>218000</v>
      </c>
      <c r="G342" s="618"/>
    </row>
    <row r="343" spans="1:8" ht="30" x14ac:dyDescent="0.25">
      <c r="A343" s="620" t="s">
        <v>2080</v>
      </c>
      <c r="B343" s="613" t="s">
        <v>2081</v>
      </c>
      <c r="C343" s="976"/>
      <c r="D343" s="977"/>
      <c r="E343" s="978"/>
      <c r="F343" s="978"/>
      <c r="G343" s="618"/>
    </row>
    <row r="344" spans="1:8" x14ac:dyDescent="0.25">
      <c r="A344" s="620"/>
      <c r="B344" s="613" t="s">
        <v>1928</v>
      </c>
      <c r="C344" s="979">
        <v>6</v>
      </c>
      <c r="D344" s="980" t="s">
        <v>461</v>
      </c>
      <c r="E344" s="981">
        <v>143000</v>
      </c>
      <c r="F344" s="982">
        <f>E344*C344</f>
        <v>858000</v>
      </c>
      <c r="G344" s="618"/>
    </row>
    <row r="345" spans="1:8" x14ac:dyDescent="0.25">
      <c r="A345" s="620"/>
      <c r="B345" s="618" t="s">
        <v>1929</v>
      </c>
      <c r="C345" s="979">
        <v>9</v>
      </c>
      <c r="D345" s="980" t="s">
        <v>461</v>
      </c>
      <c r="E345" s="962">
        <v>130000</v>
      </c>
      <c r="F345" s="947">
        <f>E345*C345</f>
        <v>1170000</v>
      </c>
      <c r="G345" s="887"/>
    </row>
    <row r="346" spans="1:8" ht="15.75" thickBot="1" x14ac:dyDescent="0.3">
      <c r="A346" s="620"/>
      <c r="B346" s="618"/>
      <c r="C346" s="961"/>
      <c r="D346" s="606"/>
      <c r="E346" s="954"/>
      <c r="F346" s="948"/>
      <c r="G346" s="618"/>
    </row>
    <row r="347" spans="1:8" ht="15.75" thickBot="1" x14ac:dyDescent="0.3">
      <c r="A347" s="620"/>
      <c r="B347" s="618"/>
      <c r="C347" s="1822" t="s">
        <v>613</v>
      </c>
      <c r="D347" s="1823"/>
      <c r="E347" s="1824"/>
      <c r="F347" s="951">
        <f>F345+F344</f>
        <v>2028000</v>
      </c>
      <c r="G347" s="618"/>
      <c r="H347" s="175"/>
    </row>
    <row r="348" spans="1:8" x14ac:dyDescent="0.25">
      <c r="A348" s="620" t="s">
        <v>2075</v>
      </c>
      <c r="B348" s="618" t="s">
        <v>2067</v>
      </c>
      <c r="C348" s="952"/>
      <c r="D348" s="953"/>
      <c r="E348" s="954"/>
      <c r="F348" s="954"/>
      <c r="G348" s="618"/>
      <c r="H348" s="175"/>
    </row>
    <row r="349" spans="1:8" x14ac:dyDescent="0.25">
      <c r="A349" s="955"/>
      <c r="B349" s="960" t="s">
        <v>2083</v>
      </c>
      <c r="C349" s="952">
        <v>65</v>
      </c>
      <c r="D349" s="953" t="s">
        <v>1938</v>
      </c>
      <c r="E349" s="954">
        <v>64000</v>
      </c>
      <c r="F349" s="954">
        <f>E349*C349</f>
        <v>4160000</v>
      </c>
      <c r="G349" s="974"/>
    </row>
    <row r="350" spans="1:8" x14ac:dyDescent="0.25">
      <c r="A350" s="620"/>
      <c r="B350" s="960" t="s">
        <v>2082</v>
      </c>
      <c r="C350" s="961">
        <v>2</v>
      </c>
      <c r="D350" s="641" t="s">
        <v>123</v>
      </c>
      <c r="E350" s="954">
        <v>37000</v>
      </c>
      <c r="F350" s="954">
        <f>E350*C350</f>
        <v>74000</v>
      </c>
      <c r="G350" s="618"/>
    </row>
    <row r="351" spans="1:8" x14ac:dyDescent="0.25">
      <c r="A351" s="620"/>
      <c r="B351" s="960" t="s">
        <v>2089</v>
      </c>
      <c r="C351" s="961">
        <v>14</v>
      </c>
      <c r="D351" s="949" t="s">
        <v>1938</v>
      </c>
      <c r="E351" s="954">
        <v>256000</v>
      </c>
      <c r="F351" s="954">
        <f>E351*C351</f>
        <v>3584000</v>
      </c>
      <c r="G351" s="618"/>
    </row>
    <row r="352" spans="1:8" x14ac:dyDescent="0.25">
      <c r="A352" s="620"/>
      <c r="B352" s="960" t="s">
        <v>2084</v>
      </c>
      <c r="C352" s="961">
        <v>69</v>
      </c>
      <c r="D352" s="959" t="s">
        <v>312</v>
      </c>
      <c r="E352" s="962">
        <v>12000</v>
      </c>
      <c r="F352" s="954">
        <f>E352*C352</f>
        <v>828000</v>
      </c>
      <c r="G352" s="618"/>
    </row>
    <row r="353" spans="1:19" ht="15.75" thickBot="1" x14ac:dyDescent="0.3">
      <c r="A353" s="620"/>
      <c r="B353" s="960" t="s">
        <v>2090</v>
      </c>
      <c r="C353" s="961">
        <v>7</v>
      </c>
      <c r="D353" s="641" t="s">
        <v>123</v>
      </c>
      <c r="E353" s="962">
        <v>33000</v>
      </c>
      <c r="F353" s="962">
        <f>E353*C353</f>
        <v>231000</v>
      </c>
      <c r="G353" s="618"/>
    </row>
    <row r="354" spans="1:19" ht="15.75" thickBot="1" x14ac:dyDescent="0.3">
      <c r="A354" s="604"/>
      <c r="B354" s="962"/>
      <c r="C354" s="1825" t="s">
        <v>613</v>
      </c>
      <c r="D354" s="1826"/>
      <c r="E354" s="1827"/>
      <c r="F354" s="968">
        <f>SUM(F349:F353)</f>
        <v>8877000</v>
      </c>
      <c r="G354" s="618"/>
    </row>
    <row r="355" spans="1:19" x14ac:dyDescent="0.25">
      <c r="A355" s="604"/>
      <c r="B355" s="969"/>
      <c r="C355" s="961"/>
      <c r="D355" s="963"/>
      <c r="E355" s="962"/>
      <c r="F355" s="970"/>
      <c r="G355" s="618"/>
    </row>
    <row r="356" spans="1:19" ht="30" x14ac:dyDescent="0.25">
      <c r="A356" s="241"/>
      <c r="B356" s="1883" t="s">
        <v>27</v>
      </c>
      <c r="C356" s="1884"/>
      <c r="D356" s="1884"/>
      <c r="E356" s="1885"/>
      <c r="F356" s="971">
        <f>F354+F347+F342</f>
        <v>11123000</v>
      </c>
      <c r="G356" s="252" t="s">
        <v>2625</v>
      </c>
      <c r="K356" s="175"/>
      <c r="S356" s="175">
        <f>F356</f>
        <v>11123000</v>
      </c>
    </row>
    <row r="357" spans="1:19" x14ac:dyDescent="0.25">
      <c r="A357" s="1807" t="s">
        <v>614</v>
      </c>
      <c r="B357" s="1807"/>
      <c r="C357" s="5" t="s">
        <v>28</v>
      </c>
      <c r="D357" s="1808" t="s">
        <v>1698</v>
      </c>
      <c r="E357" s="1808"/>
      <c r="F357" s="1808"/>
      <c r="G357" s="5"/>
    </row>
    <row r="358" spans="1:19" x14ac:dyDescent="0.25">
      <c r="A358" s="1807" t="s">
        <v>29</v>
      </c>
      <c r="B358" s="1807"/>
      <c r="C358" s="5"/>
      <c r="D358" s="1809" t="s">
        <v>2990</v>
      </c>
      <c r="E358" s="1809"/>
      <c r="F358" s="1809"/>
      <c r="G358" s="5"/>
    </row>
    <row r="359" spans="1:19" x14ac:dyDescent="0.25">
      <c r="A359" s="1"/>
      <c r="B359" s="3"/>
      <c r="C359" s="5"/>
      <c r="D359" s="7"/>
      <c r="E359" s="17"/>
      <c r="F359" s="17"/>
      <c r="G359" s="5"/>
    </row>
    <row r="360" spans="1:19" x14ac:dyDescent="0.25">
      <c r="A360" s="1"/>
      <c r="B360" s="3"/>
      <c r="C360" s="5"/>
      <c r="D360" s="7"/>
      <c r="E360" s="17"/>
      <c r="F360" s="17"/>
      <c r="G360" s="5"/>
    </row>
    <row r="361" spans="1:19" x14ac:dyDescent="0.25">
      <c r="A361" s="1807"/>
      <c r="B361" s="1807"/>
      <c r="C361" s="5"/>
      <c r="D361" s="7"/>
      <c r="E361" s="1807"/>
      <c r="F361" s="1807"/>
      <c r="G361" s="5"/>
    </row>
    <row r="362" spans="1:19" x14ac:dyDescent="0.25">
      <c r="A362" s="1807" t="s">
        <v>30</v>
      </c>
      <c r="B362" s="1807"/>
      <c r="C362" s="5"/>
      <c r="D362" s="1807" t="s">
        <v>2991</v>
      </c>
      <c r="E362" s="1807"/>
      <c r="F362" s="1807"/>
      <c r="G362" s="5"/>
    </row>
    <row r="364" spans="1:19" x14ac:dyDescent="0.25">
      <c r="A364" s="1816" t="s">
        <v>0</v>
      </c>
      <c r="B364" s="1816"/>
      <c r="C364" s="1816"/>
      <c r="D364" s="1816"/>
      <c r="E364" s="1816"/>
      <c r="F364" s="1816"/>
      <c r="G364" s="1816"/>
    </row>
    <row r="365" spans="1:19" x14ac:dyDescent="0.25">
      <c r="A365" s="1816" t="s">
        <v>1</v>
      </c>
      <c r="B365" s="1816"/>
      <c r="C365" s="1816"/>
      <c r="D365" s="1816"/>
      <c r="E365" s="1816"/>
      <c r="F365" s="1816"/>
      <c r="G365" s="1816"/>
    </row>
    <row r="366" spans="1:19" x14ac:dyDescent="0.25">
      <c r="A366" s="1816" t="s">
        <v>1697</v>
      </c>
      <c r="B366" s="1816"/>
      <c r="C366" s="1816"/>
      <c r="D366" s="1816"/>
      <c r="E366" s="1816"/>
      <c r="F366" s="1816"/>
      <c r="G366" s="1816"/>
    </row>
    <row r="367" spans="1:19" x14ac:dyDescent="0.25">
      <c r="A367" s="863"/>
      <c r="B367" s="863"/>
      <c r="C367" s="597"/>
      <c r="D367" s="597"/>
      <c r="E367" s="863"/>
      <c r="F367" s="863"/>
      <c r="G367" s="619"/>
    </row>
    <row r="368" spans="1:19" ht="30" x14ac:dyDescent="0.25">
      <c r="A368" s="372" t="s">
        <v>399</v>
      </c>
      <c r="B368" s="279" t="s">
        <v>59</v>
      </c>
      <c r="C368" s="280"/>
      <c r="D368" s="274"/>
      <c r="E368" s="632" t="s">
        <v>6</v>
      </c>
      <c r="F368" s="633"/>
      <c r="G368" s="972"/>
    </row>
    <row r="369" spans="1:7" x14ac:dyDescent="0.25">
      <c r="A369" s="281" t="s">
        <v>400</v>
      </c>
      <c r="B369" s="686" t="s">
        <v>638</v>
      </c>
      <c r="C369" s="686"/>
      <c r="D369" s="686"/>
      <c r="E369" s="686" t="s">
        <v>368</v>
      </c>
      <c r="F369" s="240"/>
      <c r="G369" s="973"/>
    </row>
    <row r="370" spans="1:7" ht="45" x14ac:dyDescent="0.25">
      <c r="A370" s="281" t="s">
        <v>402</v>
      </c>
      <c r="B370" s="686" t="s">
        <v>2091</v>
      </c>
      <c r="C370" s="686"/>
      <c r="D370" s="686"/>
      <c r="E370" s="686"/>
      <c r="F370" s="240"/>
      <c r="G370" s="685"/>
    </row>
    <row r="371" spans="1:7" x14ac:dyDescent="0.25">
      <c r="A371" s="275" t="s">
        <v>610</v>
      </c>
      <c r="B371" s="275" t="s">
        <v>2092</v>
      </c>
      <c r="C371" s="844"/>
      <c r="D371" s="844"/>
      <c r="E371" s="844"/>
      <c r="F371" s="844"/>
      <c r="G371" s="972"/>
    </row>
    <row r="372" spans="1:7" x14ac:dyDescent="0.25">
      <c r="A372" s="863" t="s">
        <v>464</v>
      </c>
      <c r="B372" s="863" t="s">
        <v>611</v>
      </c>
      <c r="C372" s="597"/>
      <c r="D372" s="597"/>
      <c r="E372" s="863"/>
      <c r="F372" s="863"/>
      <c r="G372" s="619"/>
    </row>
    <row r="373" spans="1:7" x14ac:dyDescent="0.25">
      <c r="A373" s="1817" t="s">
        <v>561</v>
      </c>
      <c r="B373" s="1817"/>
      <c r="C373" s="844"/>
      <c r="D373" s="844"/>
      <c r="E373" s="633"/>
      <c r="F373" s="280"/>
      <c r="G373" s="619"/>
    </row>
    <row r="374" spans="1:7" x14ac:dyDescent="0.25">
      <c r="A374" s="844"/>
      <c r="B374" s="844"/>
      <c r="C374" s="844"/>
      <c r="D374" s="844"/>
      <c r="E374" s="844"/>
      <c r="F374" s="844"/>
      <c r="G374" s="619"/>
    </row>
    <row r="375" spans="1:7" ht="30" x14ac:dyDescent="0.25">
      <c r="A375" s="601" t="s">
        <v>31</v>
      </c>
      <c r="B375" s="601" t="s">
        <v>12</v>
      </c>
      <c r="C375" s="1818" t="s">
        <v>13</v>
      </c>
      <c r="D375" s="1819"/>
      <c r="E375" s="944" t="s">
        <v>14</v>
      </c>
      <c r="F375" s="691" t="s">
        <v>15</v>
      </c>
      <c r="G375" s="603" t="s">
        <v>405</v>
      </c>
    </row>
    <row r="376" spans="1:7" x14ac:dyDescent="0.25">
      <c r="A376" s="604">
        <v>1</v>
      </c>
      <c r="B376" s="604">
        <v>2</v>
      </c>
      <c r="C376" s="1820">
        <v>3</v>
      </c>
      <c r="D376" s="1821"/>
      <c r="E376" s="946">
        <v>4</v>
      </c>
      <c r="F376" s="605">
        <v>5</v>
      </c>
      <c r="G376" s="608">
        <v>6</v>
      </c>
    </row>
    <row r="377" spans="1:7" x14ac:dyDescent="0.25">
      <c r="A377" s="620" t="s">
        <v>2072</v>
      </c>
      <c r="B377" s="621" t="s">
        <v>466</v>
      </c>
      <c r="C377" s="640"/>
      <c r="D377" s="641"/>
      <c r="E377" s="947"/>
      <c r="F377" s="947"/>
      <c r="G377" s="887"/>
    </row>
    <row r="378" spans="1:7" ht="30" x14ac:dyDescent="0.25">
      <c r="A378" s="620" t="s">
        <v>2073</v>
      </c>
      <c r="B378" s="621" t="s">
        <v>2064</v>
      </c>
      <c r="C378" s="640"/>
      <c r="D378" s="641"/>
      <c r="E378" s="947"/>
      <c r="F378" s="947"/>
      <c r="G378" s="887"/>
    </row>
    <row r="379" spans="1:7" ht="30" x14ac:dyDescent="0.25">
      <c r="A379" s="620" t="s">
        <v>2074</v>
      </c>
      <c r="B379" s="618" t="s">
        <v>470</v>
      </c>
      <c r="C379" s="640"/>
      <c r="D379" s="641"/>
      <c r="E379" s="948"/>
      <c r="F379" s="948"/>
      <c r="G379" s="887"/>
    </row>
    <row r="380" spans="1:7" ht="15.75" thickBot="1" x14ac:dyDescent="0.3">
      <c r="A380" s="620"/>
      <c r="B380" s="618" t="s">
        <v>2815</v>
      </c>
      <c r="C380" s="640">
        <v>1</v>
      </c>
      <c r="D380" s="949" t="s">
        <v>520</v>
      </c>
      <c r="E380" s="950">
        <v>1500000</v>
      </c>
      <c r="F380" s="950">
        <f>E380*C380</f>
        <v>1500000</v>
      </c>
      <c r="G380" s="887"/>
    </row>
    <row r="381" spans="1:7" ht="15.75" thickBot="1" x14ac:dyDescent="0.3">
      <c r="A381" s="620"/>
      <c r="B381" s="618"/>
      <c r="C381" s="1822" t="s">
        <v>613</v>
      </c>
      <c r="D381" s="1823"/>
      <c r="E381" s="1824"/>
      <c r="F381" s="951">
        <f>F380</f>
        <v>1500000</v>
      </c>
      <c r="G381" s="618"/>
    </row>
    <row r="382" spans="1:7" x14ac:dyDescent="0.25">
      <c r="A382" s="620" t="s">
        <v>2075</v>
      </c>
      <c r="B382" s="618" t="s">
        <v>2067</v>
      </c>
      <c r="C382" s="952"/>
      <c r="D382" s="953"/>
      <c r="E382" s="954"/>
      <c r="F382" s="954"/>
      <c r="G382" s="618"/>
    </row>
    <row r="383" spans="1:7" x14ac:dyDescent="0.25">
      <c r="A383" s="955"/>
      <c r="B383" s="618" t="s">
        <v>2093</v>
      </c>
      <c r="C383" s="952">
        <v>1</v>
      </c>
      <c r="D383" s="953" t="s">
        <v>123</v>
      </c>
      <c r="E383" s="954">
        <v>250000</v>
      </c>
      <c r="F383" s="954">
        <f>E383*C383</f>
        <v>250000</v>
      </c>
      <c r="G383" s="974"/>
    </row>
    <row r="384" spans="1:7" ht="15.75" thickBot="1" x14ac:dyDescent="0.3">
      <c r="A384" s="955"/>
      <c r="B384" s="960" t="s">
        <v>2094</v>
      </c>
      <c r="C384" s="952">
        <v>171.32</v>
      </c>
      <c r="D384" s="953" t="s">
        <v>1940</v>
      </c>
      <c r="E384" s="954">
        <v>460000</v>
      </c>
      <c r="F384" s="954">
        <f>E384*C384</f>
        <v>78807200</v>
      </c>
      <c r="G384" s="974"/>
    </row>
    <row r="385" spans="1:19" ht="15.75" thickBot="1" x14ac:dyDescent="0.3">
      <c r="A385" s="604"/>
      <c r="B385" s="962"/>
      <c r="C385" s="1825" t="s">
        <v>613</v>
      </c>
      <c r="D385" s="1826"/>
      <c r="E385" s="1827"/>
      <c r="F385" s="968">
        <f>SUM(F383:F384)</f>
        <v>79057200</v>
      </c>
      <c r="G385" s="618"/>
      <c r="H385" s="175"/>
    </row>
    <row r="386" spans="1:19" x14ac:dyDescent="0.25">
      <c r="A386" s="604"/>
      <c r="B386" s="969"/>
      <c r="C386" s="961"/>
      <c r="D386" s="963"/>
      <c r="E386" s="962"/>
      <c r="F386" s="970"/>
      <c r="G386" s="618"/>
    </row>
    <row r="387" spans="1:19" x14ac:dyDescent="0.25">
      <c r="A387" s="241"/>
      <c r="B387" s="1883" t="s">
        <v>27</v>
      </c>
      <c r="C387" s="1884"/>
      <c r="D387" s="1884"/>
      <c r="E387" s="1885"/>
      <c r="F387" s="971">
        <f>F385+F381</f>
        <v>80557200</v>
      </c>
      <c r="G387" s="252" t="s">
        <v>2620</v>
      </c>
      <c r="L387" s="175">
        <f>F387</f>
        <v>80557200</v>
      </c>
      <c r="S387" s="175"/>
    </row>
    <row r="388" spans="1:19" x14ac:dyDescent="0.25">
      <c r="A388" s="1807" t="s">
        <v>614</v>
      </c>
      <c r="B388" s="1807"/>
      <c r="C388" s="5" t="s">
        <v>28</v>
      </c>
      <c r="D388" s="1808" t="s">
        <v>1698</v>
      </c>
      <c r="E388" s="1808"/>
      <c r="F388" s="1808"/>
      <c r="G388" s="5"/>
    </row>
    <row r="389" spans="1:19" x14ac:dyDescent="0.25">
      <c r="A389" s="1807" t="s">
        <v>29</v>
      </c>
      <c r="B389" s="1807"/>
      <c r="C389" s="5"/>
      <c r="D389" s="1809" t="s">
        <v>2990</v>
      </c>
      <c r="E389" s="1809"/>
      <c r="F389" s="1809"/>
      <c r="G389" s="5"/>
    </row>
    <row r="390" spans="1:19" x14ac:dyDescent="0.25">
      <c r="A390" s="1"/>
      <c r="B390" s="3"/>
      <c r="C390" s="5"/>
      <c r="D390" s="7"/>
      <c r="E390" s="17"/>
      <c r="F390" s="17"/>
      <c r="G390" s="5"/>
    </row>
    <row r="391" spans="1:19" x14ac:dyDescent="0.25">
      <c r="A391" s="1"/>
      <c r="B391" s="3"/>
      <c r="C391" s="5"/>
      <c r="D391" s="7"/>
      <c r="E391" s="17"/>
      <c r="F391" s="17"/>
      <c r="G391" s="5"/>
    </row>
    <row r="392" spans="1:19" x14ac:dyDescent="0.25">
      <c r="A392" s="1807"/>
      <c r="B392" s="1807"/>
      <c r="C392" s="5"/>
      <c r="D392" s="7"/>
      <c r="E392" s="1807"/>
      <c r="F392" s="1807"/>
      <c r="G392" s="5"/>
    </row>
    <row r="393" spans="1:19" x14ac:dyDescent="0.25">
      <c r="A393" s="1807" t="s">
        <v>30</v>
      </c>
      <c r="B393" s="1807"/>
      <c r="C393" s="5"/>
      <c r="D393" s="1807" t="s">
        <v>2991</v>
      </c>
      <c r="E393" s="1807"/>
      <c r="F393" s="1807"/>
      <c r="G393" s="5"/>
    </row>
    <row r="394" spans="1:19" x14ac:dyDescent="0.25">
      <c r="A394" s="1834" t="s">
        <v>0</v>
      </c>
      <c r="B394" s="1834"/>
      <c r="C394" s="1834"/>
      <c r="D394" s="1834"/>
      <c r="E394" s="1834"/>
      <c r="F394" s="1834"/>
      <c r="G394" s="442"/>
    </row>
    <row r="395" spans="1:19" x14ac:dyDescent="0.25">
      <c r="A395" s="1834" t="s">
        <v>1</v>
      </c>
      <c r="B395" s="1834"/>
      <c r="C395" s="1834"/>
      <c r="D395" s="1834"/>
      <c r="E395" s="1834"/>
      <c r="F395" s="1834"/>
      <c r="G395" s="442"/>
    </row>
    <row r="396" spans="1:19" x14ac:dyDescent="0.25">
      <c r="A396" s="1834" t="s">
        <v>1697</v>
      </c>
      <c r="B396" s="1834"/>
      <c r="C396" s="1834"/>
      <c r="D396" s="1834"/>
      <c r="E396" s="1834"/>
      <c r="F396" s="1834"/>
      <c r="G396" s="442"/>
    </row>
    <row r="397" spans="1:19" x14ac:dyDescent="0.25">
      <c r="A397" s="441"/>
      <c r="B397" s="441"/>
      <c r="C397" s="441"/>
      <c r="D397" s="516"/>
      <c r="E397" s="1048"/>
      <c r="F397" s="441"/>
      <c r="G397" s="442"/>
    </row>
    <row r="398" spans="1:19" x14ac:dyDescent="0.25">
      <c r="A398" s="516" t="s">
        <v>2279</v>
      </c>
      <c r="B398" s="516" t="s">
        <v>1089</v>
      </c>
      <c r="C398" s="516"/>
      <c r="D398" s="516"/>
      <c r="E398" s="1048" t="s">
        <v>6</v>
      </c>
      <c r="F398" s="1048" t="s">
        <v>506</v>
      </c>
      <c r="G398" s="442"/>
    </row>
    <row r="399" spans="1:19" x14ac:dyDescent="0.25">
      <c r="A399" s="516" t="s">
        <v>1100</v>
      </c>
      <c r="B399" s="516" t="s">
        <v>2280</v>
      </c>
      <c r="C399" s="516"/>
      <c r="D399" s="516"/>
      <c r="E399" s="1437"/>
      <c r="F399" s="516"/>
      <c r="G399" s="442"/>
    </row>
    <row r="400" spans="1:19" ht="60" x14ac:dyDescent="0.25">
      <c r="A400" s="821" t="s">
        <v>2281</v>
      </c>
      <c r="B400" s="1438" t="s">
        <v>2843</v>
      </c>
      <c r="C400" s="516"/>
      <c r="D400" s="516"/>
      <c r="E400" s="1439" t="s">
        <v>573</v>
      </c>
      <c r="F400" s="1439"/>
      <c r="G400" s="442"/>
    </row>
    <row r="401" spans="1:7" x14ac:dyDescent="0.25">
      <c r="A401" s="441" t="s">
        <v>1157</v>
      </c>
      <c r="B401" s="441" t="s">
        <v>63</v>
      </c>
      <c r="C401" s="441"/>
      <c r="D401" s="441"/>
      <c r="E401" s="441"/>
      <c r="F401" s="441"/>
      <c r="G401" s="442"/>
    </row>
    <row r="402" spans="1:7" x14ac:dyDescent="0.25">
      <c r="A402" s="441" t="s">
        <v>64</v>
      </c>
      <c r="B402" s="441" t="s">
        <v>65</v>
      </c>
      <c r="C402" s="441"/>
      <c r="D402" s="516"/>
      <c r="E402" s="1048"/>
      <c r="F402" s="441"/>
      <c r="G402" s="442"/>
    </row>
    <row r="403" spans="1:7" ht="9" customHeight="1" x14ac:dyDescent="0.25">
      <c r="A403" s="516"/>
      <c r="B403" s="516"/>
      <c r="C403" s="441"/>
      <c r="D403" s="516"/>
      <c r="E403" s="1048"/>
      <c r="F403" s="441"/>
      <c r="G403" s="442"/>
    </row>
    <row r="404" spans="1:7" ht="24" x14ac:dyDescent="0.25">
      <c r="A404" s="443" t="s">
        <v>31</v>
      </c>
      <c r="B404" s="443" t="s">
        <v>12</v>
      </c>
      <c r="C404" s="1836" t="s">
        <v>13</v>
      </c>
      <c r="D404" s="1837"/>
      <c r="E404" s="1049" t="s">
        <v>14</v>
      </c>
      <c r="F404" s="444" t="s">
        <v>15</v>
      </c>
      <c r="G404" s="445" t="s">
        <v>405</v>
      </c>
    </row>
    <row r="405" spans="1:7" x14ac:dyDescent="0.25">
      <c r="A405" s="446">
        <v>1</v>
      </c>
      <c r="B405" s="446">
        <v>2</v>
      </c>
      <c r="C405" s="1838">
        <v>3</v>
      </c>
      <c r="D405" s="1839"/>
      <c r="E405" s="1050">
        <v>4</v>
      </c>
      <c r="F405" s="392">
        <v>5</v>
      </c>
      <c r="G405" s="447">
        <v>6</v>
      </c>
    </row>
    <row r="406" spans="1:7" x14ac:dyDescent="0.25">
      <c r="A406" s="446"/>
      <c r="B406" s="802" t="s">
        <v>2282</v>
      </c>
      <c r="C406" s="392"/>
      <c r="D406" s="393"/>
      <c r="E406" s="1050"/>
      <c r="F406" s="392"/>
      <c r="G406" s="1440"/>
    </row>
    <row r="407" spans="1:7" x14ac:dyDescent="0.25">
      <c r="A407" s="390" t="s">
        <v>2354</v>
      </c>
      <c r="B407" s="727" t="s">
        <v>323</v>
      </c>
      <c r="C407" s="449"/>
      <c r="D407" s="522"/>
      <c r="E407" s="1436"/>
      <c r="F407" s="400"/>
      <c r="G407" s="401"/>
    </row>
    <row r="408" spans="1:7" x14ac:dyDescent="0.25">
      <c r="A408" s="815" t="s">
        <v>2355</v>
      </c>
      <c r="B408" s="727" t="s">
        <v>88</v>
      </c>
      <c r="C408" s="449"/>
      <c r="D408" s="522"/>
      <c r="E408" s="1436"/>
      <c r="F408" s="400"/>
      <c r="G408" s="401"/>
    </row>
    <row r="409" spans="1:7" ht="24.75" x14ac:dyDescent="0.25">
      <c r="A409" s="815" t="s">
        <v>2356</v>
      </c>
      <c r="B409" s="727" t="s">
        <v>845</v>
      </c>
      <c r="C409" s="449"/>
      <c r="D409" s="522"/>
      <c r="E409" s="1436"/>
      <c r="F409" s="400"/>
      <c r="G409" s="401"/>
    </row>
    <row r="410" spans="1:7" x14ac:dyDescent="0.25">
      <c r="A410" s="815"/>
      <c r="B410" s="396" t="s">
        <v>2357</v>
      </c>
      <c r="C410" s="397">
        <v>1</v>
      </c>
      <c r="D410" s="522" t="s">
        <v>204</v>
      </c>
      <c r="E410" s="399">
        <v>20000000</v>
      </c>
      <c r="F410" s="400">
        <f>E410*C410</f>
        <v>20000000</v>
      </c>
      <c r="G410" s="401"/>
    </row>
    <row r="411" spans="1:7" ht="24.75" x14ac:dyDescent="0.25">
      <c r="A411" s="815" t="s">
        <v>2358</v>
      </c>
      <c r="B411" s="727" t="s">
        <v>2359</v>
      </c>
      <c r="C411" s="449"/>
      <c r="D411" s="522"/>
      <c r="E411" s="1436"/>
      <c r="F411" s="400"/>
      <c r="G411" s="401"/>
    </row>
    <row r="412" spans="1:7" ht="24.75" x14ac:dyDescent="0.25">
      <c r="A412" s="815"/>
      <c r="B412" s="396" t="s">
        <v>2360</v>
      </c>
      <c r="C412" s="397">
        <v>1</v>
      </c>
      <c r="D412" s="522" t="s">
        <v>221</v>
      </c>
      <c r="E412" s="399">
        <v>5000000</v>
      </c>
      <c r="F412" s="400">
        <f t="shared" ref="F412:F430" si="15">E412*C412</f>
        <v>5000000</v>
      </c>
      <c r="G412" s="401"/>
    </row>
    <row r="413" spans="1:7" x14ac:dyDescent="0.25">
      <c r="A413" s="815" t="s">
        <v>2361</v>
      </c>
      <c r="B413" s="727" t="s">
        <v>243</v>
      </c>
      <c r="C413" s="449"/>
      <c r="D413" s="522"/>
      <c r="E413" s="1436"/>
      <c r="F413" s="400"/>
      <c r="G413" s="401"/>
    </row>
    <row r="414" spans="1:7" ht="24.75" x14ac:dyDescent="0.25">
      <c r="A414" s="815" t="s">
        <v>2362</v>
      </c>
      <c r="B414" s="727" t="s">
        <v>245</v>
      </c>
      <c r="C414" s="397"/>
      <c r="D414" s="522"/>
      <c r="E414" s="399"/>
      <c r="F414" s="400"/>
      <c r="G414" s="401"/>
    </row>
    <row r="415" spans="1:7" ht="24.75" x14ac:dyDescent="0.25">
      <c r="A415" s="815"/>
      <c r="B415" s="396" t="s">
        <v>2363</v>
      </c>
      <c r="C415" s="397">
        <v>1</v>
      </c>
      <c r="D415" s="522" t="s">
        <v>1109</v>
      </c>
      <c r="E415" s="399">
        <v>2000000</v>
      </c>
      <c r="F415" s="400">
        <f t="shared" si="15"/>
        <v>2000000</v>
      </c>
      <c r="G415" s="401"/>
    </row>
    <row r="416" spans="1:7" x14ac:dyDescent="0.25">
      <c r="A416" s="815" t="s">
        <v>2364</v>
      </c>
      <c r="B416" s="727" t="s">
        <v>340</v>
      </c>
      <c r="C416" s="397"/>
      <c r="D416" s="522"/>
      <c r="E416" s="399"/>
      <c r="F416" s="400"/>
      <c r="G416" s="401"/>
    </row>
    <row r="417" spans="1:20" ht="24.75" x14ac:dyDescent="0.25">
      <c r="A417" s="815" t="s">
        <v>2365</v>
      </c>
      <c r="B417" s="727" t="s">
        <v>862</v>
      </c>
      <c r="C417" s="397"/>
      <c r="D417" s="522"/>
      <c r="E417" s="399"/>
      <c r="F417" s="400"/>
      <c r="G417" s="401"/>
    </row>
    <row r="418" spans="1:20" x14ac:dyDescent="0.25">
      <c r="A418" s="815"/>
      <c r="B418" s="396" t="s">
        <v>214</v>
      </c>
      <c r="C418" s="397">
        <v>1</v>
      </c>
      <c r="D418" s="522" t="s">
        <v>520</v>
      </c>
      <c r="E418" s="399">
        <v>300000</v>
      </c>
      <c r="F418" s="400">
        <f t="shared" si="15"/>
        <v>300000</v>
      </c>
      <c r="G418" s="401"/>
    </row>
    <row r="419" spans="1:20" x14ac:dyDescent="0.25">
      <c r="A419" s="815"/>
      <c r="B419" s="396" t="s">
        <v>215</v>
      </c>
      <c r="C419" s="397">
        <v>1</v>
      </c>
      <c r="D419" s="522" t="s">
        <v>520</v>
      </c>
      <c r="E419" s="399">
        <v>250000</v>
      </c>
      <c r="F419" s="400">
        <f t="shared" si="15"/>
        <v>250000</v>
      </c>
      <c r="G419" s="401"/>
    </row>
    <row r="420" spans="1:20" x14ac:dyDescent="0.25">
      <c r="A420" s="815"/>
      <c r="B420" s="396" t="s">
        <v>391</v>
      </c>
      <c r="C420" s="397">
        <v>3</v>
      </c>
      <c r="D420" s="522" t="s">
        <v>520</v>
      </c>
      <c r="E420" s="399">
        <v>200000</v>
      </c>
      <c r="F420" s="400">
        <f t="shared" si="15"/>
        <v>600000</v>
      </c>
      <c r="G420" s="401"/>
    </row>
    <row r="421" spans="1:20" x14ac:dyDescent="0.25">
      <c r="A421" s="390" t="s">
        <v>2366</v>
      </c>
      <c r="B421" s="727" t="s">
        <v>466</v>
      </c>
      <c r="C421" s="397"/>
      <c r="D421" s="522"/>
      <c r="E421" s="399"/>
      <c r="F421" s="400"/>
      <c r="G421" s="401"/>
    </row>
    <row r="422" spans="1:20" ht="28.5" customHeight="1" x14ac:dyDescent="0.25">
      <c r="A422" s="390" t="s">
        <v>2367</v>
      </c>
      <c r="B422" s="727" t="s">
        <v>468</v>
      </c>
      <c r="C422" s="397"/>
      <c r="D422" s="522"/>
      <c r="E422" s="399"/>
      <c r="F422" s="400"/>
      <c r="G422" s="401"/>
    </row>
    <row r="423" spans="1:20" ht="24.75" x14ac:dyDescent="0.25">
      <c r="A423" s="390" t="s">
        <v>2368</v>
      </c>
      <c r="B423" s="727" t="s">
        <v>2369</v>
      </c>
      <c r="C423" s="397"/>
      <c r="D423" s="522"/>
      <c r="E423" s="399"/>
      <c r="F423" s="400"/>
      <c r="G423" s="401"/>
    </row>
    <row r="424" spans="1:20" ht="24.75" x14ac:dyDescent="0.25">
      <c r="A424" s="390"/>
      <c r="B424" s="396" t="s">
        <v>2370</v>
      </c>
      <c r="C424" s="397">
        <v>10</v>
      </c>
      <c r="D424" s="522" t="s">
        <v>129</v>
      </c>
      <c r="E424" s="399">
        <v>6000000</v>
      </c>
      <c r="F424" s="400">
        <f t="shared" si="15"/>
        <v>60000000</v>
      </c>
      <c r="G424" s="401"/>
    </row>
    <row r="425" spans="1:20" x14ac:dyDescent="0.25">
      <c r="A425" s="390"/>
      <c r="B425" s="396" t="s">
        <v>2371</v>
      </c>
      <c r="C425" s="397">
        <v>1</v>
      </c>
      <c r="D425" s="522" t="s">
        <v>129</v>
      </c>
      <c r="E425" s="399">
        <v>19750000</v>
      </c>
      <c r="F425" s="400">
        <f t="shared" si="15"/>
        <v>19750000</v>
      </c>
      <c r="G425" s="401"/>
    </row>
    <row r="426" spans="1:20" x14ac:dyDescent="0.25">
      <c r="A426" s="390"/>
      <c r="B426" s="396" t="s">
        <v>2929</v>
      </c>
      <c r="C426" s="397">
        <v>200</v>
      </c>
      <c r="D426" s="522" t="s">
        <v>129</v>
      </c>
      <c r="E426" s="399">
        <v>200000</v>
      </c>
      <c r="F426" s="400">
        <f>E426*C426</f>
        <v>40000000</v>
      </c>
      <c r="G426" s="401"/>
    </row>
    <row r="427" spans="1:20" x14ac:dyDescent="0.25">
      <c r="A427" s="390" t="s">
        <v>2931</v>
      </c>
      <c r="B427" s="727" t="s">
        <v>2930</v>
      </c>
      <c r="C427" s="397"/>
      <c r="D427" s="522"/>
      <c r="E427" s="399"/>
      <c r="F427" s="400"/>
      <c r="G427" s="401"/>
      <c r="H427" s="286"/>
    </row>
    <row r="428" spans="1:20" ht="28.5" customHeight="1" x14ac:dyDescent="0.25">
      <c r="A428" s="390" t="s">
        <v>2932</v>
      </c>
      <c r="B428" s="727" t="s">
        <v>2372</v>
      </c>
      <c r="C428" s="397"/>
      <c r="D428" s="522"/>
      <c r="E428" s="1436"/>
      <c r="F428" s="400"/>
      <c r="G428" s="401"/>
    </row>
    <row r="429" spans="1:20" x14ac:dyDescent="0.25">
      <c r="A429" s="1435"/>
      <c r="B429" s="396" t="s">
        <v>2373</v>
      </c>
      <c r="C429" s="397">
        <v>1</v>
      </c>
      <c r="D429" s="522" t="s">
        <v>129</v>
      </c>
      <c r="E429" s="1436">
        <v>38721400</v>
      </c>
      <c r="F429" s="400">
        <f t="shared" si="15"/>
        <v>38721400</v>
      </c>
      <c r="G429" s="401"/>
    </row>
    <row r="430" spans="1:20" x14ac:dyDescent="0.25">
      <c r="A430" s="1435"/>
      <c r="B430" s="396" t="s">
        <v>2374</v>
      </c>
      <c r="C430" s="397">
        <v>1</v>
      </c>
      <c r="D430" s="522" t="s">
        <v>204</v>
      </c>
      <c r="E430" s="1436">
        <v>10000000</v>
      </c>
      <c r="F430" s="400">
        <f t="shared" si="15"/>
        <v>10000000</v>
      </c>
      <c r="G430" s="401"/>
    </row>
    <row r="431" spans="1:20" x14ac:dyDescent="0.25">
      <c r="A431" s="449"/>
      <c r="B431" s="1871" t="s">
        <v>27</v>
      </c>
      <c r="C431" s="1872"/>
      <c r="D431" s="1872"/>
      <c r="E431" s="1873"/>
      <c r="F431" s="404">
        <f>SUM(F406:F430)</f>
        <v>196621400</v>
      </c>
      <c r="G431" s="401" t="s">
        <v>2620</v>
      </c>
      <c r="L431" s="175">
        <f>F431</f>
        <v>196621400</v>
      </c>
      <c r="T431" s="175"/>
    </row>
    <row r="432" spans="1:20" x14ac:dyDescent="0.25">
      <c r="A432" s="1807" t="s">
        <v>614</v>
      </c>
      <c r="B432" s="1807"/>
      <c r="C432" s="5" t="s">
        <v>28</v>
      </c>
      <c r="D432" s="1808" t="s">
        <v>1698</v>
      </c>
      <c r="E432" s="1808"/>
      <c r="F432" s="1808"/>
      <c r="G432" s="5"/>
    </row>
    <row r="433" spans="1:7" x14ac:dyDescent="0.25">
      <c r="A433" s="1807" t="s">
        <v>29</v>
      </c>
      <c r="B433" s="1807"/>
      <c r="C433" s="5"/>
      <c r="D433" s="1809" t="s">
        <v>2990</v>
      </c>
      <c r="E433" s="1809"/>
      <c r="F433" s="1809"/>
      <c r="G433" s="5"/>
    </row>
    <row r="434" spans="1:7" x14ac:dyDescent="0.25">
      <c r="A434" s="1"/>
      <c r="B434" s="3"/>
      <c r="C434" s="5"/>
      <c r="D434" s="7"/>
      <c r="E434" s="17"/>
      <c r="F434" s="17"/>
      <c r="G434" s="5"/>
    </row>
    <row r="435" spans="1:7" x14ac:dyDescent="0.25">
      <c r="A435" s="1"/>
      <c r="B435" s="3"/>
      <c r="C435" s="5"/>
      <c r="D435" s="7"/>
      <c r="E435" s="17"/>
      <c r="F435" s="17"/>
      <c r="G435" s="5"/>
    </row>
    <row r="436" spans="1:7" x14ac:dyDescent="0.25">
      <c r="A436" s="1807"/>
      <c r="B436" s="1807"/>
      <c r="C436" s="5"/>
      <c r="D436" s="7"/>
      <c r="E436" s="1807"/>
      <c r="F436" s="1807"/>
      <c r="G436" s="5"/>
    </row>
    <row r="437" spans="1:7" x14ac:dyDescent="0.25">
      <c r="A437" s="1807" t="s">
        <v>30</v>
      </c>
      <c r="B437" s="1807"/>
      <c r="C437" s="5"/>
      <c r="D437" s="1807" t="s">
        <v>2991</v>
      </c>
      <c r="E437" s="1807"/>
      <c r="F437" s="1807"/>
      <c r="G437" s="5"/>
    </row>
    <row r="438" spans="1:7" x14ac:dyDescent="0.25">
      <c r="A438" s="240"/>
      <c r="B438" s="862"/>
      <c r="C438" s="862"/>
      <c r="D438" s="862"/>
      <c r="E438" s="862"/>
      <c r="F438" s="983"/>
      <c r="G438" s="278"/>
    </row>
    <row r="439" spans="1:7" x14ac:dyDescent="0.25">
      <c r="A439" s="1870" t="s">
        <v>0</v>
      </c>
      <c r="B439" s="1870"/>
      <c r="C439" s="1870"/>
      <c r="D439" s="1870"/>
      <c r="E439" s="1870"/>
      <c r="F439" s="1870"/>
      <c r="G439" s="1541"/>
    </row>
    <row r="440" spans="1:7" x14ac:dyDescent="0.25">
      <c r="A440" s="1870" t="s">
        <v>1</v>
      </c>
      <c r="B440" s="1870"/>
      <c r="C440" s="1870"/>
      <c r="D440" s="1870"/>
      <c r="E440" s="1870"/>
      <c r="F440" s="1870"/>
      <c r="G440" s="1541"/>
    </row>
    <row r="441" spans="1:7" x14ac:dyDescent="0.25">
      <c r="A441" s="1870" t="s">
        <v>1697</v>
      </c>
      <c r="B441" s="1870"/>
      <c r="C441" s="1870"/>
      <c r="D441" s="1870"/>
      <c r="E441" s="1870"/>
      <c r="F441" s="1870"/>
      <c r="G441" s="1541"/>
    </row>
    <row r="442" spans="1:7" x14ac:dyDescent="0.25">
      <c r="A442" s="442" t="s">
        <v>787</v>
      </c>
      <c r="B442" s="442" t="s">
        <v>786</v>
      </c>
      <c r="C442" s="442"/>
      <c r="D442" s="442"/>
      <c r="E442" s="442"/>
      <c r="F442" s="535" t="s">
        <v>6</v>
      </c>
      <c r="G442" s="1541"/>
    </row>
    <row r="443" spans="1:7" x14ac:dyDescent="0.25">
      <c r="A443" s="536" t="s">
        <v>277</v>
      </c>
      <c r="B443" s="536" t="s">
        <v>785</v>
      </c>
      <c r="C443" s="442"/>
      <c r="D443" s="442"/>
      <c r="E443" s="442"/>
      <c r="F443" s="537" t="s">
        <v>573</v>
      </c>
      <c r="G443" s="1541"/>
    </row>
    <row r="444" spans="1:7" x14ac:dyDescent="0.25">
      <c r="A444" s="536" t="s">
        <v>784</v>
      </c>
      <c r="B444" s="536" t="s">
        <v>807</v>
      </c>
      <c r="C444" s="442"/>
      <c r="D444" s="442"/>
      <c r="E444" s="442"/>
      <c r="F444" s="442"/>
      <c r="G444" s="1541"/>
    </row>
    <row r="445" spans="1:7" x14ac:dyDescent="0.25">
      <c r="A445" s="442" t="s">
        <v>579</v>
      </c>
      <c r="B445" s="442" t="s">
        <v>611</v>
      </c>
      <c r="C445" s="442"/>
      <c r="D445" s="442"/>
      <c r="E445" s="442"/>
      <c r="F445" s="442"/>
      <c r="G445" s="1541"/>
    </row>
    <row r="446" spans="1:7" x14ac:dyDescent="0.25">
      <c r="A446" s="1949" t="s">
        <v>561</v>
      </c>
      <c r="B446" s="1949"/>
      <c r="C446" s="442"/>
      <c r="D446" s="442"/>
      <c r="E446" s="442"/>
      <c r="F446" s="442"/>
      <c r="G446" s="1541"/>
    </row>
    <row r="447" spans="1:7" ht="24" x14ac:dyDescent="0.25">
      <c r="A447" s="443" t="s">
        <v>2640</v>
      </c>
      <c r="B447" s="443" t="s">
        <v>1294</v>
      </c>
      <c r="C447" s="1951" t="s">
        <v>13</v>
      </c>
      <c r="D447" s="1952"/>
      <c r="E447" s="709" t="s">
        <v>14</v>
      </c>
      <c r="F447" s="443" t="s">
        <v>15</v>
      </c>
      <c r="G447" s="1602" t="s">
        <v>405</v>
      </c>
    </row>
    <row r="448" spans="1:7" x14ac:dyDescent="0.25">
      <c r="A448" s="446">
        <v>1</v>
      </c>
      <c r="B448" s="446">
        <v>2</v>
      </c>
      <c r="C448" s="1950">
        <v>7</v>
      </c>
      <c r="D448" s="1950"/>
      <c r="E448" s="447">
        <v>8</v>
      </c>
      <c r="F448" s="447">
        <v>9</v>
      </c>
      <c r="G448" s="1603">
        <v>6</v>
      </c>
    </row>
    <row r="449" spans="1:20" x14ac:dyDescent="0.25">
      <c r="A449" s="1297" t="s">
        <v>782</v>
      </c>
      <c r="B449" s="1297" t="s">
        <v>351</v>
      </c>
      <c r="C449" s="1632"/>
      <c r="D449" s="1631"/>
      <c r="E449" s="1631"/>
      <c r="F449" s="1631"/>
      <c r="G449" s="1344"/>
    </row>
    <row r="450" spans="1:20" x14ac:dyDescent="0.25">
      <c r="A450" s="1297" t="s">
        <v>781</v>
      </c>
      <c r="B450" s="1297" t="s">
        <v>780</v>
      </c>
      <c r="C450" s="1632"/>
      <c r="D450" s="1631"/>
      <c r="E450" s="1631"/>
      <c r="F450" s="1631"/>
      <c r="G450" s="1344"/>
    </row>
    <row r="451" spans="1:20" ht="24.75" x14ac:dyDescent="0.25">
      <c r="A451" s="1297" t="s">
        <v>779</v>
      </c>
      <c r="B451" s="1711" t="s">
        <v>778</v>
      </c>
      <c r="C451" s="1632"/>
      <c r="D451" s="1631"/>
      <c r="E451" s="1631"/>
      <c r="F451" s="1631"/>
      <c r="G451" s="1344"/>
    </row>
    <row r="452" spans="1:20" x14ac:dyDescent="0.25">
      <c r="A452" s="1297"/>
      <c r="B452" s="1711" t="s">
        <v>308</v>
      </c>
      <c r="C452" s="1632">
        <v>3</v>
      </c>
      <c r="D452" s="1631" t="s">
        <v>91</v>
      </c>
      <c r="E452" s="1712">
        <v>68000</v>
      </c>
      <c r="F452" s="1713">
        <f>E452*C452</f>
        <v>204000</v>
      </c>
      <c r="G452" s="1344" t="s">
        <v>2387</v>
      </c>
      <c r="J452" s="175">
        <f>F452</f>
        <v>204000</v>
      </c>
      <c r="T452" s="175"/>
    </row>
    <row r="453" spans="1:20" x14ac:dyDescent="0.25">
      <c r="A453" s="1269"/>
      <c r="B453" s="1711" t="s">
        <v>646</v>
      </c>
      <c r="C453" s="1632">
        <v>39</v>
      </c>
      <c r="D453" s="1631" t="s">
        <v>123</v>
      </c>
      <c r="E453" s="1712">
        <v>15000</v>
      </c>
      <c r="F453" s="1713">
        <f>E453*C453</f>
        <v>585000</v>
      </c>
      <c r="G453" s="1344" t="s">
        <v>2387</v>
      </c>
      <c r="J453" s="175">
        <f t="shared" ref="J453:J455" si="16">F453</f>
        <v>585000</v>
      </c>
      <c r="T453" s="175"/>
    </row>
    <row r="454" spans="1:20" x14ac:dyDescent="0.25">
      <c r="A454" s="1631"/>
      <c r="B454" s="1714" t="s">
        <v>306</v>
      </c>
      <c r="C454" s="1295">
        <v>39</v>
      </c>
      <c r="D454" s="1156" t="s">
        <v>123</v>
      </c>
      <c r="E454" s="1715">
        <v>4500</v>
      </c>
      <c r="F454" s="1713">
        <f>E454*C454</f>
        <v>175500</v>
      </c>
      <c r="G454" s="1344" t="s">
        <v>2387</v>
      </c>
      <c r="J454" s="175">
        <f t="shared" si="16"/>
        <v>175500</v>
      </c>
      <c r="T454" s="175"/>
    </row>
    <row r="455" spans="1:20" x14ac:dyDescent="0.25">
      <c r="A455" s="1631"/>
      <c r="B455" s="1714" t="s">
        <v>806</v>
      </c>
      <c r="C455" s="1295">
        <v>13</v>
      </c>
      <c r="D455" s="1156" t="s">
        <v>123</v>
      </c>
      <c r="E455" s="1715">
        <v>100000</v>
      </c>
      <c r="F455" s="1713">
        <f>C455*E455</f>
        <v>1300000</v>
      </c>
      <c r="G455" s="1344" t="s">
        <v>2387</v>
      </c>
      <c r="J455" s="175">
        <f t="shared" si="16"/>
        <v>1300000</v>
      </c>
      <c r="S455" s="175"/>
      <c r="T455" s="175"/>
    </row>
    <row r="456" spans="1:20" x14ac:dyDescent="0.25">
      <c r="A456" s="1631"/>
      <c r="B456" s="1714" t="s">
        <v>805</v>
      </c>
      <c r="C456" s="1295">
        <v>13</v>
      </c>
      <c r="D456" s="1156" t="s">
        <v>123</v>
      </c>
      <c r="E456" s="1715">
        <v>50000</v>
      </c>
      <c r="F456" s="1713">
        <f>C456*E456</f>
        <v>650000</v>
      </c>
      <c r="G456" s="1344" t="s">
        <v>2387</v>
      </c>
      <c r="J456" s="175">
        <f t="shared" ref="J456:J459" si="17">F456</f>
        <v>650000</v>
      </c>
      <c r="T456" s="175"/>
    </row>
    <row r="457" spans="1:20" x14ac:dyDescent="0.25">
      <c r="A457" s="1631"/>
      <c r="B457" s="1714" t="s">
        <v>804</v>
      </c>
      <c r="C457" s="1295">
        <v>13</v>
      </c>
      <c r="D457" s="1156" t="s">
        <v>123</v>
      </c>
      <c r="E457" s="1715">
        <v>55000</v>
      </c>
      <c r="F457" s="1713">
        <f>C457*E457</f>
        <v>715000</v>
      </c>
      <c r="G457" s="1344" t="s">
        <v>2387</v>
      </c>
      <c r="J457" s="175">
        <f t="shared" si="17"/>
        <v>715000</v>
      </c>
      <c r="T457" s="175"/>
    </row>
    <row r="458" spans="1:20" x14ac:dyDescent="0.25">
      <c r="A458" s="1631"/>
      <c r="B458" s="1714" t="s">
        <v>802</v>
      </c>
      <c r="C458" s="1295">
        <v>52</v>
      </c>
      <c r="D458" s="1156" t="s">
        <v>123</v>
      </c>
      <c r="E458" s="1715">
        <v>7000</v>
      </c>
      <c r="F458" s="1713">
        <f>E458*C458</f>
        <v>364000</v>
      </c>
      <c r="G458" s="1344" t="s">
        <v>2387</v>
      </c>
      <c r="J458" s="175">
        <f t="shared" si="17"/>
        <v>364000</v>
      </c>
      <c r="T458" s="175"/>
    </row>
    <row r="459" spans="1:20" x14ac:dyDescent="0.25">
      <c r="A459" s="1631"/>
      <c r="B459" s="1714" t="s">
        <v>803</v>
      </c>
      <c r="C459" s="1295">
        <v>800</v>
      </c>
      <c r="D459" s="1156" t="s">
        <v>312</v>
      </c>
      <c r="E459" s="1715">
        <v>10000</v>
      </c>
      <c r="F459" s="1713">
        <f>E459*C459</f>
        <v>8000000</v>
      </c>
      <c r="G459" s="1344" t="s">
        <v>2387</v>
      </c>
      <c r="J459" s="175">
        <f t="shared" si="17"/>
        <v>8000000</v>
      </c>
      <c r="T459" s="175"/>
    </row>
    <row r="460" spans="1:20" ht="34.5" customHeight="1" x14ac:dyDescent="0.25">
      <c r="A460" s="1297" t="s">
        <v>776</v>
      </c>
      <c r="B460" s="1714" t="s">
        <v>354</v>
      </c>
      <c r="C460" s="1295"/>
      <c r="D460" s="1156"/>
      <c r="E460" s="1715"/>
      <c r="F460" s="1713"/>
      <c r="G460" s="1344"/>
      <c r="T460" s="175"/>
    </row>
    <row r="461" spans="1:20" x14ac:dyDescent="0.25">
      <c r="A461" s="1627"/>
      <c r="B461" s="1621" t="s">
        <v>775</v>
      </c>
      <c r="C461" s="1619"/>
      <c r="D461" s="1622"/>
      <c r="E461" s="1716"/>
      <c r="F461" s="1713"/>
      <c r="G461" s="1344"/>
      <c r="T461" s="175"/>
    </row>
    <row r="462" spans="1:20" x14ac:dyDescent="0.25">
      <c r="A462" s="1627"/>
      <c r="B462" s="1621" t="s">
        <v>801</v>
      </c>
      <c r="C462" s="1619">
        <f>5*13*12</f>
        <v>780</v>
      </c>
      <c r="D462" s="1622" t="s">
        <v>315</v>
      </c>
      <c r="E462" s="1620">
        <v>15000</v>
      </c>
      <c r="F462" s="1713">
        <f>E462*C462</f>
        <v>11700000</v>
      </c>
      <c r="G462" s="1344" t="s">
        <v>2387</v>
      </c>
      <c r="J462" s="175">
        <f>F462</f>
        <v>11700000</v>
      </c>
      <c r="T462" s="175"/>
    </row>
    <row r="463" spans="1:20" ht="30" customHeight="1" x14ac:dyDescent="0.25">
      <c r="A463" s="1627"/>
      <c r="B463" s="1709" t="s">
        <v>800</v>
      </c>
      <c r="C463" s="1619"/>
      <c r="D463" s="1622"/>
      <c r="E463" s="1620"/>
      <c r="F463" s="1713"/>
      <c r="G463" s="1344"/>
      <c r="T463" s="175"/>
    </row>
    <row r="464" spans="1:20" x14ac:dyDescent="0.25">
      <c r="A464" s="1627"/>
      <c r="B464" s="1621" t="s">
        <v>799</v>
      </c>
      <c r="C464" s="1619">
        <f>433*12</f>
        <v>5196</v>
      </c>
      <c r="D464" s="1622" t="s">
        <v>565</v>
      </c>
      <c r="E464" s="1620">
        <v>7000</v>
      </c>
      <c r="F464" s="1713">
        <f>E464*C464</f>
        <v>36372000</v>
      </c>
      <c r="G464" s="1344" t="s">
        <v>2387</v>
      </c>
      <c r="J464" s="175">
        <f>F464</f>
        <v>36372000</v>
      </c>
      <c r="T464" s="175"/>
    </row>
    <row r="465" spans="1:20" x14ac:dyDescent="0.25">
      <c r="A465" s="1627"/>
      <c r="B465" s="1621" t="s">
        <v>798</v>
      </c>
      <c r="C465" s="1619">
        <f>433*12</f>
        <v>5196</v>
      </c>
      <c r="D465" s="1622" t="s">
        <v>797</v>
      </c>
      <c r="E465" s="1620">
        <v>4000</v>
      </c>
      <c r="F465" s="1713">
        <f>E465*C465</f>
        <v>20784000</v>
      </c>
      <c r="G465" s="1344" t="s">
        <v>2387</v>
      </c>
      <c r="J465" s="175">
        <f t="shared" ref="J465:J467" si="18">F465</f>
        <v>20784000</v>
      </c>
      <c r="T465" s="175"/>
    </row>
    <row r="466" spans="1:20" x14ac:dyDescent="0.25">
      <c r="A466" s="1627"/>
      <c r="B466" s="1621" t="s">
        <v>95</v>
      </c>
      <c r="C466" s="1619">
        <f>433*12</f>
        <v>5196</v>
      </c>
      <c r="D466" s="1622" t="s">
        <v>182</v>
      </c>
      <c r="E466" s="1620">
        <v>6000</v>
      </c>
      <c r="F466" s="1713">
        <f>E466*C466</f>
        <v>31176000</v>
      </c>
      <c r="G466" s="1344" t="s">
        <v>2387</v>
      </c>
      <c r="J466" s="175">
        <f t="shared" si="18"/>
        <v>31176000</v>
      </c>
      <c r="T466" s="175"/>
    </row>
    <row r="467" spans="1:20" x14ac:dyDescent="0.25">
      <c r="A467" s="1627"/>
      <c r="B467" s="1621" t="s">
        <v>796</v>
      </c>
      <c r="C467" s="1619">
        <v>5196</v>
      </c>
      <c r="D467" s="1622" t="s">
        <v>526</v>
      </c>
      <c r="E467" s="1620">
        <v>10000</v>
      </c>
      <c r="F467" s="1713">
        <f>E467*C467</f>
        <v>51960000</v>
      </c>
      <c r="G467" s="1344" t="s">
        <v>2387</v>
      </c>
      <c r="J467" s="175">
        <f t="shared" si="18"/>
        <v>51960000</v>
      </c>
      <c r="K467" s="175"/>
      <c r="T467" s="175"/>
    </row>
    <row r="468" spans="1:20" x14ac:dyDescent="0.25">
      <c r="A468" s="394"/>
      <c r="B468" s="395"/>
      <c r="C468" s="397"/>
      <c r="D468" s="549"/>
      <c r="E468" s="399"/>
      <c r="F468" s="546"/>
      <c r="G468" s="783"/>
      <c r="T468" s="175"/>
    </row>
    <row r="469" spans="1:20" x14ac:dyDescent="0.25">
      <c r="A469" s="541" t="s">
        <v>795</v>
      </c>
      <c r="B469" s="395" t="s">
        <v>574</v>
      </c>
      <c r="C469" s="397"/>
      <c r="D469" s="549"/>
      <c r="E469" s="399"/>
      <c r="F469" s="546"/>
      <c r="G469" s="783"/>
      <c r="T469" s="175"/>
    </row>
    <row r="470" spans="1:20" ht="35.25" customHeight="1" x14ac:dyDescent="0.25">
      <c r="A470" s="1627"/>
      <c r="B470" s="1709" t="s">
        <v>794</v>
      </c>
      <c r="C470" s="1619">
        <v>39</v>
      </c>
      <c r="D470" s="1622" t="s">
        <v>252</v>
      </c>
      <c r="E470" s="1620">
        <v>100000</v>
      </c>
      <c r="F470" s="1713">
        <f>E470*C470</f>
        <v>3900000</v>
      </c>
      <c r="G470" s="1344" t="s">
        <v>2625</v>
      </c>
      <c r="S470" s="175">
        <f>F470</f>
        <v>3900000</v>
      </c>
      <c r="T470" s="175"/>
    </row>
    <row r="471" spans="1:20" x14ac:dyDescent="0.25">
      <c r="A471" s="394"/>
      <c r="B471" s="396"/>
      <c r="C471" s="397"/>
      <c r="D471" s="549"/>
      <c r="E471" s="399"/>
      <c r="F471" s="546"/>
      <c r="G471" s="783"/>
      <c r="T471" s="175"/>
    </row>
    <row r="472" spans="1:20" ht="36" customHeight="1" x14ac:dyDescent="0.25">
      <c r="A472" s="541" t="s">
        <v>774</v>
      </c>
      <c r="B472" s="396" t="s">
        <v>773</v>
      </c>
      <c r="C472" s="542"/>
      <c r="D472" s="394"/>
      <c r="E472" s="394"/>
      <c r="F472" s="546"/>
      <c r="G472" s="783"/>
      <c r="T472" s="175"/>
    </row>
    <row r="473" spans="1:20" x14ac:dyDescent="0.25">
      <c r="A473" s="1627"/>
      <c r="B473" s="1621" t="s">
        <v>459</v>
      </c>
      <c r="C473" s="1619">
        <v>13</v>
      </c>
      <c r="D473" s="1622" t="s">
        <v>460</v>
      </c>
      <c r="E473" s="1620">
        <v>90000</v>
      </c>
      <c r="F473" s="1713">
        <f>E473*C473</f>
        <v>1170000</v>
      </c>
      <c r="G473" s="1344" t="s">
        <v>2625</v>
      </c>
      <c r="S473" s="175">
        <f>F473</f>
        <v>1170000</v>
      </c>
      <c r="T473" s="175"/>
    </row>
    <row r="474" spans="1:20" x14ac:dyDescent="0.25">
      <c r="A474" s="394"/>
      <c r="B474" s="395"/>
      <c r="C474" s="397"/>
      <c r="D474" s="549"/>
      <c r="E474" s="399"/>
      <c r="F474" s="546"/>
      <c r="G474" s="783"/>
      <c r="T474" s="175"/>
    </row>
    <row r="475" spans="1:20" x14ac:dyDescent="0.25">
      <c r="A475" s="1621" t="s">
        <v>793</v>
      </c>
      <c r="B475" s="1621" t="s">
        <v>319</v>
      </c>
      <c r="C475" s="1619"/>
      <c r="D475" s="1622"/>
      <c r="E475" s="1620"/>
      <c r="F475" s="1623"/>
      <c r="G475" s="1344"/>
      <c r="H475" t="s">
        <v>2933</v>
      </c>
      <c r="T475" s="175"/>
    </row>
    <row r="476" spans="1:20" x14ac:dyDescent="0.25">
      <c r="A476" s="1621"/>
      <c r="B476" s="1621" t="s">
        <v>792</v>
      </c>
      <c r="C476" s="1619">
        <v>1560</v>
      </c>
      <c r="D476" s="1622" t="s">
        <v>186</v>
      </c>
      <c r="E476" s="1620">
        <v>3000</v>
      </c>
      <c r="F476" s="1623">
        <f>E476*C476</f>
        <v>4680000</v>
      </c>
      <c r="G476" s="1344" t="s">
        <v>2625</v>
      </c>
      <c r="S476" s="175">
        <f>F476</f>
        <v>4680000</v>
      </c>
      <c r="T476" s="175"/>
    </row>
    <row r="477" spans="1:20" x14ac:dyDescent="0.25">
      <c r="A477" s="1621"/>
      <c r="B477" s="1621" t="s">
        <v>791</v>
      </c>
      <c r="C477" s="1619">
        <v>156</v>
      </c>
      <c r="D477" s="1622" t="s">
        <v>336</v>
      </c>
      <c r="E477" s="1620">
        <v>10000</v>
      </c>
      <c r="F477" s="1623">
        <f>E477*C477</f>
        <v>1560000</v>
      </c>
      <c r="G477" s="1344" t="s">
        <v>2625</v>
      </c>
      <c r="S477" s="175">
        <f>F477</f>
        <v>1560000</v>
      </c>
      <c r="T477" s="175"/>
    </row>
    <row r="478" spans="1:20" x14ac:dyDescent="0.25">
      <c r="A478" s="394" t="s">
        <v>767</v>
      </c>
      <c r="B478" s="395" t="s">
        <v>340</v>
      </c>
      <c r="C478" s="397"/>
      <c r="D478" s="549"/>
      <c r="E478" s="399"/>
      <c r="F478" s="546"/>
      <c r="G478" s="783"/>
      <c r="T478" s="175"/>
    </row>
    <row r="479" spans="1:20" ht="24.75" x14ac:dyDescent="0.25">
      <c r="A479" s="542" t="s">
        <v>2302</v>
      </c>
      <c r="B479" s="396" t="s">
        <v>2303</v>
      </c>
      <c r="C479" s="397"/>
      <c r="D479" s="549"/>
      <c r="E479" s="399"/>
      <c r="F479" s="546"/>
      <c r="G479" s="783"/>
      <c r="T479" s="175"/>
    </row>
    <row r="480" spans="1:20" x14ac:dyDescent="0.25">
      <c r="A480" s="1708"/>
      <c r="B480" s="1621" t="s">
        <v>2304</v>
      </c>
      <c r="C480" s="1619">
        <v>13</v>
      </c>
      <c r="D480" s="1622" t="s">
        <v>520</v>
      </c>
      <c r="E480" s="1620">
        <v>1000000</v>
      </c>
      <c r="F480" s="1713">
        <f>E480*C480</f>
        <v>13000000</v>
      </c>
      <c r="G480" s="1344" t="s">
        <v>2625</v>
      </c>
      <c r="S480" s="175">
        <f>F480</f>
        <v>13000000</v>
      </c>
      <c r="T480" s="175"/>
    </row>
    <row r="481" spans="1:10" x14ac:dyDescent="0.25">
      <c r="A481" s="542" t="s">
        <v>789</v>
      </c>
      <c r="B481" s="395" t="s">
        <v>393</v>
      </c>
      <c r="C481" s="397"/>
      <c r="D481" s="549"/>
      <c r="E481" s="399"/>
      <c r="F481" s="546"/>
      <c r="G481" s="783"/>
    </row>
    <row r="482" spans="1:10" ht="36" customHeight="1" x14ac:dyDescent="0.25">
      <c r="A482" s="1708"/>
      <c r="B482" s="1709" t="s">
        <v>790</v>
      </c>
      <c r="C482" s="1619">
        <f>5*13*12</f>
        <v>780</v>
      </c>
      <c r="D482" s="1622" t="s">
        <v>448</v>
      </c>
      <c r="E482" s="1620">
        <v>100000</v>
      </c>
      <c r="F482" s="1710">
        <f>E482*C482</f>
        <v>78000000</v>
      </c>
      <c r="G482" s="1344" t="s">
        <v>2387</v>
      </c>
      <c r="J482" s="175">
        <f>F482</f>
        <v>78000000</v>
      </c>
    </row>
    <row r="483" spans="1:10" x14ac:dyDescent="0.25">
      <c r="A483" s="542"/>
      <c r="B483" s="1440" t="s">
        <v>27</v>
      </c>
      <c r="C483" s="542"/>
      <c r="D483" s="394"/>
      <c r="E483" s="394"/>
      <c r="F483" s="592">
        <f>SUM(F452:F482)</f>
        <v>266295500</v>
      </c>
      <c r="G483" s="783"/>
      <c r="J483" s="175"/>
    </row>
    <row r="484" spans="1:10" x14ac:dyDescent="0.25">
      <c r="A484" s="1807" t="s">
        <v>614</v>
      </c>
      <c r="B484" s="1807"/>
      <c r="C484" s="5" t="s">
        <v>28</v>
      </c>
      <c r="D484" s="1808" t="s">
        <v>1698</v>
      </c>
      <c r="E484" s="1808"/>
      <c r="F484" s="1808"/>
      <c r="G484" s="441"/>
    </row>
    <row r="485" spans="1:10" x14ac:dyDescent="0.25">
      <c r="A485" s="1807" t="s">
        <v>29</v>
      </c>
      <c r="B485" s="1807"/>
      <c r="C485" s="5"/>
      <c r="D485" s="1809" t="s">
        <v>2990</v>
      </c>
      <c r="E485" s="1809"/>
      <c r="F485" s="1809"/>
      <c r="G485" s="441"/>
    </row>
    <row r="486" spans="1:10" x14ac:dyDescent="0.25">
      <c r="A486" s="1"/>
      <c r="B486" s="3"/>
      <c r="C486" s="5"/>
      <c r="D486" s="7"/>
      <c r="E486" s="17"/>
      <c r="F486" s="17"/>
      <c r="G486" s="441"/>
    </row>
    <row r="487" spans="1:10" x14ac:dyDescent="0.25">
      <c r="A487" s="1"/>
      <c r="B487" s="3"/>
      <c r="C487" s="5"/>
      <c r="D487" s="7"/>
      <c r="E487" s="17"/>
      <c r="F487" s="17"/>
      <c r="G487" s="441"/>
    </row>
    <row r="488" spans="1:10" x14ac:dyDescent="0.25">
      <c r="A488" s="1807"/>
      <c r="B488" s="1807"/>
      <c r="C488" s="5"/>
      <c r="D488" s="7"/>
      <c r="E488" s="1807"/>
      <c r="F488" s="1807"/>
      <c r="G488" s="441"/>
    </row>
    <row r="489" spans="1:10" x14ac:dyDescent="0.25">
      <c r="A489" s="1807" t="s">
        <v>30</v>
      </c>
      <c r="B489" s="1807"/>
      <c r="C489" s="5"/>
      <c r="D489" s="1807" t="s">
        <v>2991</v>
      </c>
      <c r="E489" s="1807"/>
      <c r="F489" s="1807"/>
      <c r="G489" s="441"/>
    </row>
    <row r="490" spans="1:10" x14ac:dyDescent="0.25">
      <c r="A490" s="136"/>
      <c r="B490" s="136"/>
      <c r="C490" s="5"/>
      <c r="D490" s="136"/>
      <c r="E490" s="136"/>
      <c r="F490" s="136"/>
      <c r="G490" s="5"/>
    </row>
    <row r="491" spans="1:10" x14ac:dyDescent="0.25">
      <c r="A491" s="1800" t="s">
        <v>0</v>
      </c>
      <c r="B491" s="1800"/>
      <c r="C491" s="1800"/>
      <c r="D491" s="1800"/>
      <c r="E491" s="1800"/>
      <c r="F491" s="1800"/>
      <c r="G491" s="162"/>
    </row>
    <row r="492" spans="1:10" x14ac:dyDescent="0.25">
      <c r="A492" s="1800" t="s">
        <v>1</v>
      </c>
      <c r="B492" s="1800"/>
      <c r="C492" s="1800"/>
      <c r="D492" s="1800"/>
      <c r="E492" s="1800"/>
      <c r="F492" s="1800"/>
      <c r="G492" s="162"/>
    </row>
    <row r="493" spans="1:10" x14ac:dyDescent="0.25">
      <c r="A493" s="1800" t="s">
        <v>1697</v>
      </c>
      <c r="B493" s="1800"/>
      <c r="C493" s="1800"/>
      <c r="D493" s="1800"/>
      <c r="E493" s="1800"/>
      <c r="F493" s="1800"/>
      <c r="G493" s="162"/>
    </row>
    <row r="494" spans="1:10" x14ac:dyDescent="0.25">
      <c r="A494" s="162" t="s">
        <v>787</v>
      </c>
      <c r="B494" s="162" t="s">
        <v>786</v>
      </c>
      <c r="C494" s="162"/>
      <c r="D494" s="162"/>
      <c r="E494" s="96" t="s">
        <v>6</v>
      </c>
      <c r="F494" s="96"/>
      <c r="G494" s="162"/>
    </row>
    <row r="495" spans="1:10" x14ac:dyDescent="0.25">
      <c r="A495" s="68" t="s">
        <v>277</v>
      </c>
      <c r="B495" s="68" t="s">
        <v>785</v>
      </c>
      <c r="C495" s="68"/>
      <c r="D495" s="138"/>
      <c r="E495" s="97" t="s">
        <v>573</v>
      </c>
      <c r="F495" s="97"/>
      <c r="G495" s="162"/>
    </row>
    <row r="496" spans="1:10" x14ac:dyDescent="0.25">
      <c r="A496" s="68" t="s">
        <v>784</v>
      </c>
      <c r="B496" s="68" t="s">
        <v>811</v>
      </c>
      <c r="C496" s="68"/>
      <c r="D496" s="138"/>
      <c r="E496" s="456"/>
      <c r="F496" s="68"/>
      <c r="G496" s="162"/>
    </row>
    <row r="497" spans="1:7" x14ac:dyDescent="0.25">
      <c r="A497" s="162" t="s">
        <v>579</v>
      </c>
      <c r="B497" s="162" t="s">
        <v>611</v>
      </c>
      <c r="C497" s="162"/>
      <c r="D497" s="162"/>
      <c r="E497" s="162"/>
      <c r="F497" s="162"/>
      <c r="G497" s="162"/>
    </row>
    <row r="498" spans="1:7" x14ac:dyDescent="0.25">
      <c r="A498" s="1904" t="s">
        <v>561</v>
      </c>
      <c r="B498" s="1904"/>
      <c r="C498" s="162"/>
      <c r="D498" s="68"/>
      <c r="E498" s="457"/>
      <c r="F498" s="162"/>
      <c r="G498" s="162"/>
    </row>
    <row r="501" spans="1:7" ht="24" x14ac:dyDescent="0.25">
      <c r="A501" s="192" t="s">
        <v>612</v>
      </c>
      <c r="B501" s="192" t="s">
        <v>12</v>
      </c>
      <c r="C501" s="1937" t="s">
        <v>13</v>
      </c>
      <c r="D501" s="1938"/>
      <c r="E501" s="519" t="s">
        <v>14</v>
      </c>
      <c r="F501" s="192" t="s">
        <v>15</v>
      </c>
      <c r="G501" s="137" t="s">
        <v>301</v>
      </c>
    </row>
    <row r="502" spans="1:7" x14ac:dyDescent="0.25">
      <c r="A502" s="92">
        <v>1</v>
      </c>
      <c r="B502" s="92">
        <v>2</v>
      </c>
      <c r="C502" s="1939">
        <v>3</v>
      </c>
      <c r="D502" s="1940"/>
      <c r="E502" s="520">
        <v>4</v>
      </c>
      <c r="F502" s="92">
        <v>5</v>
      </c>
      <c r="G502" s="137">
        <v>6</v>
      </c>
    </row>
    <row r="503" spans="1:7" x14ac:dyDescent="0.25">
      <c r="A503" s="48" t="s">
        <v>782</v>
      </c>
      <c r="B503" s="194" t="s">
        <v>323</v>
      </c>
      <c r="C503" s="195"/>
      <c r="D503" s="196"/>
      <c r="E503" s="521"/>
      <c r="F503" s="197"/>
      <c r="G503" s="198"/>
    </row>
    <row r="504" spans="1:7" ht="19.5" customHeight="1" x14ac:dyDescent="0.25">
      <c r="A504" s="48" t="s">
        <v>781</v>
      </c>
      <c r="B504" s="194" t="s">
        <v>88</v>
      </c>
      <c r="C504" s="195"/>
      <c r="D504" s="196"/>
      <c r="E504" s="521"/>
      <c r="F504" s="197"/>
      <c r="G504" s="198"/>
    </row>
    <row r="505" spans="1:7" ht="32.25" customHeight="1" x14ac:dyDescent="0.25">
      <c r="A505" s="48" t="s">
        <v>776</v>
      </c>
      <c r="B505" s="396" t="s">
        <v>354</v>
      </c>
      <c r="C505" s="397"/>
      <c r="D505" s="522"/>
      <c r="E505" s="399"/>
      <c r="F505" s="197"/>
      <c r="G505" s="198"/>
    </row>
    <row r="506" spans="1:7" x14ac:dyDescent="0.25">
      <c r="A506" s="198"/>
      <c r="B506" s="395" t="s">
        <v>810</v>
      </c>
      <c r="C506" s="397">
        <v>60</v>
      </c>
      <c r="D506" s="522" t="s">
        <v>565</v>
      </c>
      <c r="E506" s="399">
        <v>15000</v>
      </c>
      <c r="F506" s="197">
        <f>E506*C506</f>
        <v>900000</v>
      </c>
      <c r="G506" s="198"/>
    </row>
    <row r="507" spans="1:7" ht="24.75" x14ac:dyDescent="0.25">
      <c r="A507" s="198"/>
      <c r="B507" s="396" t="s">
        <v>1713</v>
      </c>
      <c r="C507" s="397">
        <v>30</v>
      </c>
      <c r="D507" s="522" t="s">
        <v>1714</v>
      </c>
      <c r="E507" s="399">
        <v>25000</v>
      </c>
      <c r="F507" s="197">
        <f>C507*E507</f>
        <v>750000</v>
      </c>
      <c r="G507" s="198"/>
    </row>
    <row r="508" spans="1:7" x14ac:dyDescent="0.25">
      <c r="A508" s="198"/>
      <c r="B508" s="395" t="s">
        <v>1715</v>
      </c>
      <c r="C508" s="397">
        <v>30</v>
      </c>
      <c r="D508" s="522" t="s">
        <v>1716</v>
      </c>
      <c r="E508" s="399">
        <v>60000</v>
      </c>
      <c r="F508" s="197">
        <f>C508*E508</f>
        <v>1800000</v>
      </c>
      <c r="G508" s="198"/>
    </row>
    <row r="509" spans="1:7" x14ac:dyDescent="0.25">
      <c r="A509" s="198"/>
      <c r="B509" s="395"/>
      <c r="C509" s="397"/>
      <c r="D509" s="522"/>
      <c r="E509" s="399"/>
      <c r="F509" s="197"/>
      <c r="G509" s="198"/>
    </row>
    <row r="510" spans="1:7" x14ac:dyDescent="0.25">
      <c r="A510" s="198"/>
      <c r="B510" s="395"/>
      <c r="C510" s="397"/>
      <c r="D510" s="522"/>
      <c r="E510" s="399"/>
      <c r="F510" s="197"/>
      <c r="G510" s="198"/>
    </row>
    <row r="511" spans="1:7" ht="31.5" customHeight="1" x14ac:dyDescent="0.25">
      <c r="A511" s="48" t="s">
        <v>774</v>
      </c>
      <c r="B511" s="396" t="s">
        <v>376</v>
      </c>
      <c r="C511" s="397"/>
      <c r="D511" s="522"/>
      <c r="E511" s="399"/>
      <c r="F511" s="197"/>
      <c r="G511" s="198"/>
    </row>
    <row r="512" spans="1:7" x14ac:dyDescent="0.25">
      <c r="A512" s="198"/>
      <c r="B512" s="395" t="s">
        <v>377</v>
      </c>
      <c r="C512" s="397">
        <v>1</v>
      </c>
      <c r="D512" s="522" t="s">
        <v>102</v>
      </c>
      <c r="E512" s="399">
        <v>90000</v>
      </c>
      <c r="F512" s="197">
        <f>E512*C512</f>
        <v>90000</v>
      </c>
      <c r="G512" s="198"/>
    </row>
    <row r="513" spans="1:19" x14ac:dyDescent="0.25">
      <c r="A513" s="198"/>
      <c r="B513" s="395"/>
      <c r="C513" s="397"/>
      <c r="D513" s="522"/>
      <c r="E513" s="399"/>
      <c r="F513" s="197"/>
      <c r="G513" s="198"/>
    </row>
    <row r="514" spans="1:19" ht="32.25" customHeight="1" x14ac:dyDescent="0.25">
      <c r="A514" s="48" t="s">
        <v>767</v>
      </c>
      <c r="B514" s="194" t="s">
        <v>340</v>
      </c>
      <c r="C514" s="397"/>
      <c r="D514" s="522"/>
      <c r="E514" s="399"/>
      <c r="F514" s="197"/>
      <c r="G514" s="198"/>
    </row>
    <row r="515" spans="1:19" ht="36" customHeight="1" x14ac:dyDescent="0.25">
      <c r="A515" s="48" t="s">
        <v>766</v>
      </c>
      <c r="B515" s="396" t="s">
        <v>809</v>
      </c>
      <c r="C515" s="397"/>
      <c r="D515" s="522"/>
      <c r="E515" s="399"/>
      <c r="F515" s="197"/>
      <c r="G515" s="198"/>
    </row>
    <row r="516" spans="1:19" x14ac:dyDescent="0.25">
      <c r="A516" s="198"/>
      <c r="B516" s="396" t="s">
        <v>808</v>
      </c>
      <c r="C516" s="397">
        <v>2</v>
      </c>
      <c r="D516" s="522" t="s">
        <v>315</v>
      </c>
      <c r="E516" s="399">
        <v>300000</v>
      </c>
      <c r="F516" s="197">
        <f>E516*C516</f>
        <v>600000</v>
      </c>
      <c r="G516" s="198"/>
    </row>
    <row r="517" spans="1:19" x14ac:dyDescent="0.25">
      <c r="A517" s="198"/>
      <c r="B517" s="395"/>
      <c r="C517" s="397"/>
      <c r="D517" s="522"/>
      <c r="E517" s="399"/>
      <c r="F517" s="197"/>
      <c r="G517" s="198"/>
    </row>
    <row r="518" spans="1:19" x14ac:dyDescent="0.25">
      <c r="A518" s="198"/>
      <c r="B518" s="1946" t="s">
        <v>27</v>
      </c>
      <c r="C518" s="1946"/>
      <c r="D518" s="1946"/>
      <c r="E518" s="1946"/>
      <c r="F518" s="197">
        <f>SUM(F504:F517)</f>
        <v>4140000</v>
      </c>
      <c r="G518" s="198" t="s">
        <v>2625</v>
      </c>
      <c r="J518" s="175"/>
      <c r="K518" s="175"/>
      <c r="S518" s="175">
        <f>F518</f>
        <v>4140000</v>
      </c>
    </row>
    <row r="519" spans="1:19" x14ac:dyDescent="0.25">
      <c r="A519" s="1807" t="s">
        <v>614</v>
      </c>
      <c r="B519" s="1807"/>
      <c r="C519" s="5" t="s">
        <v>28</v>
      </c>
      <c r="D519" s="1808" t="s">
        <v>1698</v>
      </c>
      <c r="E519" s="1808"/>
      <c r="F519" s="1808"/>
      <c r="G519" s="5"/>
    </row>
    <row r="520" spans="1:19" x14ac:dyDescent="0.25">
      <c r="A520" s="1807" t="s">
        <v>29</v>
      </c>
      <c r="B520" s="1807"/>
      <c r="C520" s="5"/>
      <c r="D520" s="1809" t="s">
        <v>2990</v>
      </c>
      <c r="E520" s="1809"/>
      <c r="F520" s="1809"/>
      <c r="G520" s="5"/>
    </row>
    <row r="521" spans="1:19" x14ac:dyDescent="0.25">
      <c r="A521" s="1"/>
      <c r="B521" s="3"/>
      <c r="C521" s="5"/>
      <c r="D521" s="7"/>
      <c r="E521" s="17"/>
      <c r="F521" s="17"/>
      <c r="G521" s="5"/>
    </row>
    <row r="522" spans="1:19" x14ac:dyDescent="0.25">
      <c r="A522" s="1"/>
      <c r="B522" s="3"/>
      <c r="C522" s="5"/>
      <c r="D522" s="7"/>
      <c r="E522" s="17"/>
      <c r="F522" s="17"/>
      <c r="G522" s="5"/>
    </row>
    <row r="523" spans="1:19" x14ac:dyDescent="0.25">
      <c r="A523" s="1807"/>
      <c r="B523" s="1807"/>
      <c r="C523" s="5"/>
      <c r="D523" s="7"/>
      <c r="E523" s="1807"/>
      <c r="F523" s="1807"/>
      <c r="G523" s="5"/>
    </row>
    <row r="524" spans="1:19" x14ac:dyDescent="0.25">
      <c r="A524" s="1807" t="s">
        <v>30</v>
      </c>
      <c r="B524" s="1807"/>
      <c r="C524" s="5"/>
      <c r="D524" s="1807" t="s">
        <v>2991</v>
      </c>
      <c r="E524" s="1807"/>
      <c r="F524" s="1807"/>
      <c r="G524" s="5"/>
    </row>
    <row r="525" spans="1:19" x14ac:dyDescent="0.25">
      <c r="A525" s="1807" t="s">
        <v>1</v>
      </c>
      <c r="B525" s="1807"/>
      <c r="C525" s="1807"/>
      <c r="D525" s="1807"/>
      <c r="E525" s="1807"/>
      <c r="F525" s="1807"/>
    </row>
    <row r="526" spans="1:19" x14ac:dyDescent="0.25">
      <c r="A526" s="1807" t="s">
        <v>861</v>
      </c>
      <c r="B526" s="1807"/>
      <c r="C526" s="1807"/>
      <c r="D526" s="1807"/>
      <c r="E526" s="1807"/>
      <c r="F526" s="1807"/>
    </row>
    <row r="527" spans="1:19" x14ac:dyDescent="0.25">
      <c r="A527" s="1807" t="s">
        <v>1697</v>
      </c>
      <c r="B527" s="1807"/>
      <c r="C527" s="1807"/>
      <c r="D527" s="1807"/>
      <c r="E527" s="1807"/>
      <c r="F527" s="1807"/>
    </row>
    <row r="528" spans="1:19" x14ac:dyDescent="0.25">
      <c r="A528" s="136"/>
      <c r="B528" s="136"/>
      <c r="C528" s="162"/>
      <c r="D528" s="162"/>
      <c r="E528" s="162"/>
      <c r="F528" s="162"/>
    </row>
    <row r="529" spans="1:7" x14ac:dyDescent="0.25">
      <c r="A529" s="162" t="s">
        <v>276</v>
      </c>
      <c r="B529" s="162" t="s">
        <v>860</v>
      </c>
      <c r="C529" s="162"/>
      <c r="D529" s="162"/>
      <c r="E529" s="162"/>
      <c r="F529" s="8" t="s">
        <v>6</v>
      </c>
    </row>
    <row r="530" spans="1:7" x14ac:dyDescent="0.25">
      <c r="A530" s="162" t="s">
        <v>859</v>
      </c>
      <c r="B530" s="68" t="s">
        <v>785</v>
      </c>
      <c r="C530" s="162"/>
      <c r="D530" s="162"/>
      <c r="E530" s="162"/>
      <c r="F530" s="102" t="s">
        <v>573</v>
      </c>
    </row>
    <row r="531" spans="1:7" ht="36.75" x14ac:dyDescent="0.25">
      <c r="A531" s="360" t="s">
        <v>858</v>
      </c>
      <c r="B531" s="77" t="s">
        <v>1717</v>
      </c>
      <c r="C531" s="162"/>
      <c r="D531" s="162"/>
      <c r="E531" s="162"/>
      <c r="F531" s="162"/>
    </row>
    <row r="532" spans="1:7" x14ac:dyDescent="0.25">
      <c r="A532" s="162" t="s">
        <v>579</v>
      </c>
      <c r="B532" s="162" t="s">
        <v>63</v>
      </c>
      <c r="C532" s="162"/>
      <c r="D532" s="162"/>
      <c r="E532" s="162"/>
      <c r="F532" s="162"/>
    </row>
    <row r="533" spans="1:7" x14ac:dyDescent="0.25">
      <c r="A533" s="5" t="s">
        <v>856</v>
      </c>
      <c r="B533" s="5"/>
      <c r="C533" s="162"/>
      <c r="D533" s="162"/>
      <c r="E533" s="162"/>
      <c r="F533" s="162"/>
    </row>
    <row r="534" spans="1:7" ht="24" x14ac:dyDescent="0.25">
      <c r="A534" s="144" t="s">
        <v>2640</v>
      </c>
      <c r="B534" s="144" t="s">
        <v>2641</v>
      </c>
      <c r="C534" s="1943" t="s">
        <v>13</v>
      </c>
      <c r="D534" s="1944"/>
      <c r="E534" s="11" t="s">
        <v>14</v>
      </c>
      <c r="F534" s="144" t="s">
        <v>15</v>
      </c>
      <c r="G534" s="137" t="s">
        <v>301</v>
      </c>
    </row>
    <row r="535" spans="1:7" x14ac:dyDescent="0.25">
      <c r="A535" s="146">
        <v>1</v>
      </c>
      <c r="B535" s="146">
        <v>2</v>
      </c>
      <c r="C535" s="1945">
        <v>3</v>
      </c>
      <c r="D535" s="1945"/>
      <c r="E535" s="147">
        <v>4</v>
      </c>
      <c r="F535" s="147">
        <v>5</v>
      </c>
      <c r="G535" s="137">
        <v>6</v>
      </c>
    </row>
    <row r="536" spans="1:7" x14ac:dyDescent="0.25">
      <c r="A536" s="178" t="s">
        <v>782</v>
      </c>
      <c r="B536" s="178" t="s">
        <v>855</v>
      </c>
      <c r="C536" s="142"/>
      <c r="D536" s="143"/>
      <c r="E536" s="100"/>
      <c r="F536" s="230"/>
      <c r="G536" s="32"/>
    </row>
    <row r="537" spans="1:7" x14ac:dyDescent="0.25">
      <c r="A537" s="178" t="s">
        <v>781</v>
      </c>
      <c r="B537" s="178" t="s">
        <v>854</v>
      </c>
      <c r="C537" s="231"/>
      <c r="D537" s="232"/>
      <c r="E537" s="100"/>
      <c r="F537" s="230"/>
      <c r="G537" s="32"/>
    </row>
    <row r="538" spans="1:7" ht="24" customHeight="1" x14ac:dyDescent="0.25">
      <c r="A538" s="180" t="s">
        <v>1719</v>
      </c>
      <c r="B538" s="4" t="s">
        <v>354</v>
      </c>
      <c r="C538" s="6"/>
      <c r="D538" s="25"/>
      <c r="E538" s="12"/>
      <c r="F538" s="12"/>
      <c r="G538" s="32"/>
    </row>
    <row r="539" spans="1:7" ht="33" customHeight="1" x14ac:dyDescent="0.25">
      <c r="A539" s="230"/>
      <c r="B539" s="16" t="s">
        <v>2716</v>
      </c>
      <c r="C539" s="6">
        <v>360</v>
      </c>
      <c r="D539" s="25" t="s">
        <v>315</v>
      </c>
      <c r="E539" s="12">
        <v>15000</v>
      </c>
      <c r="F539" s="12">
        <f>C539*E539</f>
        <v>5400000</v>
      </c>
      <c r="G539" s="32"/>
    </row>
    <row r="540" spans="1:7" x14ac:dyDescent="0.25">
      <c r="A540" s="230"/>
      <c r="B540" s="230"/>
      <c r="C540" s="231"/>
      <c r="D540" s="232"/>
      <c r="E540" s="100"/>
      <c r="F540" s="230"/>
      <c r="G540" s="32"/>
    </row>
    <row r="541" spans="1:7" x14ac:dyDescent="0.25">
      <c r="A541" s="230"/>
      <c r="B541" s="16" t="s">
        <v>853</v>
      </c>
      <c r="C541" s="6"/>
      <c r="D541" s="25"/>
      <c r="E541" s="12"/>
      <c r="F541" s="12"/>
      <c r="G541" s="32"/>
    </row>
    <row r="542" spans="1:7" ht="27.75" customHeight="1" x14ac:dyDescent="0.25">
      <c r="A542" s="230"/>
      <c r="B542" s="4" t="s">
        <v>1720</v>
      </c>
      <c r="C542" s="6">
        <v>2160</v>
      </c>
      <c r="D542" s="25" t="s">
        <v>565</v>
      </c>
      <c r="E542" s="12">
        <v>15000</v>
      </c>
      <c r="F542" s="12">
        <f>C542*E542</f>
        <v>32400000</v>
      </c>
      <c r="G542" s="32"/>
    </row>
    <row r="543" spans="1:7" x14ac:dyDescent="0.25">
      <c r="A543" s="230"/>
      <c r="B543" s="16" t="s">
        <v>1721</v>
      </c>
      <c r="C543" s="6">
        <v>2160</v>
      </c>
      <c r="D543" s="25" t="s">
        <v>797</v>
      </c>
      <c r="E543" s="12">
        <v>4000</v>
      </c>
      <c r="F543" s="12">
        <f>C543*E543</f>
        <v>8640000</v>
      </c>
      <c r="G543" s="32"/>
    </row>
    <row r="544" spans="1:7" x14ac:dyDescent="0.25">
      <c r="A544" s="230"/>
      <c r="B544" s="208" t="s">
        <v>852</v>
      </c>
      <c r="C544" s="209">
        <v>180</v>
      </c>
      <c r="D544" s="170" t="s">
        <v>144</v>
      </c>
      <c r="E544" s="211">
        <v>120000</v>
      </c>
      <c r="F544" s="211">
        <f>E544*C544</f>
        <v>21600000</v>
      </c>
      <c r="G544" s="32"/>
    </row>
    <row r="545" spans="1:20" x14ac:dyDescent="0.25">
      <c r="A545" s="233"/>
      <c r="B545" s="230"/>
      <c r="C545" s="231"/>
      <c r="D545" s="232"/>
      <c r="E545" s="101"/>
      <c r="F545" s="234"/>
      <c r="G545" s="32"/>
    </row>
    <row r="546" spans="1:20" ht="24.75" x14ac:dyDescent="0.25">
      <c r="A546" s="233" t="s">
        <v>774</v>
      </c>
      <c r="B546" s="4" t="s">
        <v>851</v>
      </c>
      <c r="C546" s="231"/>
      <c r="D546" s="232"/>
      <c r="E546" s="100"/>
      <c r="F546" s="524"/>
      <c r="G546" s="32"/>
    </row>
    <row r="547" spans="1:20" x14ac:dyDescent="0.25">
      <c r="A547" s="233"/>
      <c r="B547" s="16" t="s">
        <v>459</v>
      </c>
      <c r="C547" s="6">
        <v>6</v>
      </c>
      <c r="D547" s="25" t="s">
        <v>123</v>
      </c>
      <c r="E547" s="12">
        <v>90000</v>
      </c>
      <c r="F547" s="12">
        <f>C547*E547</f>
        <v>540000</v>
      </c>
      <c r="G547" s="32"/>
    </row>
    <row r="548" spans="1:20" x14ac:dyDescent="0.25">
      <c r="A548" s="233"/>
      <c r="B548" s="230"/>
      <c r="C548" s="231"/>
      <c r="D548" s="232"/>
      <c r="E548" s="100"/>
      <c r="F548" s="230"/>
      <c r="G548" s="32"/>
    </row>
    <row r="549" spans="1:20" x14ac:dyDescent="0.25">
      <c r="A549" s="233" t="s">
        <v>767</v>
      </c>
      <c r="B549" s="233" t="s">
        <v>850</v>
      </c>
      <c r="C549" s="231"/>
      <c r="D549" s="232"/>
      <c r="E549" s="100"/>
      <c r="F549" s="230"/>
      <c r="G549" s="32"/>
    </row>
    <row r="550" spans="1:20" ht="32.25" customHeight="1" x14ac:dyDescent="0.25">
      <c r="A550" s="233" t="s">
        <v>1722</v>
      </c>
      <c r="B550" s="4" t="s">
        <v>393</v>
      </c>
      <c r="C550" s="209"/>
      <c r="D550" s="170"/>
      <c r="E550" s="235"/>
      <c r="F550" s="235"/>
      <c r="G550" s="32"/>
    </row>
    <row r="551" spans="1:20" x14ac:dyDescent="0.25">
      <c r="A551" s="230"/>
      <c r="B551" s="16" t="s">
        <v>849</v>
      </c>
      <c r="C551" s="6">
        <f>5*6*12</f>
        <v>360</v>
      </c>
      <c r="D551" s="25" t="s">
        <v>848</v>
      </c>
      <c r="E551" s="12">
        <v>100000</v>
      </c>
      <c r="F551" s="12">
        <f>C551*E551</f>
        <v>36000000</v>
      </c>
      <c r="G551" s="32"/>
    </row>
    <row r="552" spans="1:20" x14ac:dyDescent="0.25">
      <c r="A552" s="230"/>
      <c r="B552" s="230"/>
      <c r="C552" s="184"/>
      <c r="D552" s="185"/>
      <c r="E552" s="20"/>
      <c r="F552" s="525"/>
      <c r="G552" s="32"/>
    </row>
    <row r="553" spans="1:20" x14ac:dyDescent="0.25">
      <c r="A553" s="236"/>
      <c r="B553" s="236" t="s">
        <v>27</v>
      </c>
      <c r="C553" s="184"/>
      <c r="D553" s="185"/>
      <c r="E553" s="20"/>
      <c r="F553" s="525">
        <f>SUM(F536:F552)</f>
        <v>104580000</v>
      </c>
      <c r="G553" s="32" t="s">
        <v>2626</v>
      </c>
      <c r="T553" s="1190">
        <f>F553</f>
        <v>104580000</v>
      </c>
    </row>
    <row r="554" spans="1:20" x14ac:dyDescent="0.25">
      <c r="A554" s="1807" t="s">
        <v>614</v>
      </c>
      <c r="B554" s="1807"/>
      <c r="C554" s="5" t="s">
        <v>28</v>
      </c>
      <c r="D554" s="1808" t="s">
        <v>1698</v>
      </c>
      <c r="E554" s="1808"/>
      <c r="F554" s="1808"/>
      <c r="G554" s="5"/>
    </row>
    <row r="555" spans="1:20" x14ac:dyDescent="0.25">
      <c r="A555" s="1807" t="s">
        <v>29</v>
      </c>
      <c r="B555" s="1807"/>
      <c r="C555" s="5"/>
      <c r="D555" s="1809" t="s">
        <v>2990</v>
      </c>
      <c r="E555" s="1809"/>
      <c r="F555" s="1809"/>
      <c r="G555" s="5"/>
    </row>
    <row r="556" spans="1:20" x14ac:dyDescent="0.25">
      <c r="A556" s="1"/>
      <c r="B556" s="3"/>
      <c r="C556" s="5"/>
      <c r="D556" s="7"/>
      <c r="E556" s="17"/>
      <c r="F556" s="17"/>
      <c r="G556" s="5"/>
    </row>
    <row r="557" spans="1:20" x14ac:dyDescent="0.25">
      <c r="A557" s="1"/>
      <c r="B557" s="3"/>
      <c r="C557" s="5"/>
      <c r="D557" s="7"/>
      <c r="E557" s="17"/>
      <c r="F557" s="17"/>
      <c r="G557" s="5"/>
    </row>
    <row r="558" spans="1:20" x14ac:dyDescent="0.25">
      <c r="A558" s="1807"/>
      <c r="B558" s="1807"/>
      <c r="C558" s="5"/>
      <c r="D558" s="7"/>
      <c r="E558" s="1807"/>
      <c r="F558" s="1807"/>
      <c r="G558" s="5"/>
    </row>
    <row r="559" spans="1:20" x14ac:dyDescent="0.25">
      <c r="A559" s="1807" t="s">
        <v>30</v>
      </c>
      <c r="B559" s="1807"/>
      <c r="C559" s="5"/>
      <c r="D559" s="1807" t="s">
        <v>2991</v>
      </c>
      <c r="E559" s="1807"/>
      <c r="F559" s="1807"/>
      <c r="G559" s="5"/>
    </row>
    <row r="560" spans="1:20" x14ac:dyDescent="0.25">
      <c r="A560" s="1800" t="s">
        <v>0</v>
      </c>
      <c r="B560" s="1800"/>
      <c r="C560" s="1800"/>
      <c r="D560" s="1800"/>
      <c r="E560" s="1800"/>
      <c r="F560" s="1800"/>
      <c r="G560" s="162"/>
    </row>
    <row r="561" spans="1:11" x14ac:dyDescent="0.25">
      <c r="A561" s="1800" t="s">
        <v>1</v>
      </c>
      <c r="B561" s="1800"/>
      <c r="C561" s="1800"/>
      <c r="D561" s="1800"/>
      <c r="E561" s="1800"/>
      <c r="F561" s="1800"/>
      <c r="G561" s="162"/>
    </row>
    <row r="562" spans="1:11" x14ac:dyDescent="0.25">
      <c r="A562" s="1800" t="s">
        <v>1697</v>
      </c>
      <c r="B562" s="1800"/>
      <c r="C562" s="1800"/>
      <c r="D562" s="1800"/>
      <c r="E562" s="1800"/>
      <c r="F562" s="1800"/>
      <c r="G562" s="162"/>
    </row>
    <row r="563" spans="1:11" x14ac:dyDescent="0.25">
      <c r="A563" s="138"/>
      <c r="B563" s="138"/>
      <c r="C563" s="138"/>
      <c r="D563" s="138"/>
      <c r="E563" s="138"/>
      <c r="F563" s="138"/>
      <c r="G563" s="162"/>
    </row>
    <row r="564" spans="1:11" x14ac:dyDescent="0.25">
      <c r="A564" s="162" t="s">
        <v>787</v>
      </c>
      <c r="B564" s="162" t="s">
        <v>1723</v>
      </c>
      <c r="C564" s="162"/>
      <c r="D564" s="162"/>
      <c r="E564" s="96" t="s">
        <v>6</v>
      </c>
      <c r="F564" s="454"/>
      <c r="G564" s="162"/>
    </row>
    <row r="565" spans="1:11" x14ac:dyDescent="0.25">
      <c r="A565" s="68" t="s">
        <v>277</v>
      </c>
      <c r="B565" s="68" t="s">
        <v>785</v>
      </c>
      <c r="C565" s="68"/>
      <c r="D565" s="138"/>
      <c r="E565" s="97" t="s">
        <v>573</v>
      </c>
      <c r="F565" s="97" t="s">
        <v>506</v>
      </c>
      <c r="G565" s="162"/>
    </row>
    <row r="566" spans="1:11" ht="48.75" x14ac:dyDescent="0.25">
      <c r="A566" s="68" t="s">
        <v>784</v>
      </c>
      <c r="B566" s="455" t="s">
        <v>1724</v>
      </c>
      <c r="C566" s="77"/>
      <c r="D566" s="138"/>
      <c r="E566" s="456"/>
      <c r="F566" s="68"/>
      <c r="G566" s="162"/>
    </row>
    <row r="567" spans="1:11" x14ac:dyDescent="0.25">
      <c r="A567" s="162" t="s">
        <v>579</v>
      </c>
      <c r="B567" s="162" t="s">
        <v>611</v>
      </c>
      <c r="C567" s="162"/>
      <c r="D567" s="162"/>
      <c r="E567" s="162"/>
      <c r="F567" s="162"/>
      <c r="G567" s="162"/>
    </row>
    <row r="568" spans="1:11" x14ac:dyDescent="0.25">
      <c r="A568" s="1904" t="s">
        <v>561</v>
      </c>
      <c r="B568" s="1904"/>
      <c r="C568" s="162"/>
      <c r="D568" s="68"/>
      <c r="E568" s="457"/>
      <c r="F568" s="162"/>
      <c r="G568" s="162"/>
    </row>
    <row r="570" spans="1:11" ht="24" x14ac:dyDescent="0.25">
      <c r="A570" s="91" t="s">
        <v>31</v>
      </c>
      <c r="B570" s="91" t="s">
        <v>12</v>
      </c>
      <c r="C570" s="1905" t="s">
        <v>13</v>
      </c>
      <c r="D570" s="1906"/>
      <c r="E570" s="94" t="s">
        <v>14</v>
      </c>
      <c r="F570" s="91" t="s">
        <v>15</v>
      </c>
      <c r="G570" s="64" t="s">
        <v>35</v>
      </c>
    </row>
    <row r="571" spans="1:11" x14ac:dyDescent="0.25">
      <c r="A571" s="64">
        <v>1</v>
      </c>
      <c r="B571" s="64">
        <v>2</v>
      </c>
      <c r="C571" s="1907">
        <v>3</v>
      </c>
      <c r="D571" s="1907"/>
      <c r="E571" s="95">
        <v>4</v>
      </c>
      <c r="F571" s="64">
        <v>5</v>
      </c>
      <c r="G571" s="64">
        <v>6</v>
      </c>
    </row>
    <row r="572" spans="1:11" x14ac:dyDescent="0.25">
      <c r="A572" s="64"/>
      <c r="B572" s="48" t="s">
        <v>1560</v>
      </c>
      <c r="C572" s="42"/>
      <c r="D572" s="43"/>
      <c r="E572" s="95"/>
      <c r="F572" s="64"/>
      <c r="G572" s="65"/>
    </row>
    <row r="573" spans="1:11" x14ac:dyDescent="0.25">
      <c r="A573" s="48" t="s">
        <v>824</v>
      </c>
      <c r="B573" s="87" t="s">
        <v>323</v>
      </c>
      <c r="C573" s="42"/>
      <c r="D573" s="43"/>
      <c r="E573" s="95"/>
      <c r="F573" s="64"/>
      <c r="G573" s="65"/>
    </row>
    <row r="574" spans="1:11" ht="24.75" x14ac:dyDescent="0.25">
      <c r="A574" s="48" t="s">
        <v>825</v>
      </c>
      <c r="B574" s="87" t="s">
        <v>88</v>
      </c>
      <c r="C574" s="42"/>
      <c r="D574" s="43"/>
      <c r="E574" s="95"/>
      <c r="F574" s="64"/>
      <c r="G574" s="65"/>
    </row>
    <row r="575" spans="1:11" ht="24.75" x14ac:dyDescent="0.25">
      <c r="A575" s="458" t="s">
        <v>846</v>
      </c>
      <c r="B575" s="87" t="s">
        <v>845</v>
      </c>
      <c r="C575" s="42"/>
      <c r="D575" s="43"/>
      <c r="E575" s="95"/>
      <c r="F575" s="64"/>
      <c r="G575" s="65"/>
    </row>
    <row r="576" spans="1:11" x14ac:dyDescent="0.25">
      <c r="A576" s="64"/>
      <c r="B576" s="90" t="s">
        <v>1561</v>
      </c>
      <c r="C576" s="57">
        <v>1</v>
      </c>
      <c r="D576" s="58" t="s">
        <v>91</v>
      </c>
      <c r="E576" s="379">
        <v>68000</v>
      </c>
      <c r="F576" s="379">
        <f>C576*E576</f>
        <v>68000</v>
      </c>
      <c r="G576" s="87"/>
      <c r="K576" s="1190"/>
    </row>
    <row r="577" spans="1:11" x14ac:dyDescent="0.25">
      <c r="A577" s="64"/>
      <c r="B577" s="90" t="s">
        <v>311</v>
      </c>
      <c r="C577" s="57">
        <v>130</v>
      </c>
      <c r="D577" s="58" t="s">
        <v>312</v>
      </c>
      <c r="E577" s="379">
        <v>250</v>
      </c>
      <c r="F577" s="379">
        <f>C577*E577</f>
        <v>32500</v>
      </c>
      <c r="G577" s="87"/>
      <c r="K577" s="1190"/>
    </row>
    <row r="578" spans="1:11" x14ac:dyDescent="0.25">
      <c r="A578" s="64"/>
      <c r="B578" s="90"/>
      <c r="C578" s="57"/>
      <c r="D578" s="58"/>
      <c r="E578" s="379"/>
      <c r="F578" s="379"/>
      <c r="G578" s="87"/>
    </row>
    <row r="579" spans="1:11" x14ac:dyDescent="0.25">
      <c r="A579" s="65" t="s">
        <v>2296</v>
      </c>
      <c r="B579" s="90" t="s">
        <v>1271</v>
      </c>
      <c r="C579" s="57"/>
      <c r="D579" s="58"/>
      <c r="E579" s="379"/>
      <c r="F579" s="379"/>
      <c r="G579" s="87"/>
    </row>
    <row r="580" spans="1:11" ht="24" x14ac:dyDescent="0.25">
      <c r="A580" s="65"/>
      <c r="B580" s="90" t="s">
        <v>1562</v>
      </c>
      <c r="C580" s="57">
        <v>1</v>
      </c>
      <c r="D580" s="58" t="s">
        <v>123</v>
      </c>
      <c r="E580" s="379">
        <v>478940</v>
      </c>
      <c r="F580" s="379">
        <f>C580*E580</f>
        <v>478940</v>
      </c>
      <c r="G580" s="87"/>
      <c r="K580" s="1190"/>
    </row>
    <row r="581" spans="1:11" x14ac:dyDescent="0.25">
      <c r="A581" s="20"/>
      <c r="B581" s="182" t="s">
        <v>2803</v>
      </c>
      <c r="C581" s="167">
        <v>1</v>
      </c>
      <c r="D581" s="168" t="s">
        <v>93</v>
      </c>
      <c r="E581" s="99">
        <v>208000</v>
      </c>
      <c r="F581" s="99">
        <f>C581*E581</f>
        <v>208000</v>
      </c>
      <c r="G581" s="179"/>
      <c r="K581" s="1190"/>
    </row>
    <row r="582" spans="1:11" x14ac:dyDescent="0.25">
      <c r="A582" s="65"/>
      <c r="B582" s="90"/>
      <c r="C582" s="57"/>
      <c r="D582" s="58"/>
      <c r="E582" s="379"/>
      <c r="F582" s="379"/>
      <c r="G582" s="87"/>
    </row>
    <row r="583" spans="1:11" ht="24.75" x14ac:dyDescent="0.25">
      <c r="A583" s="65" t="s">
        <v>826</v>
      </c>
      <c r="B583" s="60" t="s">
        <v>354</v>
      </c>
      <c r="C583" s="41"/>
      <c r="D583" s="89"/>
      <c r="E583" s="59"/>
      <c r="F583" s="50"/>
      <c r="G583" s="87"/>
    </row>
    <row r="584" spans="1:11" x14ac:dyDescent="0.25">
      <c r="A584" s="65"/>
      <c r="B584" s="40" t="s">
        <v>1725</v>
      </c>
      <c r="C584" s="41">
        <v>100</v>
      </c>
      <c r="D584" s="89" t="s">
        <v>315</v>
      </c>
      <c r="E584" s="59">
        <v>15000</v>
      </c>
      <c r="F584" s="50">
        <f>E584*C584</f>
        <v>1500000</v>
      </c>
      <c r="G584" s="87"/>
      <c r="K584" s="175"/>
    </row>
    <row r="585" spans="1:11" x14ac:dyDescent="0.25">
      <c r="A585" s="65"/>
      <c r="B585" s="40"/>
      <c r="C585" s="41"/>
      <c r="D585" s="89"/>
      <c r="E585" s="59"/>
      <c r="F585" s="50"/>
      <c r="G585" s="87"/>
    </row>
    <row r="586" spans="1:11" ht="24.75" x14ac:dyDescent="0.25">
      <c r="A586" s="65" t="s">
        <v>829</v>
      </c>
      <c r="B586" s="60" t="s">
        <v>376</v>
      </c>
      <c r="C586" s="41"/>
      <c r="D586" s="89"/>
      <c r="E586" s="59"/>
      <c r="F586" s="50"/>
      <c r="G586" s="87"/>
    </row>
    <row r="587" spans="1:11" x14ac:dyDescent="0.25">
      <c r="A587" s="65"/>
      <c r="B587" s="40" t="s">
        <v>377</v>
      </c>
      <c r="C587" s="41">
        <v>1</v>
      </c>
      <c r="D587" s="89" t="s">
        <v>102</v>
      </c>
      <c r="E587" s="59">
        <v>90000</v>
      </c>
      <c r="F587" s="50">
        <f>E587*C587</f>
        <v>90000</v>
      </c>
      <c r="G587" s="87"/>
      <c r="K587" s="175"/>
    </row>
    <row r="588" spans="1:11" x14ac:dyDescent="0.25">
      <c r="A588" s="65"/>
      <c r="B588" s="459"/>
      <c r="C588" s="460"/>
      <c r="D588" s="461"/>
      <c r="E588" s="49"/>
      <c r="F588" s="462"/>
      <c r="G588" s="87"/>
    </row>
    <row r="589" spans="1:11" x14ac:dyDescent="0.25">
      <c r="A589" s="65"/>
      <c r="B589" s="40"/>
      <c r="C589" s="41"/>
      <c r="D589" s="89"/>
      <c r="E589" s="59"/>
      <c r="F589" s="50"/>
      <c r="G589" s="87"/>
    </row>
    <row r="590" spans="1:11" x14ac:dyDescent="0.25">
      <c r="A590" s="65" t="s">
        <v>832</v>
      </c>
      <c r="B590" s="40" t="s">
        <v>340</v>
      </c>
      <c r="C590" s="41"/>
      <c r="D590" s="89"/>
      <c r="E590" s="59"/>
      <c r="F590" s="50"/>
      <c r="G590" s="87"/>
    </row>
    <row r="591" spans="1:11" x14ac:dyDescent="0.25">
      <c r="A591" s="40"/>
      <c r="B591" s="40"/>
      <c r="C591" s="41"/>
      <c r="D591" s="89"/>
      <c r="E591" s="49"/>
      <c r="F591" s="463"/>
      <c r="G591" s="87"/>
    </row>
    <row r="592" spans="1:11" ht="48.75" x14ac:dyDescent="0.25">
      <c r="A592" s="65" t="s">
        <v>833</v>
      </c>
      <c r="B592" s="60" t="s">
        <v>809</v>
      </c>
      <c r="C592" s="41"/>
      <c r="D592" s="89"/>
      <c r="E592" s="49"/>
      <c r="F592" s="463"/>
      <c r="G592" s="87"/>
    </row>
    <row r="593" spans="1:11" x14ac:dyDescent="0.25">
      <c r="A593" s="65"/>
      <c r="B593" s="40" t="s">
        <v>1563</v>
      </c>
      <c r="C593" s="41">
        <v>30</v>
      </c>
      <c r="D593" s="89" t="s">
        <v>315</v>
      </c>
      <c r="E593" s="49">
        <v>100000</v>
      </c>
      <c r="F593" s="463">
        <f>E593*C593</f>
        <v>3000000</v>
      </c>
      <c r="G593" s="87"/>
      <c r="J593" s="175"/>
    </row>
    <row r="594" spans="1:11" x14ac:dyDescent="0.25">
      <c r="A594" s="65"/>
      <c r="B594" s="40" t="s">
        <v>1564</v>
      </c>
      <c r="C594" s="41">
        <v>15</v>
      </c>
      <c r="D594" s="89" t="s">
        <v>315</v>
      </c>
      <c r="E594" s="49">
        <v>100000</v>
      </c>
      <c r="F594" s="463">
        <f>E594*C594</f>
        <v>1500000</v>
      </c>
      <c r="G594" s="87"/>
      <c r="J594" s="175"/>
    </row>
    <row r="595" spans="1:11" x14ac:dyDescent="0.25">
      <c r="A595" s="65"/>
      <c r="B595" s="40"/>
      <c r="C595" s="41"/>
      <c r="D595" s="89"/>
      <c r="E595" s="59"/>
      <c r="F595" s="463"/>
      <c r="G595" s="87"/>
    </row>
    <row r="596" spans="1:11" x14ac:dyDescent="0.25">
      <c r="A596" s="464"/>
      <c r="B596" s="1918" t="s">
        <v>27</v>
      </c>
      <c r="C596" s="1919"/>
      <c r="D596" s="1919"/>
      <c r="E596" s="1919"/>
      <c r="F596" s="50">
        <f>SUM(F576:F595)</f>
        <v>6877440</v>
      </c>
      <c r="G596" s="87" t="s">
        <v>2387</v>
      </c>
      <c r="J596" s="175">
        <f>F596</f>
        <v>6877440</v>
      </c>
      <c r="K596" s="175"/>
    </row>
    <row r="597" spans="1:11" x14ac:dyDescent="0.25">
      <c r="A597" s="1807" t="s">
        <v>614</v>
      </c>
      <c r="B597" s="1807"/>
      <c r="C597" s="5" t="s">
        <v>28</v>
      </c>
      <c r="D597" s="1808" t="s">
        <v>1698</v>
      </c>
      <c r="E597" s="1808"/>
      <c r="F597" s="1808"/>
      <c r="G597" s="5"/>
    </row>
    <row r="598" spans="1:11" x14ac:dyDescent="0.25">
      <c r="A598" s="1807" t="s">
        <v>29</v>
      </c>
      <c r="B598" s="1807"/>
      <c r="C598" s="5"/>
      <c r="D598" s="1809" t="s">
        <v>2990</v>
      </c>
      <c r="E598" s="1809"/>
      <c r="F598" s="1809"/>
      <c r="G598" s="5"/>
    </row>
    <row r="599" spans="1:11" x14ac:dyDescent="0.25">
      <c r="A599" s="1"/>
      <c r="B599" s="3"/>
      <c r="C599" s="5"/>
      <c r="D599" s="7"/>
      <c r="E599" s="17"/>
      <c r="F599" s="17"/>
      <c r="G599" s="5"/>
    </row>
    <row r="600" spans="1:11" x14ac:dyDescent="0.25">
      <c r="A600" s="1"/>
      <c r="B600" s="3"/>
      <c r="C600" s="5"/>
      <c r="D600" s="7"/>
      <c r="E600" s="17"/>
      <c r="F600" s="17"/>
      <c r="G600" s="5"/>
    </row>
    <row r="601" spans="1:11" x14ac:dyDescent="0.25">
      <c r="A601" s="1807"/>
      <c r="B601" s="1807"/>
      <c r="C601" s="5"/>
      <c r="D601" s="7"/>
      <c r="E601" s="1807"/>
      <c r="F601" s="1807"/>
      <c r="G601" s="5"/>
    </row>
    <row r="602" spans="1:11" x14ac:dyDescent="0.25">
      <c r="A602" s="1807" t="s">
        <v>30</v>
      </c>
      <c r="B602" s="1807"/>
      <c r="C602" s="5"/>
      <c r="D602" s="1807" t="s">
        <v>2991</v>
      </c>
      <c r="E602" s="1807"/>
      <c r="F602" s="1807"/>
      <c r="G602" s="5"/>
    </row>
    <row r="603" spans="1:11" x14ac:dyDescent="0.25">
      <c r="A603" s="1840" t="s">
        <v>0</v>
      </c>
      <c r="B603" s="1840"/>
      <c r="C603" s="1840"/>
      <c r="D603" s="1840"/>
      <c r="E603" s="1840"/>
      <c r="F603" s="1840"/>
      <c r="G603" s="1840"/>
    </row>
    <row r="604" spans="1:11" x14ac:dyDescent="0.25">
      <c r="A604" s="1840" t="s">
        <v>1</v>
      </c>
      <c r="B604" s="1840"/>
      <c r="C604" s="1840"/>
      <c r="D604" s="1840"/>
      <c r="E604" s="1840"/>
      <c r="F604" s="1840"/>
      <c r="G604" s="1840"/>
    </row>
    <row r="605" spans="1:11" x14ac:dyDescent="0.25">
      <c r="A605" s="1840" t="s">
        <v>1697</v>
      </c>
      <c r="B605" s="1840"/>
      <c r="C605" s="1840"/>
      <c r="D605" s="1840"/>
      <c r="E605" s="1840"/>
      <c r="F605" s="1840"/>
      <c r="G605" s="1840"/>
    </row>
    <row r="606" spans="1:11" ht="24" x14ac:dyDescent="0.25">
      <c r="A606" s="1191" t="s">
        <v>635</v>
      </c>
      <c r="B606" s="1192" t="s">
        <v>1436</v>
      </c>
      <c r="C606" s="1161"/>
      <c r="D606" s="1187"/>
      <c r="E606" s="1193"/>
      <c r="F606" s="1193"/>
      <c r="G606" s="1189"/>
    </row>
    <row r="607" spans="1:11" x14ac:dyDescent="0.25">
      <c r="A607" s="1164" t="s">
        <v>637</v>
      </c>
      <c r="B607" s="1194" t="s">
        <v>2297</v>
      </c>
      <c r="C607" s="1161"/>
      <c r="D607" s="1187"/>
      <c r="E607" s="1163" t="s">
        <v>6</v>
      </c>
      <c r="F607" s="1163"/>
      <c r="G607" s="1189"/>
    </row>
    <row r="608" spans="1:11" ht="42" customHeight="1" x14ac:dyDescent="0.25">
      <c r="A608" s="1164" t="s">
        <v>402</v>
      </c>
      <c r="B608" s="1195" t="s">
        <v>2298</v>
      </c>
      <c r="C608" s="1161"/>
      <c r="D608" s="1187"/>
      <c r="E608" s="1196" t="s">
        <v>9</v>
      </c>
      <c r="F608" s="1188"/>
      <c r="G608" s="1189"/>
    </row>
    <row r="609" spans="1:7" ht="24" x14ac:dyDescent="0.25">
      <c r="A609" s="1197" t="s">
        <v>38</v>
      </c>
      <c r="B609" s="1198"/>
      <c r="C609" s="1161"/>
      <c r="D609" s="1187"/>
      <c r="E609" s="1193"/>
      <c r="F609" s="1193"/>
      <c r="G609" s="1189"/>
    </row>
    <row r="610" spans="1:7" x14ac:dyDescent="0.25">
      <c r="A610" s="1199" t="s">
        <v>11</v>
      </c>
      <c r="B610" s="1189"/>
      <c r="C610" s="1161"/>
      <c r="D610" s="1187"/>
      <c r="E610" s="1193"/>
      <c r="F610" s="1193"/>
      <c r="G610" s="1189"/>
    </row>
    <row r="611" spans="1:7" ht="24" x14ac:dyDescent="0.25">
      <c r="A611" s="1165"/>
      <c r="B611" s="1165" t="s">
        <v>12</v>
      </c>
      <c r="C611" s="1843" t="s">
        <v>13</v>
      </c>
      <c r="D611" s="1843"/>
      <c r="E611" s="1200" t="s">
        <v>14</v>
      </c>
      <c r="F611" s="1165" t="s">
        <v>15</v>
      </c>
      <c r="G611" s="1168" t="s">
        <v>301</v>
      </c>
    </row>
    <row r="612" spans="1:7" x14ac:dyDescent="0.25">
      <c r="A612" s="1169">
        <v>1</v>
      </c>
      <c r="B612" s="1169">
        <v>2</v>
      </c>
      <c r="C612" s="1874">
        <v>3</v>
      </c>
      <c r="D612" s="1875"/>
      <c r="E612" s="1201">
        <v>4</v>
      </c>
      <c r="F612" s="1170">
        <v>5</v>
      </c>
      <c r="G612" s="1173">
        <v>6</v>
      </c>
    </row>
    <row r="613" spans="1:7" x14ac:dyDescent="0.25">
      <c r="A613" s="1202"/>
      <c r="B613" s="1202" t="s">
        <v>1438</v>
      </c>
      <c r="C613" s="1203"/>
      <c r="D613" s="1204"/>
      <c r="E613" s="1205"/>
      <c r="F613" s="1168"/>
      <c r="G613" s="1168"/>
    </row>
    <row r="614" spans="1:7" x14ac:dyDescent="0.25">
      <c r="A614" s="1206" t="s">
        <v>1439</v>
      </c>
      <c r="B614" s="1207" t="s">
        <v>86</v>
      </c>
      <c r="C614" s="1170"/>
      <c r="D614" s="1171"/>
      <c r="E614" s="1169"/>
      <c r="F614" s="1169"/>
      <c r="G614" s="1169"/>
    </row>
    <row r="615" spans="1:7" ht="24" x14ac:dyDescent="0.25">
      <c r="A615" s="1206" t="s">
        <v>1440</v>
      </c>
      <c r="B615" s="1207" t="s">
        <v>88</v>
      </c>
      <c r="C615" s="1170"/>
      <c r="D615" s="1171"/>
      <c r="E615" s="1169"/>
      <c r="F615" s="1169"/>
      <c r="G615" s="1169"/>
    </row>
    <row r="616" spans="1:7" ht="48.75" x14ac:dyDescent="0.25">
      <c r="A616" s="1206" t="s">
        <v>1441</v>
      </c>
      <c r="B616" s="1183" t="s">
        <v>446</v>
      </c>
      <c r="C616" s="1184"/>
      <c r="D616" s="1208"/>
      <c r="E616" s="1185"/>
      <c r="F616" s="1185"/>
      <c r="G616" s="1209"/>
    </row>
    <row r="617" spans="1:7" ht="48.75" x14ac:dyDescent="0.25">
      <c r="A617" s="1206"/>
      <c r="B617" s="1183" t="s">
        <v>2299</v>
      </c>
      <c r="C617" s="1184">
        <v>70</v>
      </c>
      <c r="D617" s="1208" t="s">
        <v>315</v>
      </c>
      <c r="E617" s="1185">
        <v>15000</v>
      </c>
      <c r="F617" s="1185">
        <f>E617*C617</f>
        <v>1050000</v>
      </c>
      <c r="G617" s="1209"/>
    </row>
    <row r="618" spans="1:7" x14ac:dyDescent="0.25">
      <c r="A618" s="1210"/>
      <c r="B618" s="1211"/>
      <c r="C618" s="1184"/>
      <c r="D618" s="1208"/>
      <c r="E618" s="1185"/>
      <c r="F618" s="1185"/>
      <c r="G618" s="1209"/>
    </row>
    <row r="619" spans="1:7" ht="24.75" x14ac:dyDescent="0.25">
      <c r="A619" s="1206" t="s">
        <v>1442</v>
      </c>
      <c r="B619" s="1183" t="s">
        <v>189</v>
      </c>
      <c r="C619" s="1184"/>
      <c r="D619" s="1208"/>
      <c r="E619" s="1185"/>
      <c r="F619" s="1185"/>
      <c r="G619" s="1209"/>
    </row>
    <row r="620" spans="1:7" x14ac:dyDescent="0.25">
      <c r="A620" s="1175"/>
      <c r="B620" s="1183" t="s">
        <v>976</v>
      </c>
      <c r="C620" s="1184">
        <v>1</v>
      </c>
      <c r="D620" s="1208" t="s">
        <v>123</v>
      </c>
      <c r="E620" s="1185">
        <v>90000</v>
      </c>
      <c r="F620" s="1185">
        <f>E620*C620</f>
        <v>90000</v>
      </c>
      <c r="G620" s="1209"/>
    </row>
    <row r="621" spans="1:7" x14ac:dyDescent="0.25">
      <c r="A621" s="1206"/>
      <c r="B621" s="1212"/>
      <c r="C621" s="1184"/>
      <c r="D621" s="1208"/>
      <c r="E621" s="1185"/>
      <c r="F621" s="1185"/>
      <c r="G621" s="1209"/>
    </row>
    <row r="622" spans="1:7" x14ac:dyDescent="0.25">
      <c r="A622" s="1206"/>
      <c r="B622" s="1212"/>
      <c r="C622" s="1184"/>
      <c r="D622" s="1208"/>
      <c r="E622" s="1185"/>
      <c r="F622" s="1185"/>
      <c r="G622" s="1209"/>
    </row>
    <row r="623" spans="1:7" ht="24.75" x14ac:dyDescent="0.25">
      <c r="A623" s="1206" t="s">
        <v>1443</v>
      </c>
      <c r="B623" s="1212" t="s">
        <v>1444</v>
      </c>
      <c r="C623" s="1184"/>
      <c r="D623" s="1208"/>
      <c r="E623" s="1185" t="s">
        <v>521</v>
      </c>
      <c r="F623" s="1185"/>
      <c r="G623" s="1209"/>
    </row>
    <row r="624" spans="1:7" x14ac:dyDescent="0.25">
      <c r="A624" s="1206"/>
      <c r="B624" s="1211" t="s">
        <v>1445</v>
      </c>
      <c r="C624" s="1184">
        <v>2</v>
      </c>
      <c r="D624" s="1208" t="s">
        <v>1446</v>
      </c>
      <c r="E624" s="1185">
        <v>300000</v>
      </c>
      <c r="F624" s="1185">
        <f>E624*C624</f>
        <v>600000</v>
      </c>
      <c r="G624" s="1209"/>
    </row>
    <row r="625" spans="1:7" x14ac:dyDescent="0.25">
      <c r="A625" s="1206"/>
      <c r="B625" s="1211"/>
      <c r="C625" s="1184"/>
      <c r="D625" s="1208"/>
      <c r="E625" s="1185"/>
      <c r="F625" s="1185"/>
      <c r="G625" s="1209"/>
    </row>
    <row r="626" spans="1:7" x14ac:dyDescent="0.25">
      <c r="A626" s="1211"/>
      <c r="B626" s="1213" t="s">
        <v>1447</v>
      </c>
      <c r="C626" s="1184"/>
      <c r="D626" s="1208"/>
      <c r="E626" s="1185"/>
      <c r="F626" s="1185"/>
      <c r="G626" s="1209"/>
    </row>
    <row r="627" spans="1:7" x14ac:dyDescent="0.25">
      <c r="A627" s="1211"/>
      <c r="B627" s="1211"/>
      <c r="C627" s="1184"/>
      <c r="D627" s="1208"/>
      <c r="E627" s="1185"/>
      <c r="F627" s="1185"/>
      <c r="G627" s="1209"/>
    </row>
    <row r="628" spans="1:7" x14ac:dyDescent="0.25">
      <c r="A628" s="1206" t="s">
        <v>1439</v>
      </c>
      <c r="B628" s="1207" t="s">
        <v>86</v>
      </c>
      <c r="C628" s="1170"/>
      <c r="D628" s="1171"/>
      <c r="E628" s="1169"/>
      <c r="F628" s="1169"/>
      <c r="G628" s="1169"/>
    </row>
    <row r="629" spans="1:7" ht="24" x14ac:dyDescent="0.25">
      <c r="A629" s="1206" t="s">
        <v>1440</v>
      </c>
      <c r="B629" s="1207" t="s">
        <v>88</v>
      </c>
      <c r="C629" s="1170"/>
      <c r="D629" s="1171"/>
      <c r="E629" s="1169"/>
      <c r="F629" s="1169"/>
      <c r="G629" s="1169"/>
    </row>
    <row r="630" spans="1:7" ht="48.75" x14ac:dyDescent="0.25">
      <c r="A630" s="1206" t="s">
        <v>1441</v>
      </c>
      <c r="B630" s="1183" t="s">
        <v>446</v>
      </c>
      <c r="C630" s="1184"/>
      <c r="D630" s="1208"/>
      <c r="E630" s="1185"/>
      <c r="F630" s="1185"/>
      <c r="G630" s="1209"/>
    </row>
    <row r="631" spans="1:7" ht="24.75" x14ac:dyDescent="0.25">
      <c r="A631" s="1214"/>
      <c r="B631" s="1183" t="s">
        <v>1448</v>
      </c>
      <c r="C631" s="1184">
        <f>35*2*12</f>
        <v>840</v>
      </c>
      <c r="D631" s="1208" t="s">
        <v>315</v>
      </c>
      <c r="E631" s="1185">
        <v>4620</v>
      </c>
      <c r="F631" s="1185">
        <f>E631*C631</f>
        <v>3880800</v>
      </c>
      <c r="G631" s="1209"/>
    </row>
    <row r="632" spans="1:7" x14ac:dyDescent="0.25">
      <c r="A632" s="1210"/>
      <c r="B632" s="1212"/>
      <c r="C632" s="1184"/>
      <c r="D632" s="1208"/>
      <c r="E632" s="1185"/>
      <c r="F632" s="1185"/>
      <c r="G632" s="1209"/>
    </row>
    <row r="633" spans="1:7" x14ac:dyDescent="0.25">
      <c r="A633" s="1206" t="s">
        <v>1449</v>
      </c>
      <c r="B633" s="1211" t="s">
        <v>1271</v>
      </c>
      <c r="C633" s="1184"/>
      <c r="D633" s="1208"/>
      <c r="E633" s="1185"/>
      <c r="F633" s="1185"/>
      <c r="G633" s="1209"/>
    </row>
    <row r="634" spans="1:7" ht="24.75" x14ac:dyDescent="0.25">
      <c r="A634" s="1210"/>
      <c r="B634" s="1212" t="s">
        <v>1450</v>
      </c>
      <c r="C634" s="1184">
        <v>24</v>
      </c>
      <c r="D634" s="1208" t="s">
        <v>123</v>
      </c>
      <c r="E634" s="1185">
        <v>10000</v>
      </c>
      <c r="F634" s="1185">
        <f>E634*C634</f>
        <v>240000</v>
      </c>
      <c r="G634" s="1209"/>
    </row>
    <row r="635" spans="1:7" x14ac:dyDescent="0.25">
      <c r="A635" s="1210"/>
      <c r="B635" s="1211" t="s">
        <v>1451</v>
      </c>
      <c r="C635" s="1184">
        <v>2</v>
      </c>
      <c r="D635" s="1208" t="s">
        <v>460</v>
      </c>
      <c r="E635" s="1185">
        <v>300000</v>
      </c>
      <c r="F635" s="1185">
        <f>E635*C635</f>
        <v>600000</v>
      </c>
      <c r="G635" s="1209"/>
    </row>
    <row r="636" spans="1:7" x14ac:dyDescent="0.25">
      <c r="A636" s="1206"/>
      <c r="B636" s="1207"/>
      <c r="C636" s="1170"/>
      <c r="D636" s="1171"/>
      <c r="E636" s="1215"/>
      <c r="F636" s="1215"/>
      <c r="G636" s="1165"/>
    </row>
    <row r="637" spans="1:7" x14ac:dyDescent="0.25">
      <c r="A637" s="1877" t="s">
        <v>27</v>
      </c>
      <c r="B637" s="1878"/>
      <c r="C637" s="1878"/>
      <c r="D637" s="1878"/>
      <c r="E637" s="1879"/>
      <c r="F637" s="1185">
        <f>SUM(F613:F636)</f>
        <v>6460800</v>
      </c>
      <c r="G637" s="1183"/>
    </row>
    <row r="638" spans="1:7" x14ac:dyDescent="0.25">
      <c r="A638" s="1942"/>
      <c r="B638" s="1942"/>
      <c r="C638" s="1161"/>
      <c r="D638" s="1842"/>
      <c r="E638" s="1842"/>
      <c r="F638" s="1842"/>
      <c r="G638" s="1189"/>
    </row>
    <row r="639" spans="1:7" x14ac:dyDescent="0.25">
      <c r="A639" s="1840" t="s">
        <v>614</v>
      </c>
      <c r="B639" s="1840"/>
      <c r="C639" s="1161" t="s">
        <v>28</v>
      </c>
      <c r="D639" s="1842" t="s">
        <v>1698</v>
      </c>
      <c r="E639" s="1842"/>
      <c r="F639" s="1842"/>
      <c r="G639" s="1161"/>
    </row>
    <row r="640" spans="1:7" x14ac:dyDescent="0.25">
      <c r="A640" s="1840" t="s">
        <v>29</v>
      </c>
      <c r="B640" s="1840"/>
      <c r="C640" s="1161"/>
      <c r="D640" s="1844" t="s">
        <v>1699</v>
      </c>
      <c r="E640" s="1844"/>
      <c r="F640" s="1844"/>
      <c r="G640" s="1161"/>
    </row>
    <row r="641" spans="1:7" x14ac:dyDescent="0.25">
      <c r="A641" s="1188"/>
      <c r="B641" s="1189"/>
      <c r="C641" s="1161"/>
      <c r="D641" s="1187"/>
      <c r="E641" s="1162"/>
      <c r="F641" s="1162"/>
      <c r="G641" s="1161"/>
    </row>
    <row r="642" spans="1:7" x14ac:dyDescent="0.25">
      <c r="A642" s="1188"/>
      <c r="B642" s="1189"/>
      <c r="C642" s="1161"/>
      <c r="D642" s="1187"/>
      <c r="E642" s="1162"/>
      <c r="F642" s="1216"/>
      <c r="G642" s="1161"/>
    </row>
    <row r="643" spans="1:7" x14ac:dyDescent="0.25">
      <c r="A643" s="1840"/>
      <c r="B643" s="1840"/>
      <c r="C643" s="1161"/>
      <c r="D643" s="1187"/>
      <c r="E643" s="1974"/>
      <c r="F643" s="1840"/>
      <c r="G643" s="1161"/>
    </row>
    <row r="644" spans="1:7" x14ac:dyDescent="0.25">
      <c r="A644" s="1840" t="s">
        <v>30</v>
      </c>
      <c r="B644" s="1840"/>
      <c r="C644" s="1161"/>
      <c r="D644" s="1840" t="s">
        <v>615</v>
      </c>
      <c r="E644" s="1840"/>
      <c r="F644" s="1840"/>
      <c r="G644" s="1161"/>
    </row>
    <row r="645" spans="1:7" x14ac:dyDescent="0.25">
      <c r="A645" s="1800" t="s">
        <v>0</v>
      </c>
      <c r="B645" s="1800"/>
      <c r="C645" s="1800"/>
      <c r="D645" s="1800"/>
      <c r="E645" s="1800"/>
      <c r="F645" s="1800"/>
    </row>
    <row r="646" spans="1:7" x14ac:dyDescent="0.25">
      <c r="A646" s="1800" t="s">
        <v>1</v>
      </c>
      <c r="B646" s="1800"/>
      <c r="C646" s="1800"/>
      <c r="D646" s="1800"/>
      <c r="E646" s="1800"/>
      <c r="F646" s="1800"/>
    </row>
    <row r="647" spans="1:7" x14ac:dyDescent="0.25">
      <c r="A647" s="1800" t="s">
        <v>1697</v>
      </c>
      <c r="B647" s="1800"/>
      <c r="C647" s="1800"/>
      <c r="D647" s="1800"/>
      <c r="E647" s="1800"/>
      <c r="F647" s="1800"/>
    </row>
    <row r="648" spans="1:7" x14ac:dyDescent="0.25">
      <c r="A648" s="162" t="s">
        <v>787</v>
      </c>
      <c r="B648" s="162" t="s">
        <v>786</v>
      </c>
      <c r="C648" s="162"/>
      <c r="D648" s="162"/>
      <c r="E648" s="96" t="s">
        <v>6</v>
      </c>
      <c r="F648" s="96" t="s">
        <v>1726</v>
      </c>
    </row>
    <row r="649" spans="1:7" x14ac:dyDescent="0.25">
      <c r="A649" s="68" t="s">
        <v>277</v>
      </c>
      <c r="B649" s="68" t="s">
        <v>785</v>
      </c>
      <c r="C649" s="162"/>
      <c r="D649" s="162"/>
      <c r="E649" s="97" t="s">
        <v>573</v>
      </c>
      <c r="F649" s="97"/>
    </row>
    <row r="650" spans="1:7" ht="36.75" customHeight="1" x14ac:dyDescent="0.25">
      <c r="A650" s="202" t="s">
        <v>784</v>
      </c>
      <c r="B650" s="77" t="s">
        <v>823</v>
      </c>
      <c r="C650" s="162"/>
      <c r="D650" s="162"/>
      <c r="E650" s="162"/>
      <c r="F650" s="162"/>
    </row>
    <row r="651" spans="1:7" x14ac:dyDescent="0.25">
      <c r="A651" s="162" t="s">
        <v>579</v>
      </c>
      <c r="B651" s="162" t="s">
        <v>611</v>
      </c>
      <c r="C651" s="162"/>
      <c r="D651" s="162"/>
      <c r="E651" s="162"/>
      <c r="F651" s="162"/>
    </row>
    <row r="652" spans="1:7" x14ac:dyDescent="0.25">
      <c r="A652" s="1904" t="s">
        <v>561</v>
      </c>
      <c r="B652" s="1904"/>
      <c r="C652" s="162"/>
      <c r="D652" s="162"/>
      <c r="E652" s="162"/>
      <c r="F652" s="162"/>
    </row>
    <row r="653" spans="1:7" ht="24" x14ac:dyDescent="0.25">
      <c r="A653" s="192" t="s">
        <v>612</v>
      </c>
      <c r="B653" s="192" t="s">
        <v>12</v>
      </c>
      <c r="C653" s="1937" t="s">
        <v>13</v>
      </c>
      <c r="D653" s="1938"/>
      <c r="E653" s="519" t="s">
        <v>14</v>
      </c>
      <c r="F653" s="192" t="s">
        <v>15</v>
      </c>
      <c r="G653" s="137" t="s">
        <v>301</v>
      </c>
    </row>
    <row r="654" spans="1:7" x14ac:dyDescent="0.25">
      <c r="A654" s="92">
        <v>1</v>
      </c>
      <c r="B654" s="92">
        <v>2</v>
      </c>
      <c r="C654" s="1939">
        <v>3</v>
      </c>
      <c r="D654" s="1940"/>
      <c r="E654" s="520">
        <v>4</v>
      </c>
      <c r="F654" s="92">
        <v>5</v>
      </c>
      <c r="G654" s="137">
        <v>6</v>
      </c>
    </row>
    <row r="655" spans="1:7" x14ac:dyDescent="0.25">
      <c r="A655" s="178" t="s">
        <v>824</v>
      </c>
      <c r="B655" s="178" t="s">
        <v>351</v>
      </c>
      <c r="C655" s="184"/>
      <c r="D655" s="185"/>
      <c r="E655" s="20"/>
      <c r="F655" s="20"/>
      <c r="G655" s="32"/>
    </row>
    <row r="656" spans="1:7" x14ac:dyDescent="0.25">
      <c r="A656" s="178" t="s">
        <v>825</v>
      </c>
      <c r="B656" s="178" t="s">
        <v>780</v>
      </c>
      <c r="C656" s="205"/>
      <c r="D656" s="206"/>
      <c r="E656" s="179"/>
      <c r="F656" s="179"/>
      <c r="G656" s="32"/>
    </row>
    <row r="657" spans="1:10" ht="30" customHeight="1" x14ac:dyDescent="0.25">
      <c r="A657" s="178" t="s">
        <v>846</v>
      </c>
      <c r="B657" s="179" t="s">
        <v>778</v>
      </c>
      <c r="C657" s="205"/>
      <c r="D657" s="206"/>
      <c r="E657" s="179"/>
      <c r="F657" s="179"/>
      <c r="G657" s="32"/>
    </row>
    <row r="658" spans="1:10" x14ac:dyDescent="0.25">
      <c r="A658" s="178"/>
      <c r="B658" s="179" t="s">
        <v>308</v>
      </c>
      <c r="C658" s="142">
        <v>3</v>
      </c>
      <c r="D658" s="143" t="s">
        <v>91</v>
      </c>
      <c r="E658" s="98">
        <v>60000</v>
      </c>
      <c r="F658" s="181">
        <f>E658*C658</f>
        <v>180000</v>
      </c>
      <c r="G658" s="32" t="s">
        <v>2387</v>
      </c>
      <c r="J658" s="175">
        <f>F658</f>
        <v>180000</v>
      </c>
    </row>
    <row r="659" spans="1:10" x14ac:dyDescent="0.25">
      <c r="A659" s="180"/>
      <c r="B659" s="179" t="s">
        <v>122</v>
      </c>
      <c r="C659" s="142">
        <v>65</v>
      </c>
      <c r="D659" s="143" t="s">
        <v>123</v>
      </c>
      <c r="E659" s="98">
        <v>8000</v>
      </c>
      <c r="F659" s="181">
        <f>E659*C659</f>
        <v>520000</v>
      </c>
      <c r="G659" s="32" t="s">
        <v>2387</v>
      </c>
      <c r="J659" s="175">
        <f t="shared" ref="J659:J673" si="19">F659</f>
        <v>520000</v>
      </c>
    </row>
    <row r="660" spans="1:10" x14ac:dyDescent="0.25">
      <c r="A660" s="145"/>
      <c r="B660" s="182" t="s">
        <v>306</v>
      </c>
      <c r="C660" s="167">
        <v>65</v>
      </c>
      <c r="D660" s="168" t="s">
        <v>123</v>
      </c>
      <c r="E660" s="99">
        <v>3000</v>
      </c>
      <c r="F660" s="181">
        <f>E660*C660</f>
        <v>195000</v>
      </c>
      <c r="G660" s="32" t="s">
        <v>2387</v>
      </c>
      <c r="J660" s="175">
        <f t="shared" si="19"/>
        <v>195000</v>
      </c>
    </row>
    <row r="661" spans="1:10" x14ac:dyDescent="0.25">
      <c r="A661" s="145"/>
      <c r="B661" s="182"/>
      <c r="C661" s="167"/>
      <c r="D661" s="168"/>
      <c r="E661" s="99"/>
      <c r="F661" s="181"/>
      <c r="G661" s="32" t="s">
        <v>2387</v>
      </c>
      <c r="J661" s="175">
        <f t="shared" si="19"/>
        <v>0</v>
      </c>
    </row>
    <row r="662" spans="1:10" ht="24" x14ac:dyDescent="0.25">
      <c r="A662" s="178" t="s">
        <v>826</v>
      </c>
      <c r="B662" s="182" t="s">
        <v>354</v>
      </c>
      <c r="C662" s="167"/>
      <c r="D662" s="168"/>
      <c r="E662" s="99"/>
      <c r="F662" s="181"/>
      <c r="G662" s="32" t="s">
        <v>2387</v>
      </c>
      <c r="J662" s="175">
        <f t="shared" si="19"/>
        <v>0</v>
      </c>
    </row>
    <row r="663" spans="1:10" ht="36" customHeight="1" x14ac:dyDescent="0.25">
      <c r="A663" s="145"/>
      <c r="B663" s="182" t="s">
        <v>827</v>
      </c>
      <c r="C663" s="167">
        <v>71</v>
      </c>
      <c r="D663" s="168" t="s">
        <v>315</v>
      </c>
      <c r="E663" s="99">
        <v>15000</v>
      </c>
      <c r="F663" s="181">
        <f>E663*C663</f>
        <v>1065000</v>
      </c>
      <c r="G663" s="32" t="s">
        <v>2387</v>
      </c>
      <c r="J663" s="175">
        <f t="shared" si="19"/>
        <v>1065000</v>
      </c>
    </row>
    <row r="664" spans="1:10" x14ac:dyDescent="0.25">
      <c r="A664" s="145"/>
      <c r="B664" s="182"/>
      <c r="C664" s="167"/>
      <c r="D664" s="168"/>
      <c r="E664" s="99"/>
      <c r="F664" s="181"/>
      <c r="G664" s="32" t="s">
        <v>2387</v>
      </c>
      <c r="J664" s="175">
        <f t="shared" si="19"/>
        <v>0</v>
      </c>
    </row>
    <row r="665" spans="1:10" ht="33" customHeight="1" x14ac:dyDescent="0.25">
      <c r="A665" s="178" t="s">
        <v>829</v>
      </c>
      <c r="B665" s="4" t="s">
        <v>773</v>
      </c>
      <c r="C665" s="184"/>
      <c r="D665" s="185"/>
      <c r="E665" s="20"/>
      <c r="F665" s="181"/>
      <c r="G665" s="32" t="s">
        <v>2387</v>
      </c>
      <c r="J665" s="175">
        <f t="shared" si="19"/>
        <v>0</v>
      </c>
    </row>
    <row r="666" spans="1:10" x14ac:dyDescent="0.25">
      <c r="A666" s="20"/>
      <c r="B666" s="16" t="s">
        <v>459</v>
      </c>
      <c r="C666" s="6">
        <v>1</v>
      </c>
      <c r="D666" s="183" t="s">
        <v>460</v>
      </c>
      <c r="E666" s="12">
        <v>90000</v>
      </c>
      <c r="F666" s="181">
        <f>E666*C666</f>
        <v>90000</v>
      </c>
      <c r="G666" s="32" t="s">
        <v>2387</v>
      </c>
      <c r="J666" s="175">
        <f t="shared" si="19"/>
        <v>90000</v>
      </c>
    </row>
    <row r="667" spans="1:10" x14ac:dyDescent="0.25">
      <c r="A667" s="207"/>
      <c r="B667" s="208"/>
      <c r="C667" s="209"/>
      <c r="D667" s="210"/>
      <c r="E667" s="211"/>
      <c r="F667" s="212"/>
      <c r="G667" s="32" t="s">
        <v>2387</v>
      </c>
      <c r="J667" s="175">
        <f t="shared" si="19"/>
        <v>0</v>
      </c>
    </row>
    <row r="668" spans="1:10" ht="24" x14ac:dyDescent="0.25">
      <c r="A668" s="178" t="s">
        <v>1727</v>
      </c>
      <c r="B668" s="338" t="s">
        <v>734</v>
      </c>
      <c r="C668" s="231"/>
      <c r="D668" s="232"/>
      <c r="E668" s="100"/>
      <c r="F668" s="230"/>
      <c r="G668" s="32" t="s">
        <v>2387</v>
      </c>
      <c r="J668" s="175">
        <f t="shared" si="19"/>
        <v>0</v>
      </c>
    </row>
    <row r="669" spans="1:10" x14ac:dyDescent="0.25">
      <c r="A669" s="20"/>
      <c r="B669" s="16"/>
      <c r="C669" s="6"/>
      <c r="D669" s="183"/>
      <c r="E669" s="12"/>
      <c r="F669" s="181"/>
      <c r="G669" s="32" t="s">
        <v>2387</v>
      </c>
      <c r="J669" s="175">
        <f t="shared" si="19"/>
        <v>0</v>
      </c>
    </row>
    <row r="670" spans="1:10" ht="32.25" customHeight="1" x14ac:dyDescent="0.25">
      <c r="A670" s="178" t="s">
        <v>830</v>
      </c>
      <c r="B670" s="4" t="s">
        <v>831</v>
      </c>
      <c r="C670" s="6"/>
      <c r="D670" s="183"/>
      <c r="E670" s="12"/>
      <c r="F670" s="189"/>
      <c r="G670" s="32" t="s">
        <v>2387</v>
      </c>
      <c r="J670" s="175">
        <f t="shared" si="19"/>
        <v>0</v>
      </c>
    </row>
    <row r="671" spans="1:10" x14ac:dyDescent="0.25">
      <c r="A671" s="16"/>
      <c r="B671" s="16" t="s">
        <v>496</v>
      </c>
      <c r="C671" s="6">
        <v>1</v>
      </c>
      <c r="D671" s="183" t="s">
        <v>102</v>
      </c>
      <c r="E671" s="12">
        <v>50000</v>
      </c>
      <c r="F671" s="189">
        <f>E671*C671</f>
        <v>50000</v>
      </c>
      <c r="G671" s="32" t="s">
        <v>2387</v>
      </c>
      <c r="J671" s="175">
        <f t="shared" si="19"/>
        <v>50000</v>
      </c>
    </row>
    <row r="672" spans="1:10" x14ac:dyDescent="0.25">
      <c r="A672" s="16"/>
      <c r="B672" s="16" t="s">
        <v>321</v>
      </c>
      <c r="C672" s="6">
        <v>5</v>
      </c>
      <c r="D672" s="183" t="s">
        <v>186</v>
      </c>
      <c r="E672" s="12">
        <v>3000</v>
      </c>
      <c r="F672" s="189">
        <f>E672*C672</f>
        <v>15000</v>
      </c>
      <c r="G672" s="32" t="s">
        <v>2387</v>
      </c>
      <c r="J672" s="175">
        <f t="shared" si="19"/>
        <v>15000</v>
      </c>
    </row>
    <row r="673" spans="1:19" x14ac:dyDescent="0.25">
      <c r="A673" s="16"/>
      <c r="B673" s="16" t="s">
        <v>335</v>
      </c>
      <c r="C673" s="6">
        <v>1</v>
      </c>
      <c r="D673" s="183" t="s">
        <v>336</v>
      </c>
      <c r="E673" s="12">
        <v>10000</v>
      </c>
      <c r="F673" s="189">
        <f>E673*C673</f>
        <v>10000</v>
      </c>
      <c r="G673" s="32" t="s">
        <v>2387</v>
      </c>
      <c r="J673" s="175">
        <f t="shared" si="19"/>
        <v>10000</v>
      </c>
    </row>
    <row r="674" spans="1:19" x14ac:dyDescent="0.25">
      <c r="A674" s="20"/>
      <c r="B674" s="16"/>
      <c r="C674" s="6"/>
      <c r="D674" s="183"/>
      <c r="E674" s="103"/>
      <c r="F674" s="181"/>
      <c r="G674" s="32"/>
    </row>
    <row r="675" spans="1:19" x14ac:dyDescent="0.25">
      <c r="A675" s="178" t="s">
        <v>832</v>
      </c>
      <c r="B675" s="16" t="s">
        <v>340</v>
      </c>
      <c r="C675" s="6"/>
      <c r="D675" s="183"/>
      <c r="E675" s="103"/>
      <c r="F675" s="181"/>
      <c r="G675" s="32"/>
    </row>
    <row r="676" spans="1:19" ht="27" customHeight="1" x14ac:dyDescent="0.25">
      <c r="A676" s="178" t="s">
        <v>833</v>
      </c>
      <c r="B676" s="4" t="s">
        <v>809</v>
      </c>
      <c r="C676" s="6"/>
      <c r="D676" s="183"/>
      <c r="E676" s="103"/>
      <c r="F676" s="181"/>
      <c r="G676" s="32"/>
    </row>
    <row r="677" spans="1:19" x14ac:dyDescent="0.25">
      <c r="A677" s="20"/>
      <c r="B677" s="16" t="s">
        <v>834</v>
      </c>
      <c r="C677" s="6">
        <v>2</v>
      </c>
      <c r="D677" s="183" t="s">
        <v>461</v>
      </c>
      <c r="E677" s="103">
        <v>300000</v>
      </c>
      <c r="F677" s="181">
        <f>E677*C677</f>
        <v>600000</v>
      </c>
      <c r="G677" s="32" t="s">
        <v>2625</v>
      </c>
      <c r="S677" s="175">
        <f>F677</f>
        <v>600000</v>
      </c>
    </row>
    <row r="678" spans="1:19" x14ac:dyDescent="0.25">
      <c r="A678" s="20"/>
      <c r="B678" s="16"/>
      <c r="C678" s="6"/>
      <c r="D678" s="183"/>
      <c r="E678" s="103"/>
      <c r="F678" s="181"/>
      <c r="G678" s="32"/>
      <c r="S678" s="175"/>
    </row>
    <row r="679" spans="1:19" x14ac:dyDescent="0.25">
      <c r="A679" s="178" t="s">
        <v>841</v>
      </c>
      <c r="B679" s="16" t="s">
        <v>516</v>
      </c>
      <c r="C679" s="6"/>
      <c r="D679" s="183"/>
      <c r="E679" s="103"/>
      <c r="F679" s="181"/>
      <c r="G679" s="32"/>
      <c r="S679" s="175"/>
    </row>
    <row r="680" spans="1:19" x14ac:dyDescent="0.25">
      <c r="A680" s="178" t="s">
        <v>2934</v>
      </c>
      <c r="B680" s="16" t="s">
        <v>2935</v>
      </c>
      <c r="C680" s="6"/>
      <c r="D680" s="183"/>
      <c r="E680" s="103"/>
      <c r="F680" s="181"/>
      <c r="G680" s="32"/>
      <c r="S680" s="175"/>
    </row>
    <row r="681" spans="1:19" x14ac:dyDescent="0.25">
      <c r="A681" s="20"/>
      <c r="B681" s="16" t="s">
        <v>2936</v>
      </c>
      <c r="C681" s="6">
        <v>72</v>
      </c>
      <c r="D681" s="183" t="s">
        <v>315</v>
      </c>
      <c r="E681" s="103">
        <v>400000</v>
      </c>
      <c r="F681" s="181">
        <f>E681*C681</f>
        <v>28800000</v>
      </c>
      <c r="G681" s="32" t="s">
        <v>2620</v>
      </c>
      <c r="L681" s="175">
        <f>F681</f>
        <v>28800000</v>
      </c>
      <c r="S681" s="175"/>
    </row>
    <row r="682" spans="1:19" x14ac:dyDescent="0.25">
      <c r="A682" s="20"/>
      <c r="B682" s="16"/>
      <c r="C682" s="6"/>
      <c r="D682" s="183"/>
      <c r="E682" s="103"/>
      <c r="F682" s="181"/>
      <c r="G682" s="32"/>
      <c r="S682" s="175"/>
    </row>
    <row r="683" spans="1:19" x14ac:dyDescent="0.25">
      <c r="A683" s="20"/>
      <c r="B683" s="16"/>
      <c r="C683" s="6"/>
      <c r="D683" s="183"/>
      <c r="E683" s="103"/>
      <c r="F683" s="181"/>
      <c r="G683" s="32"/>
      <c r="S683" s="175"/>
    </row>
    <row r="684" spans="1:19" x14ac:dyDescent="0.25">
      <c r="A684" s="20"/>
      <c r="B684" s="16"/>
      <c r="C684" s="6"/>
      <c r="D684" s="25"/>
      <c r="E684" s="152"/>
      <c r="F684" s="152"/>
      <c r="G684" s="32"/>
    </row>
    <row r="685" spans="1:19" x14ac:dyDescent="0.25">
      <c r="A685" s="1941" t="s">
        <v>27</v>
      </c>
      <c r="B685" s="1941"/>
      <c r="C685" s="215"/>
      <c r="D685" s="216"/>
      <c r="E685" s="217"/>
      <c r="F685" s="528">
        <f>SUM(F655:F684)</f>
        <v>31525000</v>
      </c>
      <c r="G685" s="32"/>
      <c r="J685" s="1190"/>
      <c r="K685" s="1190"/>
    </row>
    <row r="686" spans="1:19" x14ac:dyDescent="0.25">
      <c r="A686" s="1807" t="s">
        <v>614</v>
      </c>
      <c r="B686" s="1807"/>
      <c r="C686" s="5" t="s">
        <v>28</v>
      </c>
      <c r="D686" s="1808" t="s">
        <v>1698</v>
      </c>
      <c r="E686" s="1808"/>
      <c r="F686" s="1808"/>
      <c r="G686" s="5"/>
    </row>
    <row r="687" spans="1:19" x14ac:dyDescent="0.25">
      <c r="A687" s="1807" t="s">
        <v>29</v>
      </c>
      <c r="B687" s="1807"/>
      <c r="C687" s="5"/>
      <c r="D687" s="1809" t="s">
        <v>2990</v>
      </c>
      <c r="E687" s="1809"/>
      <c r="F687" s="1809"/>
      <c r="G687" s="5"/>
    </row>
    <row r="688" spans="1:19" x14ac:dyDescent="0.25">
      <c r="A688" s="1"/>
      <c r="B688" s="3"/>
      <c r="C688" s="5"/>
      <c r="D688" s="7"/>
      <c r="E688" s="17"/>
      <c r="F688" s="1706"/>
      <c r="G688" s="5"/>
    </row>
    <row r="689" spans="1:7" x14ac:dyDescent="0.25">
      <c r="A689" s="1"/>
      <c r="B689" s="3"/>
      <c r="C689" s="5"/>
      <c r="D689" s="7"/>
      <c r="E689" s="17"/>
      <c r="F689" s="17"/>
      <c r="G689" s="5"/>
    </row>
    <row r="690" spans="1:7" x14ac:dyDescent="0.25">
      <c r="A690" s="1807"/>
      <c r="B690" s="1807"/>
      <c r="C690" s="5"/>
      <c r="D690" s="7"/>
      <c r="E690" s="1807"/>
      <c r="F690" s="1807"/>
      <c r="G690" s="5"/>
    </row>
    <row r="691" spans="1:7" x14ac:dyDescent="0.25">
      <c r="A691" s="1807" t="s">
        <v>30</v>
      </c>
      <c r="B691" s="1807"/>
      <c r="C691" s="5"/>
      <c r="D691" s="1807" t="s">
        <v>2991</v>
      </c>
      <c r="E691" s="1807"/>
      <c r="F691" s="1807"/>
      <c r="G691" s="5"/>
    </row>
    <row r="692" spans="1:7" x14ac:dyDescent="0.25">
      <c r="A692" s="1800" t="s">
        <v>0</v>
      </c>
      <c r="B692" s="1800"/>
      <c r="C692" s="1800"/>
      <c r="D692" s="1800"/>
      <c r="E692" s="1800"/>
      <c r="F692" s="1800"/>
      <c r="G692" s="162"/>
    </row>
    <row r="693" spans="1:7" x14ac:dyDescent="0.25">
      <c r="A693" s="1800" t="s">
        <v>1</v>
      </c>
      <c r="B693" s="1800"/>
      <c r="C693" s="1800"/>
      <c r="D693" s="1800"/>
      <c r="E693" s="1800"/>
      <c r="F693" s="1800"/>
      <c r="G693" s="162"/>
    </row>
    <row r="694" spans="1:7" x14ac:dyDescent="0.25">
      <c r="A694" s="1800" t="s">
        <v>1697</v>
      </c>
      <c r="B694" s="1800"/>
      <c r="C694" s="1800"/>
      <c r="D694" s="1800"/>
      <c r="E694" s="1800"/>
      <c r="F694" s="1800"/>
      <c r="G694" s="162"/>
    </row>
    <row r="695" spans="1:7" x14ac:dyDescent="0.25">
      <c r="A695" s="162" t="s">
        <v>787</v>
      </c>
      <c r="B695" s="162" t="s">
        <v>786</v>
      </c>
      <c r="C695" s="162"/>
      <c r="D695" s="162"/>
      <c r="E695" s="96" t="s">
        <v>6</v>
      </c>
      <c r="F695" s="96"/>
      <c r="G695" s="162"/>
    </row>
    <row r="696" spans="1:7" x14ac:dyDescent="0.25">
      <c r="A696" s="68" t="s">
        <v>277</v>
      </c>
      <c r="B696" s="68" t="s">
        <v>785</v>
      </c>
      <c r="C696" s="68"/>
      <c r="D696" s="138"/>
      <c r="E696" s="97" t="s">
        <v>573</v>
      </c>
      <c r="F696" s="97"/>
      <c r="G696" s="162"/>
    </row>
    <row r="697" spans="1:7" ht="48.75" x14ac:dyDescent="0.25">
      <c r="A697" s="202" t="s">
        <v>784</v>
      </c>
      <c r="B697" s="77" t="s">
        <v>847</v>
      </c>
      <c r="C697" s="68"/>
      <c r="D697" s="138"/>
      <c r="E697" s="456"/>
      <c r="F697" s="68"/>
      <c r="G697" s="162"/>
    </row>
    <row r="698" spans="1:7" x14ac:dyDescent="0.25">
      <c r="A698" s="162" t="s">
        <v>579</v>
      </c>
      <c r="B698" s="162" t="s">
        <v>611</v>
      </c>
      <c r="C698" s="162"/>
      <c r="D698" s="162"/>
      <c r="E698" s="162"/>
      <c r="F698" s="162"/>
      <c r="G698" s="162"/>
    </row>
    <row r="699" spans="1:7" x14ac:dyDescent="0.25">
      <c r="A699" s="1904" t="s">
        <v>561</v>
      </c>
      <c r="B699" s="1904"/>
      <c r="C699" s="162"/>
      <c r="D699" s="68"/>
      <c r="E699" s="457"/>
      <c r="F699" s="162"/>
      <c r="G699" s="162"/>
    </row>
    <row r="701" spans="1:7" ht="24" x14ac:dyDescent="0.25">
      <c r="A701" s="192" t="s">
        <v>612</v>
      </c>
      <c r="B701" s="192" t="s">
        <v>12</v>
      </c>
      <c r="C701" s="1937" t="s">
        <v>13</v>
      </c>
      <c r="D701" s="1938"/>
      <c r="E701" s="519" t="s">
        <v>14</v>
      </c>
      <c r="F701" s="193" t="s">
        <v>15</v>
      </c>
      <c r="G701" s="137" t="s">
        <v>301</v>
      </c>
    </row>
    <row r="702" spans="1:7" x14ac:dyDescent="0.25">
      <c r="A702" s="92">
        <v>1</v>
      </c>
      <c r="B702" s="92">
        <v>2</v>
      </c>
      <c r="C702" s="1939">
        <v>3</v>
      </c>
      <c r="D702" s="1940"/>
      <c r="E702" s="520">
        <v>4</v>
      </c>
      <c r="F702" s="45">
        <v>5</v>
      </c>
      <c r="G702" s="137">
        <v>6</v>
      </c>
    </row>
    <row r="703" spans="1:7" x14ac:dyDescent="0.25">
      <c r="A703" s="178" t="s">
        <v>824</v>
      </c>
      <c r="B703" s="223" t="s">
        <v>323</v>
      </c>
      <c r="C703" s="195"/>
      <c r="D703" s="196"/>
      <c r="E703" s="521"/>
      <c r="F703" s="218"/>
      <c r="G703" s="198"/>
    </row>
    <row r="704" spans="1:7" ht="24" x14ac:dyDescent="0.25">
      <c r="A704" s="178" t="s">
        <v>825</v>
      </c>
      <c r="B704" s="223" t="s">
        <v>88</v>
      </c>
      <c r="C704" s="195"/>
      <c r="D704" s="196"/>
      <c r="E704" s="521"/>
      <c r="F704" s="218"/>
      <c r="G704" s="198"/>
    </row>
    <row r="705" spans="1:7" ht="24" x14ac:dyDescent="0.25">
      <c r="A705" s="178" t="s">
        <v>846</v>
      </c>
      <c r="B705" s="223" t="s">
        <v>845</v>
      </c>
      <c r="C705" s="195"/>
      <c r="D705" s="196"/>
      <c r="E705" s="521"/>
      <c r="F705" s="218"/>
      <c r="G705" s="198"/>
    </row>
    <row r="706" spans="1:7" x14ac:dyDescent="0.25">
      <c r="A706" s="198"/>
      <c r="B706" s="395" t="s">
        <v>844</v>
      </c>
      <c r="C706" s="397">
        <v>500</v>
      </c>
      <c r="D706" s="522" t="s">
        <v>312</v>
      </c>
      <c r="E706" s="399">
        <v>4500</v>
      </c>
      <c r="F706" s="218">
        <f>E706*C706</f>
        <v>2250000</v>
      </c>
      <c r="G706" s="198"/>
    </row>
    <row r="707" spans="1:7" x14ac:dyDescent="0.25">
      <c r="A707" s="198"/>
      <c r="B707" s="395"/>
      <c r="C707" s="397"/>
      <c r="D707" s="522"/>
      <c r="E707" s="399"/>
      <c r="F707" s="218"/>
      <c r="G707" s="198"/>
    </row>
    <row r="708" spans="1:7" ht="24.75" x14ac:dyDescent="0.25">
      <c r="A708" s="178" t="s">
        <v>826</v>
      </c>
      <c r="B708" s="396" t="s">
        <v>354</v>
      </c>
      <c r="C708" s="397"/>
      <c r="D708" s="522"/>
      <c r="E708" s="399"/>
      <c r="F708" s="218"/>
      <c r="G708" s="198"/>
    </row>
    <row r="709" spans="1:7" x14ac:dyDescent="0.25">
      <c r="A709" s="198"/>
      <c r="B709" s="395" t="s">
        <v>843</v>
      </c>
      <c r="C709" s="397">
        <v>40</v>
      </c>
      <c r="D709" s="522" t="s">
        <v>565</v>
      </c>
      <c r="E709" s="399">
        <v>15000</v>
      </c>
      <c r="F709" s="218">
        <f>E709*C709</f>
        <v>600000</v>
      </c>
      <c r="G709" s="198"/>
    </row>
    <row r="710" spans="1:7" x14ac:dyDescent="0.25">
      <c r="A710" s="195"/>
      <c r="B710" s="395"/>
      <c r="C710" s="397"/>
      <c r="D710" s="522"/>
      <c r="E710" s="399"/>
      <c r="F710" s="224"/>
      <c r="G710" s="198"/>
    </row>
    <row r="711" spans="1:7" ht="24.75" x14ac:dyDescent="0.25">
      <c r="A711" s="178" t="s">
        <v>829</v>
      </c>
      <c r="B711" s="396" t="s">
        <v>376</v>
      </c>
      <c r="C711" s="397"/>
      <c r="D711" s="522"/>
      <c r="E711" s="399"/>
      <c r="F711" s="225"/>
      <c r="G711" s="198"/>
    </row>
    <row r="712" spans="1:7" x14ac:dyDescent="0.25">
      <c r="A712" s="195"/>
      <c r="B712" s="395" t="s">
        <v>377</v>
      </c>
      <c r="C712" s="397">
        <v>1</v>
      </c>
      <c r="D712" s="522" t="s">
        <v>102</v>
      </c>
      <c r="E712" s="399">
        <v>90000</v>
      </c>
      <c r="F712" s="218">
        <f>E712*C712</f>
        <v>90000</v>
      </c>
      <c r="G712" s="198"/>
    </row>
    <row r="713" spans="1:7" x14ac:dyDescent="0.25">
      <c r="A713" s="195"/>
      <c r="B713" s="395"/>
      <c r="C713" s="397"/>
      <c r="D713" s="522"/>
      <c r="E713" s="399"/>
      <c r="F713" s="218"/>
      <c r="G713" s="198"/>
    </row>
    <row r="714" spans="1:7" x14ac:dyDescent="0.25">
      <c r="A714" s="178" t="s">
        <v>832</v>
      </c>
      <c r="B714" s="194" t="s">
        <v>340</v>
      </c>
      <c r="C714" s="397"/>
      <c r="D714" s="522"/>
      <c r="E714" s="399"/>
      <c r="F714" s="218"/>
      <c r="G714" s="198"/>
    </row>
    <row r="715" spans="1:7" ht="36.75" x14ac:dyDescent="0.25">
      <c r="A715" s="178" t="s">
        <v>836</v>
      </c>
      <c r="B715" s="396" t="s">
        <v>822</v>
      </c>
      <c r="C715" s="397"/>
      <c r="D715" s="522"/>
      <c r="E715" s="399"/>
      <c r="F715" s="218"/>
      <c r="G715" s="198"/>
    </row>
    <row r="716" spans="1:7" x14ac:dyDescent="0.25">
      <c r="A716" s="195"/>
      <c r="B716" s="396" t="s">
        <v>471</v>
      </c>
      <c r="C716" s="397">
        <v>1</v>
      </c>
      <c r="D716" s="522" t="s">
        <v>315</v>
      </c>
      <c r="E716" s="399">
        <v>300000</v>
      </c>
      <c r="F716" s="218">
        <f>E716*C716</f>
        <v>300000</v>
      </c>
      <c r="G716" s="198"/>
    </row>
    <row r="717" spans="1:7" x14ac:dyDescent="0.25">
      <c r="A717" s="195"/>
      <c r="B717" s="396" t="s">
        <v>596</v>
      </c>
      <c r="C717" s="397">
        <v>1</v>
      </c>
      <c r="D717" s="522" t="s">
        <v>315</v>
      </c>
      <c r="E717" s="399">
        <v>250000</v>
      </c>
      <c r="F717" s="218">
        <f>E717*C717</f>
        <v>250000</v>
      </c>
      <c r="G717" s="198"/>
    </row>
    <row r="718" spans="1:7" x14ac:dyDescent="0.25">
      <c r="A718" s="195"/>
      <c r="B718" s="396" t="s">
        <v>576</v>
      </c>
      <c r="C718" s="397">
        <v>3</v>
      </c>
      <c r="D718" s="522" t="s">
        <v>315</v>
      </c>
      <c r="E718" s="399">
        <v>200000</v>
      </c>
      <c r="F718" s="218">
        <f>E718*C718</f>
        <v>600000</v>
      </c>
      <c r="G718" s="198"/>
    </row>
    <row r="719" spans="1:7" x14ac:dyDescent="0.25">
      <c r="A719" s="195"/>
      <c r="B719" s="396"/>
      <c r="C719" s="397"/>
      <c r="D719" s="522"/>
      <c r="E719" s="399"/>
      <c r="F719" s="218"/>
      <c r="G719" s="198"/>
    </row>
    <row r="720" spans="1:7" ht="48.75" x14ac:dyDescent="0.25">
      <c r="A720" s="178" t="s">
        <v>833</v>
      </c>
      <c r="B720" s="396" t="s">
        <v>809</v>
      </c>
      <c r="C720" s="397"/>
      <c r="D720" s="522"/>
      <c r="E720" s="399"/>
      <c r="F720" s="218"/>
      <c r="G720" s="198"/>
    </row>
    <row r="721" spans="1:19" x14ac:dyDescent="0.25">
      <c r="A721" s="198"/>
      <c r="B721" s="395" t="s">
        <v>842</v>
      </c>
      <c r="C721" s="397">
        <v>2</v>
      </c>
      <c r="D721" s="522" t="s">
        <v>315</v>
      </c>
      <c r="E721" s="399">
        <v>300000</v>
      </c>
      <c r="F721" s="218">
        <f>E721*C721</f>
        <v>600000</v>
      </c>
      <c r="G721" s="198"/>
    </row>
    <row r="722" spans="1:19" x14ac:dyDescent="0.25">
      <c r="A722" s="195"/>
      <c r="B722" s="395" t="s">
        <v>869</v>
      </c>
      <c r="C722" s="397">
        <v>1</v>
      </c>
      <c r="D722" s="522" t="s">
        <v>315</v>
      </c>
      <c r="E722" s="399">
        <v>200000</v>
      </c>
      <c r="F722" s="218">
        <v>200000</v>
      </c>
      <c r="G722" s="198"/>
    </row>
    <row r="723" spans="1:19" x14ac:dyDescent="0.25">
      <c r="A723" s="195"/>
      <c r="B723" s="395"/>
      <c r="C723" s="397"/>
      <c r="D723" s="522"/>
      <c r="E723" s="399"/>
      <c r="F723" s="218"/>
      <c r="G723" s="198"/>
    </row>
    <row r="724" spans="1:19" x14ac:dyDescent="0.25">
      <c r="A724" s="198" t="s">
        <v>841</v>
      </c>
      <c r="B724" s="529" t="s">
        <v>516</v>
      </c>
      <c r="C724" s="397"/>
      <c r="D724" s="522"/>
      <c r="E724" s="399"/>
      <c r="F724" s="218"/>
      <c r="G724" s="198"/>
    </row>
    <row r="725" spans="1:19" ht="24.75" x14ac:dyDescent="0.25">
      <c r="A725" s="198" t="s">
        <v>840</v>
      </c>
      <c r="B725" s="530" t="s">
        <v>839</v>
      </c>
      <c r="C725" s="397"/>
      <c r="D725" s="522"/>
      <c r="E725" s="399"/>
      <c r="F725" s="218"/>
      <c r="G725" s="198"/>
    </row>
    <row r="726" spans="1:19" x14ac:dyDescent="0.25">
      <c r="A726" s="198"/>
      <c r="B726" s="530" t="s">
        <v>1728</v>
      </c>
      <c r="C726" s="397">
        <v>1</v>
      </c>
      <c r="D726" s="522" t="s">
        <v>152</v>
      </c>
      <c r="E726" s="399">
        <v>1500000</v>
      </c>
      <c r="F726" s="218">
        <f>E726*C726</f>
        <v>1500000</v>
      </c>
      <c r="G726" s="198"/>
    </row>
    <row r="727" spans="1:19" x14ac:dyDescent="0.25">
      <c r="A727" s="198"/>
      <c r="B727" s="529" t="s">
        <v>838</v>
      </c>
      <c r="C727" s="397">
        <v>1</v>
      </c>
      <c r="D727" s="522" t="s">
        <v>152</v>
      </c>
      <c r="E727" s="399">
        <v>1000000</v>
      </c>
      <c r="F727" s="218">
        <f>E727*C727</f>
        <v>1000000</v>
      </c>
      <c r="G727" s="198"/>
    </row>
    <row r="728" spans="1:19" x14ac:dyDescent="0.25">
      <c r="A728" s="198"/>
      <c r="B728" s="529" t="s">
        <v>1286</v>
      </c>
      <c r="C728" s="397">
        <v>1</v>
      </c>
      <c r="D728" s="522" t="s">
        <v>152</v>
      </c>
      <c r="E728" s="399">
        <v>1000000</v>
      </c>
      <c r="F728" s="531">
        <f>E728*C728</f>
        <v>1000000</v>
      </c>
      <c r="G728" s="532"/>
    </row>
    <row r="729" spans="1:19" x14ac:dyDescent="0.25">
      <c r="A729" s="198"/>
      <c r="B729" s="529" t="s">
        <v>1729</v>
      </c>
      <c r="C729" s="397">
        <v>1</v>
      </c>
      <c r="D729" s="522" t="s">
        <v>152</v>
      </c>
      <c r="E729" s="399">
        <v>9950000</v>
      </c>
      <c r="F729" s="218">
        <f>E729*C729</f>
        <v>9950000</v>
      </c>
      <c r="G729" s="198"/>
    </row>
    <row r="730" spans="1:19" x14ac:dyDescent="0.25">
      <c r="A730" s="198"/>
      <c r="B730" s="226"/>
      <c r="C730" s="227"/>
      <c r="D730" s="228"/>
      <c r="E730" s="533"/>
      <c r="F730" s="222"/>
      <c r="G730" s="198"/>
    </row>
    <row r="731" spans="1:19" x14ac:dyDescent="0.25">
      <c r="A731" s="198"/>
      <c r="B731" s="1946" t="s">
        <v>27</v>
      </c>
      <c r="C731" s="1946"/>
      <c r="D731" s="1946"/>
      <c r="E731" s="1946"/>
      <c r="F731" s="104">
        <f>SUM(F705:F730)</f>
        <v>18340000</v>
      </c>
      <c r="G731" s="194" t="s">
        <v>1682</v>
      </c>
      <c r="J731" s="175"/>
      <c r="K731" s="175">
        <f>F731</f>
        <v>18340000</v>
      </c>
      <c r="S731" s="175"/>
    </row>
    <row r="732" spans="1:19" x14ac:dyDescent="0.25">
      <c r="A732" s="1807" t="s">
        <v>614</v>
      </c>
      <c r="B732" s="1807"/>
      <c r="C732" s="5" t="s">
        <v>28</v>
      </c>
      <c r="D732" s="1808" t="s">
        <v>1698</v>
      </c>
      <c r="E732" s="1808"/>
      <c r="F732" s="1808"/>
      <c r="G732" s="5"/>
    </row>
    <row r="733" spans="1:19" x14ac:dyDescent="0.25">
      <c r="A733" s="1807" t="s">
        <v>29</v>
      </c>
      <c r="B733" s="1807"/>
      <c r="C733" s="5"/>
      <c r="D733" s="1809" t="s">
        <v>2990</v>
      </c>
      <c r="E733" s="1809"/>
      <c r="F733" s="1809"/>
      <c r="G733" s="5"/>
    </row>
    <row r="734" spans="1:19" x14ac:dyDescent="0.25">
      <c r="A734" s="1"/>
      <c r="B734" s="3"/>
      <c r="C734" s="5"/>
      <c r="D734" s="7"/>
      <c r="E734" s="17"/>
      <c r="F734" s="17"/>
      <c r="G734" s="5"/>
    </row>
    <row r="735" spans="1:19" x14ac:dyDescent="0.25">
      <c r="A735" s="1"/>
      <c r="B735" s="3"/>
      <c r="C735" s="5"/>
      <c r="D735" s="7"/>
      <c r="E735" s="17"/>
      <c r="F735" s="17"/>
      <c r="G735" s="5"/>
    </row>
    <row r="736" spans="1:19" x14ac:dyDescent="0.25">
      <c r="A736" s="1807"/>
      <c r="B736" s="1807"/>
      <c r="C736" s="5"/>
      <c r="D736" s="7"/>
      <c r="E736" s="1807"/>
      <c r="F736" s="1807"/>
      <c r="G736" s="5"/>
    </row>
    <row r="737" spans="1:7" x14ac:dyDescent="0.25">
      <c r="A737" s="1807" t="s">
        <v>30</v>
      </c>
      <c r="B737" s="1807"/>
      <c r="C737" s="5"/>
      <c r="D737" s="1807" t="s">
        <v>2991</v>
      </c>
      <c r="E737" s="1807"/>
      <c r="F737" s="1807"/>
      <c r="G737" s="5"/>
    </row>
    <row r="738" spans="1:7" x14ac:dyDescent="0.25">
      <c r="A738" s="1870" t="s">
        <v>0</v>
      </c>
      <c r="B738" s="1870"/>
      <c r="C738" s="1870"/>
      <c r="D738" s="1870"/>
      <c r="E738" s="1870"/>
      <c r="F738" s="1870"/>
    </row>
    <row r="739" spans="1:7" x14ac:dyDescent="0.25">
      <c r="A739" s="1870" t="s">
        <v>1</v>
      </c>
      <c r="B739" s="1870"/>
      <c r="C739" s="1870"/>
      <c r="D739" s="1870"/>
      <c r="E739" s="1870"/>
      <c r="F739" s="1870"/>
    </row>
    <row r="740" spans="1:7" x14ac:dyDescent="0.25">
      <c r="A740" s="1870" t="s">
        <v>1697</v>
      </c>
      <c r="B740" s="1870"/>
      <c r="C740" s="1870"/>
      <c r="D740" s="1870"/>
      <c r="E740" s="1870"/>
      <c r="F740" s="1870"/>
    </row>
    <row r="741" spans="1:7" x14ac:dyDescent="0.25">
      <c r="A741" s="534"/>
      <c r="B741" s="534"/>
      <c r="C741" s="442"/>
      <c r="D741" s="442"/>
      <c r="E741" s="442"/>
      <c r="F741" s="442"/>
    </row>
    <row r="742" spans="1:7" x14ac:dyDescent="0.25">
      <c r="A742" s="442" t="s">
        <v>787</v>
      </c>
      <c r="B742" s="442" t="s">
        <v>786</v>
      </c>
      <c r="C742" s="442"/>
      <c r="D742" s="442"/>
      <c r="E742" s="442"/>
      <c r="F742" s="535" t="s">
        <v>6</v>
      </c>
    </row>
    <row r="743" spans="1:7" x14ac:dyDescent="0.25">
      <c r="A743" s="536" t="s">
        <v>277</v>
      </c>
      <c r="B743" s="536" t="s">
        <v>785</v>
      </c>
      <c r="C743" s="442"/>
      <c r="D743" s="442"/>
      <c r="E743" s="442"/>
      <c r="F743" s="537" t="s">
        <v>573</v>
      </c>
    </row>
    <row r="744" spans="1:7" ht="28.5" customHeight="1" x14ac:dyDescent="0.25">
      <c r="A744" s="536" t="s">
        <v>784</v>
      </c>
      <c r="B744" s="538" t="s">
        <v>866</v>
      </c>
      <c r="C744" s="442"/>
      <c r="D744" s="442"/>
      <c r="E744" s="442"/>
      <c r="F744" s="442"/>
    </row>
    <row r="745" spans="1:7" x14ac:dyDescent="0.25">
      <c r="A745" s="442" t="s">
        <v>579</v>
      </c>
      <c r="B745" s="442" t="s">
        <v>611</v>
      </c>
      <c r="C745" s="442"/>
      <c r="D745" s="442"/>
      <c r="E745" s="442"/>
      <c r="F745" s="442"/>
    </row>
    <row r="746" spans="1:7" x14ac:dyDescent="0.25">
      <c r="A746" s="1949" t="s">
        <v>561</v>
      </c>
      <c r="B746" s="1949"/>
      <c r="C746" s="442"/>
      <c r="D746" s="442"/>
      <c r="E746" s="442"/>
      <c r="F746" s="442"/>
    </row>
    <row r="747" spans="1:7" ht="24" x14ac:dyDescent="0.25">
      <c r="A747" s="144" t="s">
        <v>640</v>
      </c>
      <c r="B747" s="144" t="s">
        <v>12</v>
      </c>
      <c r="C747" s="1943" t="s">
        <v>13</v>
      </c>
      <c r="D747" s="1944"/>
      <c r="E747" s="11" t="s">
        <v>14</v>
      </c>
      <c r="F747" s="144" t="s">
        <v>15</v>
      </c>
      <c r="G747" s="137" t="s">
        <v>301</v>
      </c>
    </row>
    <row r="748" spans="1:7" x14ac:dyDescent="0.25">
      <c r="A748" s="146">
        <v>1</v>
      </c>
      <c r="B748" s="146">
        <v>2</v>
      </c>
      <c r="C748" s="1953">
        <v>3</v>
      </c>
      <c r="D748" s="1954"/>
      <c r="E748" s="147">
        <v>4</v>
      </c>
      <c r="F748" s="147">
        <v>5</v>
      </c>
      <c r="G748" s="137">
        <v>6</v>
      </c>
    </row>
    <row r="749" spans="1:7" x14ac:dyDescent="0.25">
      <c r="A749" s="445"/>
      <c r="B749" s="539" t="s">
        <v>370</v>
      </c>
      <c r="C749" s="540"/>
      <c r="D749" s="445"/>
      <c r="E749" s="445"/>
      <c r="F749" s="445"/>
      <c r="G749" s="32"/>
    </row>
    <row r="750" spans="1:7" x14ac:dyDescent="0.25">
      <c r="A750" s="541" t="s">
        <v>824</v>
      </c>
      <c r="B750" s="541" t="s">
        <v>351</v>
      </c>
      <c r="C750" s="542"/>
      <c r="D750" s="394"/>
      <c r="E750" s="394"/>
      <c r="F750" s="394"/>
      <c r="G750" s="32"/>
    </row>
    <row r="751" spans="1:7" x14ac:dyDescent="0.25">
      <c r="A751" s="541" t="s">
        <v>825</v>
      </c>
      <c r="B751" s="541" t="s">
        <v>780</v>
      </c>
      <c r="C751" s="543"/>
      <c r="D751" s="401"/>
      <c r="E751" s="401"/>
      <c r="F751" s="401"/>
      <c r="G751" s="32"/>
    </row>
    <row r="752" spans="1:7" ht="31.5" customHeight="1" x14ac:dyDescent="0.25">
      <c r="A752" s="541" t="s">
        <v>846</v>
      </c>
      <c r="B752" s="401" t="s">
        <v>778</v>
      </c>
      <c r="C752" s="543"/>
      <c r="D752" s="401"/>
      <c r="E752" s="401"/>
      <c r="F752" s="401"/>
      <c r="G752" s="32"/>
    </row>
    <row r="753" spans="1:19" x14ac:dyDescent="0.25">
      <c r="A753" s="544"/>
      <c r="B753" s="401" t="s">
        <v>777</v>
      </c>
      <c r="C753" s="540">
        <v>10</v>
      </c>
      <c r="D753" s="445" t="s">
        <v>123</v>
      </c>
      <c r="E753" s="545">
        <v>8000</v>
      </c>
      <c r="F753" s="546">
        <f>E753*C753</f>
        <v>80000</v>
      </c>
      <c r="G753" s="32" t="s">
        <v>2625</v>
      </c>
      <c r="S753" s="175">
        <f>F753</f>
        <v>80000</v>
      </c>
    </row>
    <row r="754" spans="1:19" x14ac:dyDescent="0.25">
      <c r="A754" s="445"/>
      <c r="B754" s="547"/>
      <c r="C754" s="392"/>
      <c r="D754" s="446"/>
      <c r="E754" s="548"/>
      <c r="F754" s="546"/>
      <c r="G754" s="32"/>
      <c r="S754" s="175"/>
    </row>
    <row r="755" spans="1:19" x14ac:dyDescent="0.25">
      <c r="A755" s="541" t="s">
        <v>826</v>
      </c>
      <c r="B755" s="547" t="s">
        <v>865</v>
      </c>
      <c r="C755" s="392"/>
      <c r="D755" s="446"/>
      <c r="E755" s="548"/>
      <c r="F755" s="546"/>
      <c r="G755" s="32"/>
      <c r="S755" s="175"/>
    </row>
    <row r="756" spans="1:19" x14ac:dyDescent="0.25">
      <c r="A756" s="445"/>
      <c r="B756" s="547" t="s">
        <v>1730</v>
      </c>
      <c r="C756" s="392">
        <v>120</v>
      </c>
      <c r="D756" s="446" t="s">
        <v>182</v>
      </c>
      <c r="E756" s="548">
        <v>15000</v>
      </c>
      <c r="F756" s="546">
        <f>E756*C756</f>
        <v>1800000</v>
      </c>
      <c r="G756" s="32" t="s">
        <v>2625</v>
      </c>
      <c r="S756" s="175">
        <f t="shared" ref="S756:S763" si="20">F756</f>
        <v>1800000</v>
      </c>
    </row>
    <row r="757" spans="1:19" x14ac:dyDescent="0.25">
      <c r="A757" s="445"/>
      <c r="B757" s="547"/>
      <c r="C757" s="392"/>
      <c r="D757" s="446"/>
      <c r="E757" s="548"/>
      <c r="F757" s="546"/>
      <c r="G757" s="32"/>
      <c r="S757" s="175"/>
    </row>
    <row r="758" spans="1:19" ht="24.75" x14ac:dyDescent="0.25">
      <c r="A758" s="395" t="s">
        <v>830</v>
      </c>
      <c r="B758" s="396" t="s">
        <v>831</v>
      </c>
      <c r="C758" s="397"/>
      <c r="D758" s="549"/>
      <c r="E758" s="399"/>
      <c r="F758" s="404"/>
      <c r="G758" s="32"/>
      <c r="S758" s="175"/>
    </row>
    <row r="759" spans="1:19" x14ac:dyDescent="0.25">
      <c r="A759" s="395"/>
      <c r="B759" s="395" t="s">
        <v>321</v>
      </c>
      <c r="C759" s="397">
        <v>120</v>
      </c>
      <c r="D759" s="549" t="s">
        <v>186</v>
      </c>
      <c r="E759" s="399">
        <v>3000</v>
      </c>
      <c r="F759" s="404">
        <f>E759*C759</f>
        <v>360000</v>
      </c>
      <c r="G759" s="32" t="s">
        <v>2625</v>
      </c>
      <c r="S759" s="175">
        <f t="shared" si="20"/>
        <v>360000</v>
      </c>
    </row>
    <row r="760" spans="1:19" x14ac:dyDescent="0.25">
      <c r="A760" s="395"/>
      <c r="B760" s="395" t="s">
        <v>335</v>
      </c>
      <c r="C760" s="397">
        <v>12</v>
      </c>
      <c r="D760" s="549" t="s">
        <v>336</v>
      </c>
      <c r="E760" s="399">
        <v>10000</v>
      </c>
      <c r="F760" s="404">
        <f>E760*C760</f>
        <v>120000</v>
      </c>
      <c r="G760" s="32" t="s">
        <v>2625</v>
      </c>
      <c r="S760" s="175">
        <f t="shared" si="20"/>
        <v>120000</v>
      </c>
    </row>
    <row r="761" spans="1:19" x14ac:dyDescent="0.25">
      <c r="A761" s="445"/>
      <c r="B761" s="547"/>
      <c r="C761" s="392"/>
      <c r="D761" s="446"/>
      <c r="E761" s="548"/>
      <c r="F761" s="546"/>
      <c r="G761" s="32"/>
      <c r="S761" s="175"/>
    </row>
    <row r="762" spans="1:19" x14ac:dyDescent="0.25">
      <c r="A762" s="394" t="s">
        <v>832</v>
      </c>
      <c r="B762" s="396" t="s">
        <v>340</v>
      </c>
      <c r="C762" s="397"/>
      <c r="D762" s="549"/>
      <c r="E762" s="399"/>
      <c r="F762" s="546"/>
      <c r="G762" s="32"/>
      <c r="S762" s="175"/>
    </row>
    <row r="763" spans="1:19" ht="24.75" x14ac:dyDescent="0.25">
      <c r="A763" s="394" t="s">
        <v>833</v>
      </c>
      <c r="B763" s="396" t="s">
        <v>864</v>
      </c>
      <c r="C763" s="397">
        <v>2</v>
      </c>
      <c r="D763" s="549" t="s">
        <v>315</v>
      </c>
      <c r="E763" s="399">
        <v>300000</v>
      </c>
      <c r="F763" s="546">
        <f>E763*C763</f>
        <v>600000</v>
      </c>
      <c r="G763" s="32" t="s">
        <v>2625</v>
      </c>
      <c r="S763" s="175">
        <f t="shared" si="20"/>
        <v>600000</v>
      </c>
    </row>
    <row r="764" spans="1:19" x14ac:dyDescent="0.25">
      <c r="A764" s="394"/>
      <c r="B764" s="1625"/>
      <c r="C764" s="397"/>
      <c r="D764" s="549"/>
      <c r="E764" s="399"/>
      <c r="F764" s="546"/>
      <c r="G764" s="32"/>
      <c r="S764" s="175"/>
    </row>
    <row r="765" spans="1:19" x14ac:dyDescent="0.25">
      <c r="A765" s="394" t="s">
        <v>841</v>
      </c>
      <c r="B765" s="1625" t="s">
        <v>516</v>
      </c>
      <c r="C765" s="397"/>
      <c r="D765" s="549"/>
      <c r="E765" s="399"/>
      <c r="F765" s="546"/>
      <c r="G765" s="32"/>
      <c r="S765" s="175"/>
    </row>
    <row r="766" spans="1:19" ht="24.75" x14ac:dyDescent="0.25">
      <c r="A766" s="394" t="s">
        <v>2934</v>
      </c>
      <c r="B766" s="1625" t="s">
        <v>2935</v>
      </c>
      <c r="C766" s="397"/>
      <c r="D766" s="549"/>
      <c r="E766" s="399"/>
      <c r="F766" s="546"/>
      <c r="G766" s="32"/>
      <c r="S766" s="175"/>
    </row>
    <row r="767" spans="1:19" x14ac:dyDescent="0.25">
      <c r="A767" s="20"/>
      <c r="B767" s="1629" t="s">
        <v>2937</v>
      </c>
      <c r="C767" s="6">
        <v>5</v>
      </c>
      <c r="D767" s="186" t="s">
        <v>315</v>
      </c>
      <c r="E767" s="12">
        <v>400000</v>
      </c>
      <c r="F767" s="181">
        <f>E767*C767</f>
        <v>2000000</v>
      </c>
      <c r="G767" s="32" t="s">
        <v>2620</v>
      </c>
      <c r="L767" s="175">
        <f>F767</f>
        <v>2000000</v>
      </c>
    </row>
    <row r="768" spans="1:19" x14ac:dyDescent="0.25">
      <c r="A768" s="445"/>
      <c r="B768" s="550" t="s">
        <v>863</v>
      </c>
      <c r="C768" s="392"/>
      <c r="D768" s="446"/>
      <c r="E768" s="548"/>
      <c r="F768" s="546"/>
      <c r="G768" s="32"/>
    </row>
    <row r="769" spans="1:19" ht="24" x14ac:dyDescent="0.25">
      <c r="A769" s="541" t="s">
        <v>826</v>
      </c>
      <c r="B769" s="547" t="s">
        <v>354</v>
      </c>
      <c r="C769" s="392"/>
      <c r="D769" s="446"/>
      <c r="E769" s="548"/>
      <c r="F769" s="546"/>
      <c r="G769" s="32"/>
    </row>
    <row r="770" spans="1:19" x14ac:dyDescent="0.25">
      <c r="A770" s="394"/>
      <c r="B770" s="395" t="s">
        <v>1731</v>
      </c>
      <c r="C770" s="397">
        <v>96</v>
      </c>
      <c r="D770" s="549" t="s">
        <v>182</v>
      </c>
      <c r="E770" s="551">
        <v>15000</v>
      </c>
      <c r="F770" s="546">
        <f>E770*C770</f>
        <v>1440000</v>
      </c>
      <c r="G770" s="32" t="s">
        <v>2625</v>
      </c>
      <c r="S770" s="175">
        <f>F770</f>
        <v>1440000</v>
      </c>
    </row>
    <row r="771" spans="1:19" x14ac:dyDescent="0.25">
      <c r="A771" s="541" t="s">
        <v>828</v>
      </c>
      <c r="B771" s="395" t="s">
        <v>574</v>
      </c>
      <c r="C771" s="397"/>
      <c r="D771" s="549"/>
      <c r="E771" s="399"/>
      <c r="F771" s="546"/>
      <c r="G771" s="32"/>
      <c r="S771" s="175"/>
    </row>
    <row r="772" spans="1:19" x14ac:dyDescent="0.25">
      <c r="A772" s="541"/>
      <c r="B772" s="395" t="s">
        <v>2598</v>
      </c>
      <c r="C772" s="397">
        <v>2</v>
      </c>
      <c r="D772" s="549" t="s">
        <v>129</v>
      </c>
      <c r="E772" s="399">
        <v>2000000</v>
      </c>
      <c r="F772" s="546">
        <f>E772*C772</f>
        <v>4000000</v>
      </c>
      <c r="G772" s="32" t="s">
        <v>2625</v>
      </c>
      <c r="S772" s="175">
        <f t="shared" ref="S772:S783" si="21">F772</f>
        <v>4000000</v>
      </c>
    </row>
    <row r="773" spans="1:19" x14ac:dyDescent="0.25">
      <c r="A773" s="178"/>
      <c r="B773" s="16" t="s">
        <v>2599</v>
      </c>
      <c r="C773" s="6">
        <v>3</v>
      </c>
      <c r="D773" s="186" t="s">
        <v>361</v>
      </c>
      <c r="E773" s="12">
        <v>150000</v>
      </c>
      <c r="F773" s="181">
        <f>E773*C773</f>
        <v>450000</v>
      </c>
      <c r="G773" s="32" t="s">
        <v>2625</v>
      </c>
      <c r="S773" s="175">
        <f t="shared" si="21"/>
        <v>450000</v>
      </c>
    </row>
    <row r="774" spans="1:19" x14ac:dyDescent="0.25">
      <c r="A774" s="178"/>
      <c r="B774" s="16" t="s">
        <v>2600</v>
      </c>
      <c r="C774" s="6">
        <v>3</v>
      </c>
      <c r="D774" s="186" t="s">
        <v>361</v>
      </c>
      <c r="E774" s="12">
        <v>250000</v>
      </c>
      <c r="F774" s="181">
        <f>E774*C774</f>
        <v>750000</v>
      </c>
      <c r="G774" s="32" t="s">
        <v>2625</v>
      </c>
      <c r="S774" s="175">
        <f t="shared" si="21"/>
        <v>750000</v>
      </c>
    </row>
    <row r="775" spans="1:19" x14ac:dyDescent="0.25">
      <c r="A775" s="20"/>
      <c r="B775" s="16" t="s">
        <v>2601</v>
      </c>
      <c r="C775" s="6">
        <v>3</v>
      </c>
      <c r="D775" s="186" t="s">
        <v>361</v>
      </c>
      <c r="E775" s="12">
        <v>150000</v>
      </c>
      <c r="F775" s="181">
        <f>C775*E775</f>
        <v>450000</v>
      </c>
      <c r="G775" s="32" t="s">
        <v>2625</v>
      </c>
      <c r="S775" s="175">
        <f t="shared" si="21"/>
        <v>450000</v>
      </c>
    </row>
    <row r="776" spans="1:19" x14ac:dyDescent="0.25">
      <c r="A776" s="394"/>
      <c r="B776" s="395" t="s">
        <v>768</v>
      </c>
      <c r="C776" s="397">
        <v>1</v>
      </c>
      <c r="D776" s="549" t="s">
        <v>460</v>
      </c>
      <c r="E776" s="399"/>
      <c r="F776" s="546">
        <v>1784087.09</v>
      </c>
      <c r="G776" s="32" t="s">
        <v>2625</v>
      </c>
      <c r="S776" s="175">
        <f t="shared" si="21"/>
        <v>1784087.09</v>
      </c>
    </row>
    <row r="777" spans="1:19" x14ac:dyDescent="0.25">
      <c r="A777" s="394"/>
      <c r="B777" s="395"/>
      <c r="C777" s="397"/>
      <c r="D777" s="549"/>
      <c r="E777" s="399"/>
      <c r="F777" s="546"/>
      <c r="G777" s="32"/>
      <c r="S777" s="175"/>
    </row>
    <row r="778" spans="1:19" ht="27" customHeight="1" x14ac:dyDescent="0.25">
      <c r="A778" s="394" t="s">
        <v>829</v>
      </c>
      <c r="B778" s="396" t="s">
        <v>773</v>
      </c>
      <c r="C778" s="542"/>
      <c r="D778" s="394"/>
      <c r="E778" s="394"/>
      <c r="F778" s="546"/>
      <c r="G778" s="32"/>
      <c r="S778" s="175"/>
    </row>
    <row r="779" spans="1:19" x14ac:dyDescent="0.25">
      <c r="A779" s="394"/>
      <c r="B779" s="395" t="s">
        <v>459</v>
      </c>
      <c r="C779" s="397">
        <v>1</v>
      </c>
      <c r="D779" s="549" t="s">
        <v>460</v>
      </c>
      <c r="E779" s="399">
        <v>90000</v>
      </c>
      <c r="F779" s="546">
        <f>E779*C779</f>
        <v>90000</v>
      </c>
      <c r="G779" s="32" t="s">
        <v>2625</v>
      </c>
      <c r="S779" s="175">
        <f t="shared" si="21"/>
        <v>90000</v>
      </c>
    </row>
    <row r="780" spans="1:19" x14ac:dyDescent="0.25">
      <c r="A780" s="394"/>
      <c r="B780" s="395"/>
      <c r="C780" s="397"/>
      <c r="D780" s="549"/>
      <c r="E780" s="399"/>
      <c r="F780" s="546"/>
      <c r="G780" s="32"/>
      <c r="S780" s="175"/>
    </row>
    <row r="781" spans="1:19" ht="22.5" customHeight="1" x14ac:dyDescent="0.25">
      <c r="A781" s="394" t="s">
        <v>832</v>
      </c>
      <c r="B781" s="396" t="s">
        <v>340</v>
      </c>
      <c r="C781" s="397"/>
      <c r="D781" s="549"/>
      <c r="E781" s="399"/>
      <c r="F781" s="546"/>
      <c r="G781" s="32"/>
      <c r="S781" s="175"/>
    </row>
    <row r="782" spans="1:19" ht="22.5" customHeight="1" x14ac:dyDescent="0.25">
      <c r="A782" s="394" t="s">
        <v>867</v>
      </c>
      <c r="B782" s="552" t="s">
        <v>1063</v>
      </c>
      <c r="C782" s="397"/>
      <c r="D782" s="549"/>
      <c r="E782" s="399"/>
      <c r="F782" s="546"/>
      <c r="G782" s="32"/>
      <c r="S782" s="175"/>
    </row>
    <row r="783" spans="1:19" ht="22.5" customHeight="1" x14ac:dyDescent="0.25">
      <c r="A783" s="542"/>
      <c r="B783" s="552" t="s">
        <v>1732</v>
      </c>
      <c r="C783" s="397">
        <v>60</v>
      </c>
      <c r="D783" s="549" t="s">
        <v>448</v>
      </c>
      <c r="E783" s="399">
        <v>100000</v>
      </c>
      <c r="F783" s="546">
        <f>E783*C783</f>
        <v>6000000</v>
      </c>
      <c r="G783" s="32" t="s">
        <v>2625</v>
      </c>
      <c r="S783" s="175">
        <f t="shared" si="21"/>
        <v>6000000</v>
      </c>
    </row>
    <row r="784" spans="1:19" x14ac:dyDescent="0.25">
      <c r="A784" s="184"/>
      <c r="B784" s="1624" t="s">
        <v>27</v>
      </c>
      <c r="C784" s="205"/>
      <c r="D784" s="179"/>
      <c r="E784" s="179"/>
      <c r="F784" s="1630">
        <f>SUM(F749:F783)</f>
        <v>19924087.09</v>
      </c>
      <c r="G784" s="32"/>
      <c r="J784" s="1190"/>
      <c r="S784" s="1190"/>
    </row>
    <row r="785" spans="1:7" x14ac:dyDescent="0.25">
      <c r="A785" s="1807" t="s">
        <v>614</v>
      </c>
      <c r="B785" s="1807"/>
      <c r="C785" s="5" t="s">
        <v>28</v>
      </c>
      <c r="D785" s="1808" t="s">
        <v>1698</v>
      </c>
      <c r="E785" s="1808"/>
      <c r="F785" s="1808"/>
      <c r="G785" s="5"/>
    </row>
    <row r="786" spans="1:7" x14ac:dyDescent="0.25">
      <c r="A786" s="1807" t="s">
        <v>29</v>
      </c>
      <c r="B786" s="1807"/>
      <c r="C786" s="5"/>
      <c r="D786" s="1809" t="s">
        <v>2990</v>
      </c>
      <c r="E786" s="1809"/>
      <c r="F786" s="1809"/>
      <c r="G786" s="5"/>
    </row>
    <row r="787" spans="1:7" x14ac:dyDescent="0.25">
      <c r="A787" s="1"/>
      <c r="B787" s="3"/>
      <c r="C787" s="5"/>
      <c r="D787" s="7"/>
      <c r="E787" s="17"/>
      <c r="F787" s="17"/>
      <c r="G787" s="5"/>
    </row>
    <row r="788" spans="1:7" x14ac:dyDescent="0.25">
      <c r="A788" s="1"/>
      <c r="B788" s="3"/>
      <c r="C788" s="5"/>
      <c r="D788" s="7"/>
      <c r="E788" s="17"/>
      <c r="F788" s="17"/>
      <c r="G788" s="5"/>
    </row>
    <row r="789" spans="1:7" x14ac:dyDescent="0.25">
      <c r="A789" s="1807"/>
      <c r="B789" s="1807"/>
      <c r="C789" s="5"/>
      <c r="D789" s="7"/>
      <c r="E789" s="1807"/>
      <c r="F789" s="1807"/>
      <c r="G789" s="5"/>
    </row>
    <row r="790" spans="1:7" x14ac:dyDescent="0.25">
      <c r="A790" s="1807" t="s">
        <v>30</v>
      </c>
      <c r="B790" s="1807"/>
      <c r="C790" s="5"/>
      <c r="D790" s="1807" t="s">
        <v>2991</v>
      </c>
      <c r="E790" s="1807"/>
      <c r="F790" s="1807"/>
      <c r="G790" s="5"/>
    </row>
    <row r="791" spans="1:7" x14ac:dyDescent="0.25">
      <c r="A791" s="1800" t="s">
        <v>0</v>
      </c>
      <c r="B791" s="1800"/>
      <c r="C791" s="1800"/>
      <c r="D791" s="1800"/>
      <c r="E791" s="1800"/>
      <c r="F791" s="1800"/>
    </row>
    <row r="792" spans="1:7" x14ac:dyDescent="0.25">
      <c r="A792" s="1800" t="s">
        <v>1</v>
      </c>
      <c r="B792" s="1800"/>
      <c r="C792" s="1800"/>
      <c r="D792" s="1800"/>
      <c r="E792" s="1800"/>
      <c r="F792" s="1800"/>
    </row>
    <row r="793" spans="1:7" x14ac:dyDescent="0.25">
      <c r="A793" s="1800" t="s">
        <v>1697</v>
      </c>
      <c r="B793" s="1800"/>
      <c r="C793" s="1800"/>
      <c r="D793" s="1800"/>
      <c r="E793" s="1800"/>
      <c r="F793" s="1800"/>
    </row>
    <row r="794" spans="1:7" x14ac:dyDescent="0.25">
      <c r="A794" s="138"/>
      <c r="B794" s="138"/>
      <c r="C794" s="162"/>
      <c r="D794" s="162"/>
      <c r="E794" s="162"/>
      <c r="F794" s="162"/>
    </row>
    <row r="795" spans="1:7" x14ac:dyDescent="0.25">
      <c r="A795" s="162" t="s">
        <v>787</v>
      </c>
      <c r="B795" s="162" t="s">
        <v>786</v>
      </c>
      <c r="C795" s="162"/>
      <c r="D795" s="162"/>
      <c r="E795" s="162"/>
      <c r="F795" s="96" t="s">
        <v>6</v>
      </c>
    </row>
    <row r="796" spans="1:7" x14ac:dyDescent="0.25">
      <c r="A796" s="68" t="s">
        <v>277</v>
      </c>
      <c r="B796" s="68" t="s">
        <v>785</v>
      </c>
      <c r="C796" s="162"/>
      <c r="D796" s="162"/>
      <c r="E796" s="162"/>
      <c r="F796" s="97" t="s">
        <v>573</v>
      </c>
    </row>
    <row r="797" spans="1:7" ht="36" customHeight="1" x14ac:dyDescent="0.25">
      <c r="A797" s="68" t="s">
        <v>784</v>
      </c>
      <c r="B797" s="77" t="s">
        <v>873</v>
      </c>
      <c r="C797" s="162"/>
      <c r="D797" s="162"/>
      <c r="E797" s="162"/>
      <c r="F797" s="162"/>
    </row>
    <row r="798" spans="1:7" x14ac:dyDescent="0.25">
      <c r="A798" s="162" t="s">
        <v>579</v>
      </c>
      <c r="B798" s="162" t="s">
        <v>611</v>
      </c>
      <c r="C798" s="162"/>
      <c r="D798" s="162"/>
      <c r="E798" s="162"/>
      <c r="F798" s="162"/>
    </row>
    <row r="799" spans="1:7" x14ac:dyDescent="0.25">
      <c r="A799" s="1904" t="s">
        <v>561</v>
      </c>
      <c r="B799" s="1904"/>
      <c r="C799" s="162"/>
      <c r="D799" s="162"/>
      <c r="E799" s="162"/>
      <c r="F799" s="162"/>
    </row>
    <row r="800" spans="1:7" ht="24" x14ac:dyDescent="0.25">
      <c r="A800" s="553" t="s">
        <v>612</v>
      </c>
      <c r="B800" s="553" t="s">
        <v>12</v>
      </c>
      <c r="C800" s="1921" t="s">
        <v>13</v>
      </c>
      <c r="D800" s="1922"/>
      <c r="E800" s="556" t="s">
        <v>14</v>
      </c>
      <c r="F800" s="554" t="s">
        <v>15</v>
      </c>
      <c r="G800" s="557" t="s">
        <v>301</v>
      </c>
    </row>
    <row r="801" spans="1:7" x14ac:dyDescent="0.25">
      <c r="A801" s="558">
        <v>1</v>
      </c>
      <c r="B801" s="558">
        <v>2</v>
      </c>
      <c r="C801" s="1923">
        <v>3</v>
      </c>
      <c r="D801" s="1924"/>
      <c r="E801" s="560">
        <v>4</v>
      </c>
      <c r="F801" s="559">
        <v>5</v>
      </c>
      <c r="G801" s="557">
        <v>6</v>
      </c>
    </row>
    <row r="802" spans="1:7" x14ac:dyDescent="0.25">
      <c r="A802" s="186" t="s">
        <v>824</v>
      </c>
      <c r="B802" s="4" t="s">
        <v>323</v>
      </c>
      <c r="C802" s="236"/>
      <c r="D802" s="183"/>
      <c r="E802" s="561"/>
      <c r="F802" s="189"/>
      <c r="G802" s="32"/>
    </row>
    <row r="803" spans="1:7" ht="27" customHeight="1" x14ac:dyDescent="0.25">
      <c r="A803" s="186" t="s">
        <v>825</v>
      </c>
      <c r="B803" s="4" t="s">
        <v>88</v>
      </c>
      <c r="C803" s="236"/>
      <c r="D803" s="183"/>
      <c r="E803" s="561"/>
      <c r="F803" s="189"/>
      <c r="G803" s="32"/>
    </row>
    <row r="804" spans="1:7" ht="31.5" customHeight="1" x14ac:dyDescent="0.25">
      <c r="A804" s="186" t="s">
        <v>826</v>
      </c>
      <c r="B804" s="4" t="s">
        <v>354</v>
      </c>
      <c r="C804" s="6"/>
      <c r="D804" s="183"/>
      <c r="E804" s="238"/>
      <c r="F804" s="189"/>
      <c r="G804" s="32"/>
    </row>
    <row r="805" spans="1:7" x14ac:dyDescent="0.25">
      <c r="A805" s="186"/>
      <c r="B805" s="16" t="s">
        <v>872</v>
      </c>
      <c r="C805" s="6">
        <v>30</v>
      </c>
      <c r="D805" s="183" t="s">
        <v>315</v>
      </c>
      <c r="E805" s="238">
        <v>15000</v>
      </c>
      <c r="F805" s="189">
        <f>E805*C805</f>
        <v>450000</v>
      </c>
      <c r="G805" s="32"/>
    </row>
    <row r="806" spans="1:7" x14ac:dyDescent="0.25">
      <c r="A806" s="186"/>
      <c r="B806" s="16"/>
      <c r="C806" s="6"/>
      <c r="D806" s="183"/>
      <c r="E806" s="238"/>
      <c r="F806" s="189"/>
      <c r="G806" s="32"/>
    </row>
    <row r="807" spans="1:7" x14ac:dyDescent="0.25">
      <c r="A807" s="186"/>
      <c r="B807" s="16" t="s">
        <v>775</v>
      </c>
      <c r="C807" s="6"/>
      <c r="D807" s="183"/>
      <c r="E807" s="238"/>
      <c r="F807" s="189"/>
      <c r="G807" s="32"/>
    </row>
    <row r="808" spans="1:7" x14ac:dyDescent="0.25">
      <c r="A808" s="16"/>
      <c r="B808" s="16" t="s">
        <v>871</v>
      </c>
      <c r="C808" s="6">
        <v>100</v>
      </c>
      <c r="D808" s="183" t="s">
        <v>565</v>
      </c>
      <c r="E808" s="238">
        <v>15000</v>
      </c>
      <c r="F808" s="189">
        <f>E808*C808</f>
        <v>1500000</v>
      </c>
      <c r="G808" s="32"/>
    </row>
    <row r="809" spans="1:7" x14ac:dyDescent="0.25">
      <c r="A809" s="16"/>
      <c r="B809" s="16"/>
      <c r="C809" s="6"/>
      <c r="D809" s="183"/>
      <c r="E809" s="238"/>
      <c r="F809" s="189"/>
      <c r="G809" s="32"/>
    </row>
    <row r="810" spans="1:7" ht="24.75" customHeight="1" x14ac:dyDescent="0.25">
      <c r="A810" s="186" t="s">
        <v>829</v>
      </c>
      <c r="B810" s="4" t="s">
        <v>376</v>
      </c>
      <c r="C810" s="6"/>
      <c r="D810" s="183"/>
      <c r="E810" s="238"/>
      <c r="F810" s="189"/>
      <c r="G810" s="32"/>
    </row>
    <row r="811" spans="1:7" x14ac:dyDescent="0.25">
      <c r="A811" s="186"/>
      <c r="B811" s="16" t="s">
        <v>377</v>
      </c>
      <c r="C811" s="6">
        <v>1</v>
      </c>
      <c r="D811" s="183" t="s">
        <v>102</v>
      </c>
      <c r="E811" s="238">
        <v>90000</v>
      </c>
      <c r="F811" s="189">
        <f>E811*C811</f>
        <v>90000</v>
      </c>
      <c r="G811" s="32"/>
    </row>
    <row r="812" spans="1:7" x14ac:dyDescent="0.25">
      <c r="A812" s="16"/>
      <c r="B812" s="16"/>
      <c r="C812" s="6"/>
      <c r="D812" s="183"/>
      <c r="E812" s="238"/>
      <c r="F812" s="189"/>
      <c r="G812" s="32"/>
    </row>
    <row r="813" spans="1:7" ht="33.75" customHeight="1" x14ac:dyDescent="0.25">
      <c r="A813" s="16" t="s">
        <v>830</v>
      </c>
      <c r="B813" s="4" t="s">
        <v>831</v>
      </c>
      <c r="C813" s="6"/>
      <c r="D813" s="183"/>
      <c r="E813" s="238"/>
      <c r="F813" s="189"/>
      <c r="G813" s="32"/>
    </row>
    <row r="814" spans="1:7" x14ac:dyDescent="0.25">
      <c r="A814" s="16"/>
      <c r="B814" s="16" t="s">
        <v>496</v>
      </c>
      <c r="C814" s="6">
        <v>2</v>
      </c>
      <c r="D814" s="183" t="s">
        <v>102</v>
      </c>
      <c r="E814" s="238">
        <v>50000</v>
      </c>
      <c r="F814" s="189">
        <f>E814*C814</f>
        <v>100000</v>
      </c>
      <c r="G814" s="32"/>
    </row>
    <row r="815" spans="1:7" x14ac:dyDescent="0.25">
      <c r="A815" s="16"/>
      <c r="B815" s="16" t="s">
        <v>321</v>
      </c>
      <c r="C815" s="6">
        <v>10</v>
      </c>
      <c r="D815" s="183" t="s">
        <v>186</v>
      </c>
      <c r="E815" s="238">
        <v>3000</v>
      </c>
      <c r="F815" s="189">
        <f>E815*C815</f>
        <v>30000</v>
      </c>
      <c r="G815" s="32"/>
    </row>
    <row r="816" spans="1:7" x14ac:dyDescent="0.25">
      <c r="A816" s="16"/>
      <c r="B816" s="16" t="s">
        <v>335</v>
      </c>
      <c r="C816" s="6">
        <v>2</v>
      </c>
      <c r="D816" s="183" t="s">
        <v>336</v>
      </c>
      <c r="E816" s="238">
        <v>10000</v>
      </c>
      <c r="F816" s="189">
        <f>E816*C816</f>
        <v>20000</v>
      </c>
      <c r="G816" s="32"/>
    </row>
    <row r="817" spans="1:7" x14ac:dyDescent="0.25">
      <c r="A817" s="16"/>
      <c r="B817" s="16" t="s">
        <v>413</v>
      </c>
      <c r="C817" s="6">
        <v>3</v>
      </c>
      <c r="D817" s="183" t="s">
        <v>186</v>
      </c>
      <c r="E817" s="238">
        <v>15000</v>
      </c>
      <c r="F817" s="189">
        <f>E817*C817</f>
        <v>45000</v>
      </c>
      <c r="G817" s="32"/>
    </row>
    <row r="818" spans="1:7" x14ac:dyDescent="0.25">
      <c r="A818" s="236"/>
      <c r="B818" s="16"/>
      <c r="C818" s="6"/>
      <c r="D818" s="183"/>
      <c r="E818" s="238"/>
      <c r="F818" s="189"/>
      <c r="G818" s="32"/>
    </row>
    <row r="819" spans="1:7" ht="25.5" customHeight="1" x14ac:dyDescent="0.25">
      <c r="A819" s="186" t="s">
        <v>832</v>
      </c>
      <c r="B819" s="4" t="s">
        <v>340</v>
      </c>
      <c r="C819" s="6"/>
      <c r="D819" s="183"/>
      <c r="E819" s="238"/>
      <c r="F819" s="189"/>
      <c r="G819" s="32"/>
    </row>
    <row r="820" spans="1:7" ht="55.5" customHeight="1" x14ac:dyDescent="0.25">
      <c r="A820" s="236" t="s">
        <v>836</v>
      </c>
      <c r="B820" s="4" t="s">
        <v>822</v>
      </c>
      <c r="C820" s="6"/>
      <c r="D820" s="183"/>
      <c r="E820" s="238"/>
      <c r="F820" s="189"/>
      <c r="G820" s="32"/>
    </row>
    <row r="821" spans="1:7" x14ac:dyDescent="0.25">
      <c r="A821" s="236"/>
      <c r="B821" s="4" t="s">
        <v>471</v>
      </c>
      <c r="C821" s="6">
        <v>1</v>
      </c>
      <c r="D821" s="183" t="s">
        <v>315</v>
      </c>
      <c r="E821" s="238">
        <v>300000</v>
      </c>
      <c r="F821" s="189">
        <f>E821*C821</f>
        <v>300000</v>
      </c>
      <c r="G821" s="32"/>
    </row>
    <row r="822" spans="1:7" x14ac:dyDescent="0.25">
      <c r="A822" s="236"/>
      <c r="B822" s="4" t="s">
        <v>596</v>
      </c>
      <c r="C822" s="6">
        <v>1</v>
      </c>
      <c r="D822" s="183" t="s">
        <v>315</v>
      </c>
      <c r="E822" s="238">
        <v>250000</v>
      </c>
      <c r="F822" s="189">
        <f>E822*C822</f>
        <v>250000</v>
      </c>
      <c r="G822" s="32"/>
    </row>
    <row r="823" spans="1:7" x14ac:dyDescent="0.25">
      <c r="A823" s="236"/>
      <c r="B823" s="4" t="s">
        <v>576</v>
      </c>
      <c r="C823" s="6">
        <v>3</v>
      </c>
      <c r="D823" s="183" t="s">
        <v>315</v>
      </c>
      <c r="E823" s="238">
        <v>200000</v>
      </c>
      <c r="F823" s="189">
        <f>E823*C823</f>
        <v>600000</v>
      </c>
      <c r="G823" s="32"/>
    </row>
    <row r="824" spans="1:7" x14ac:dyDescent="0.25">
      <c r="A824" s="236"/>
      <c r="B824" s="4"/>
      <c r="C824" s="6"/>
      <c r="D824" s="183"/>
      <c r="E824" s="238"/>
      <c r="F824" s="189"/>
      <c r="G824" s="32"/>
    </row>
    <row r="825" spans="1:7" ht="38.25" customHeight="1" x14ac:dyDescent="0.25">
      <c r="A825" s="236" t="s">
        <v>870</v>
      </c>
      <c r="B825" s="4" t="s">
        <v>809</v>
      </c>
      <c r="C825" s="6"/>
      <c r="D825" s="183"/>
      <c r="E825" s="238"/>
      <c r="F825" s="189"/>
      <c r="G825" s="32"/>
    </row>
    <row r="826" spans="1:7" x14ac:dyDescent="0.25">
      <c r="A826" s="236"/>
      <c r="B826" s="16" t="s">
        <v>842</v>
      </c>
      <c r="C826" s="6">
        <v>2</v>
      </c>
      <c r="D826" s="183" t="s">
        <v>315</v>
      </c>
      <c r="E826" s="238">
        <v>300000</v>
      </c>
      <c r="F826" s="189">
        <f>E826*C826</f>
        <v>600000</v>
      </c>
      <c r="G826" s="32"/>
    </row>
    <row r="827" spans="1:7" x14ac:dyDescent="0.25">
      <c r="A827" s="236"/>
      <c r="B827" s="16"/>
      <c r="C827" s="6"/>
      <c r="D827" s="183"/>
      <c r="E827" s="238"/>
      <c r="F827" s="189"/>
      <c r="G827" s="32"/>
    </row>
    <row r="828" spans="1:7" ht="35.25" customHeight="1" x14ac:dyDescent="0.25">
      <c r="A828" s="236" t="s">
        <v>867</v>
      </c>
      <c r="B828" s="4" t="s">
        <v>393</v>
      </c>
      <c r="C828" s="240"/>
      <c r="D828" s="240"/>
      <c r="E828" s="240"/>
      <c r="F828" s="241"/>
      <c r="G828" s="32"/>
    </row>
    <row r="829" spans="1:7" x14ac:dyDescent="0.25">
      <c r="A829" s="236"/>
      <c r="B829" s="4" t="s">
        <v>869</v>
      </c>
      <c r="C829" s="6">
        <v>1</v>
      </c>
      <c r="D829" s="183" t="s">
        <v>315</v>
      </c>
      <c r="E829" s="238">
        <v>200000</v>
      </c>
      <c r="F829" s="189">
        <f>C829*E829</f>
        <v>200000</v>
      </c>
      <c r="G829" s="32"/>
    </row>
    <row r="830" spans="1:7" x14ac:dyDescent="0.25">
      <c r="A830" s="236"/>
      <c r="B830" s="16"/>
      <c r="C830" s="6"/>
      <c r="D830" s="183"/>
      <c r="E830" s="238"/>
      <c r="F830" s="189"/>
      <c r="G830" s="32"/>
    </row>
    <row r="831" spans="1:7" x14ac:dyDescent="0.25">
      <c r="A831" s="236" t="s">
        <v>841</v>
      </c>
      <c r="B831" s="16" t="s">
        <v>516</v>
      </c>
      <c r="C831" s="6"/>
      <c r="D831" s="183"/>
      <c r="E831" s="238"/>
      <c r="F831" s="189"/>
      <c r="G831" s="32"/>
    </row>
    <row r="832" spans="1:7" ht="36" customHeight="1" x14ac:dyDescent="0.25">
      <c r="A832" s="236" t="s">
        <v>840</v>
      </c>
      <c r="B832" s="4" t="s">
        <v>868</v>
      </c>
      <c r="C832" s="6"/>
      <c r="D832" s="183"/>
      <c r="E832" s="238"/>
      <c r="F832" s="189"/>
      <c r="G832" s="32"/>
    </row>
    <row r="833" spans="1:19" ht="36" customHeight="1" x14ac:dyDescent="0.25">
      <c r="A833" s="236"/>
      <c r="B833" s="4" t="s">
        <v>1284</v>
      </c>
      <c r="C833" s="6">
        <v>1</v>
      </c>
      <c r="D833" s="183" t="s">
        <v>152</v>
      </c>
      <c r="E833" s="238">
        <v>1500000</v>
      </c>
      <c r="F833" s="189">
        <f>E833*C833</f>
        <v>1500000</v>
      </c>
      <c r="G833" s="32"/>
    </row>
    <row r="834" spans="1:19" x14ac:dyDescent="0.25">
      <c r="A834" s="236"/>
      <c r="B834" s="16" t="s">
        <v>1733</v>
      </c>
      <c r="C834" s="6">
        <v>1</v>
      </c>
      <c r="D834" s="183" t="s">
        <v>152</v>
      </c>
      <c r="E834" s="238">
        <v>1000000</v>
      </c>
      <c r="F834" s="189">
        <f>E834*C834</f>
        <v>1000000</v>
      </c>
      <c r="G834" s="32"/>
    </row>
    <row r="835" spans="1:19" x14ac:dyDescent="0.25">
      <c r="A835" s="236"/>
      <c r="B835" s="16" t="s">
        <v>1729</v>
      </c>
      <c r="C835" s="6">
        <v>1</v>
      </c>
      <c r="D835" s="183" t="s">
        <v>152</v>
      </c>
      <c r="E835" s="238">
        <v>9950000</v>
      </c>
      <c r="F835" s="189">
        <f>E835*C835</f>
        <v>9950000</v>
      </c>
      <c r="G835" s="32"/>
    </row>
    <row r="836" spans="1:19" x14ac:dyDescent="0.25">
      <c r="A836" s="236"/>
      <c r="B836" s="253" t="s">
        <v>1286</v>
      </c>
      <c r="C836" s="220">
        <v>1</v>
      </c>
      <c r="D836" s="221" t="s">
        <v>152</v>
      </c>
      <c r="E836" s="562">
        <v>1000000</v>
      </c>
      <c r="F836" s="189">
        <f>E836*C836</f>
        <v>1000000</v>
      </c>
      <c r="G836" s="32"/>
    </row>
    <row r="837" spans="1:19" x14ac:dyDescent="0.25">
      <c r="A837" s="236"/>
      <c r="B837" s="242"/>
      <c r="C837" s="236"/>
      <c r="D837" s="183"/>
      <c r="E837" s="561"/>
      <c r="F837" s="189"/>
      <c r="G837" s="32"/>
    </row>
    <row r="838" spans="1:19" x14ac:dyDescent="0.25">
      <c r="A838" s="16"/>
      <c r="B838" s="161" t="s">
        <v>27</v>
      </c>
      <c r="C838" s="184"/>
      <c r="D838" s="185"/>
      <c r="E838" s="184"/>
      <c r="F838" s="187">
        <f>SUM(F802:F836)</f>
        <v>17635000</v>
      </c>
      <c r="G838" s="32" t="s">
        <v>2625</v>
      </c>
      <c r="J838" s="175"/>
      <c r="S838" s="175">
        <f>F838</f>
        <v>17635000</v>
      </c>
    </row>
    <row r="839" spans="1:19" x14ac:dyDescent="0.25">
      <c r="A839" s="1807" t="s">
        <v>614</v>
      </c>
      <c r="B839" s="1807"/>
      <c r="C839" s="5" t="s">
        <v>28</v>
      </c>
      <c r="D839" s="1808" t="s">
        <v>1700</v>
      </c>
      <c r="E839" s="1808"/>
      <c r="F839" s="1808"/>
      <c r="G839" s="5"/>
    </row>
    <row r="840" spans="1:19" x14ac:dyDescent="0.25">
      <c r="A840" s="1807" t="s">
        <v>29</v>
      </c>
      <c r="B840" s="1807"/>
      <c r="C840" s="5"/>
      <c r="D840" s="1809" t="s">
        <v>2996</v>
      </c>
      <c r="E840" s="1809"/>
      <c r="F840" s="1809"/>
      <c r="G840" s="5"/>
    </row>
    <row r="841" spans="1:19" x14ac:dyDescent="0.25">
      <c r="A841" s="1"/>
      <c r="B841" s="3"/>
      <c r="C841" s="5"/>
      <c r="D841" s="7"/>
      <c r="E841" s="17"/>
      <c r="F841" s="17"/>
      <c r="G841" s="5"/>
    </row>
    <row r="842" spans="1:19" x14ac:dyDescent="0.25">
      <c r="A842" s="1"/>
      <c r="B842" s="3"/>
      <c r="C842" s="5"/>
      <c r="D842" s="7"/>
      <c r="E842" s="17"/>
      <c r="F842" s="17"/>
      <c r="G842" s="5"/>
    </row>
    <row r="843" spans="1:19" x14ac:dyDescent="0.25">
      <c r="A843" s="1807"/>
      <c r="B843" s="1807"/>
      <c r="C843" s="5"/>
      <c r="D843" s="7"/>
      <c r="E843" s="1807"/>
      <c r="F843" s="1807"/>
      <c r="G843" s="5"/>
    </row>
    <row r="844" spans="1:19" x14ac:dyDescent="0.25">
      <c r="A844" s="1807" t="s">
        <v>30</v>
      </c>
      <c r="B844" s="1807"/>
      <c r="C844" s="5"/>
      <c r="D844" s="1807" t="s">
        <v>2993</v>
      </c>
      <c r="E844" s="1807"/>
      <c r="F844" s="1807"/>
      <c r="G844" s="5"/>
    </row>
    <row r="845" spans="1:19" x14ac:dyDescent="0.25">
      <c r="A845" s="1800" t="s">
        <v>0</v>
      </c>
      <c r="B845" s="1800"/>
      <c r="C845" s="1800"/>
      <c r="D845" s="1800"/>
      <c r="E845" s="1800"/>
      <c r="F845" s="1800"/>
    </row>
    <row r="846" spans="1:19" x14ac:dyDescent="0.25">
      <c r="A846" s="1800" t="s">
        <v>1</v>
      </c>
      <c r="B846" s="1800"/>
      <c r="C846" s="1800"/>
      <c r="D846" s="1800"/>
      <c r="E846" s="1800"/>
      <c r="F846" s="1800"/>
    </row>
    <row r="847" spans="1:19" x14ac:dyDescent="0.25">
      <c r="A847" s="1800" t="s">
        <v>1697</v>
      </c>
      <c r="B847" s="1800"/>
      <c r="C847" s="1800"/>
      <c r="D847" s="1800"/>
      <c r="E847" s="1800"/>
      <c r="F847" s="1800"/>
    </row>
    <row r="848" spans="1:19" x14ac:dyDescent="0.25">
      <c r="A848" s="138"/>
      <c r="B848" s="138"/>
      <c r="C848" s="138"/>
      <c r="D848" s="138"/>
      <c r="E848" s="138"/>
      <c r="F848" s="138"/>
    </row>
    <row r="849" spans="1:7" x14ac:dyDescent="0.25">
      <c r="A849" s="138"/>
      <c r="B849" s="138"/>
      <c r="C849" s="138"/>
      <c r="D849" s="138"/>
      <c r="E849" s="138"/>
      <c r="F849" s="138"/>
    </row>
    <row r="850" spans="1:7" x14ac:dyDescent="0.25">
      <c r="A850" s="162" t="s">
        <v>787</v>
      </c>
      <c r="B850" s="162" t="s">
        <v>786</v>
      </c>
      <c r="C850" s="162"/>
      <c r="D850" s="162"/>
      <c r="E850" s="23" t="s">
        <v>6</v>
      </c>
      <c r="F850" s="23"/>
    </row>
    <row r="851" spans="1:7" x14ac:dyDescent="0.25">
      <c r="A851" s="68" t="s">
        <v>277</v>
      </c>
      <c r="B851" s="68" t="s">
        <v>785</v>
      </c>
      <c r="C851" s="68"/>
      <c r="D851" s="138"/>
      <c r="E851" s="9" t="s">
        <v>573</v>
      </c>
      <c r="F851" s="9"/>
    </row>
    <row r="852" spans="1:7" ht="48.75" x14ac:dyDescent="0.25">
      <c r="A852" s="202" t="s">
        <v>784</v>
      </c>
      <c r="B852" s="77" t="s">
        <v>2412</v>
      </c>
      <c r="C852" s="68"/>
      <c r="D852" s="138"/>
      <c r="E852" s="1144"/>
      <c r="F852" s="68"/>
    </row>
    <row r="853" spans="1:7" x14ac:dyDescent="0.25">
      <c r="A853" s="162" t="s">
        <v>579</v>
      </c>
      <c r="B853" s="162" t="s">
        <v>65</v>
      </c>
      <c r="C853" s="68"/>
      <c r="D853" s="138"/>
      <c r="E853" s="1144"/>
      <c r="F853" s="68"/>
    </row>
    <row r="854" spans="1:7" x14ac:dyDescent="0.25">
      <c r="A854" s="1904" t="s">
        <v>561</v>
      </c>
      <c r="B854" s="1904"/>
      <c r="C854" s="68"/>
      <c r="D854" s="138"/>
      <c r="E854" s="1144"/>
      <c r="F854" s="68"/>
    </row>
    <row r="855" spans="1:7" ht="24" x14ac:dyDescent="0.25">
      <c r="A855" s="192" t="s">
        <v>612</v>
      </c>
      <c r="B855" s="192" t="s">
        <v>12</v>
      </c>
      <c r="C855" s="1937" t="s">
        <v>13</v>
      </c>
      <c r="D855" s="1938"/>
      <c r="E855" s="1145" t="s">
        <v>14</v>
      </c>
      <c r="F855" s="193" t="s">
        <v>15</v>
      </c>
      <c r="G855" s="557" t="s">
        <v>301</v>
      </c>
    </row>
    <row r="856" spans="1:7" x14ac:dyDescent="0.25">
      <c r="A856" s="92">
        <v>1</v>
      </c>
      <c r="B856" s="92">
        <v>2</v>
      </c>
      <c r="C856" s="1939">
        <v>3</v>
      </c>
      <c r="D856" s="1940"/>
      <c r="E856" s="1146">
        <v>4</v>
      </c>
      <c r="F856" s="45">
        <v>5</v>
      </c>
      <c r="G856" s="557">
        <v>6</v>
      </c>
    </row>
    <row r="857" spans="1:7" x14ac:dyDescent="0.25">
      <c r="A857" s="178" t="s">
        <v>824</v>
      </c>
      <c r="B857" s="194" t="s">
        <v>323</v>
      </c>
      <c r="C857" s="195"/>
      <c r="D857" s="196"/>
      <c r="E857" s="105"/>
      <c r="F857" s="218"/>
      <c r="G857" s="32"/>
    </row>
    <row r="858" spans="1:7" ht="24.75" x14ac:dyDescent="0.25">
      <c r="A858" s="178" t="s">
        <v>825</v>
      </c>
      <c r="B858" s="194" t="s">
        <v>88</v>
      </c>
      <c r="C858" s="195"/>
      <c r="D858" s="196"/>
      <c r="E858" s="105"/>
      <c r="F858" s="218"/>
      <c r="G858" s="32"/>
    </row>
    <row r="859" spans="1:7" ht="24.75" x14ac:dyDescent="0.25">
      <c r="A859" s="178" t="s">
        <v>826</v>
      </c>
      <c r="B859" s="4" t="s">
        <v>354</v>
      </c>
      <c r="C859" s="6"/>
      <c r="D859" s="183"/>
      <c r="E859" s="12"/>
      <c r="F859" s="218"/>
      <c r="G859" s="32"/>
    </row>
    <row r="860" spans="1:7" x14ac:dyDescent="0.25">
      <c r="A860" s="198"/>
      <c r="B860" s="16" t="s">
        <v>2413</v>
      </c>
      <c r="C860" s="6">
        <v>92</v>
      </c>
      <c r="D860" s="183" t="s">
        <v>565</v>
      </c>
      <c r="E860" s="12">
        <v>15000</v>
      </c>
      <c r="F860" s="218">
        <f>E860*C860</f>
        <v>1380000</v>
      </c>
      <c r="G860" s="32"/>
    </row>
    <row r="861" spans="1:7" x14ac:dyDescent="0.25">
      <c r="A861" s="195"/>
      <c r="B861" s="16"/>
      <c r="C861" s="6"/>
      <c r="D861" s="183"/>
      <c r="E861" s="12"/>
      <c r="F861" s="218"/>
      <c r="G861" s="32"/>
    </row>
    <row r="862" spans="1:7" ht="24.75" x14ac:dyDescent="0.25">
      <c r="A862" s="178" t="s">
        <v>829</v>
      </c>
      <c r="B862" s="4" t="s">
        <v>376</v>
      </c>
      <c r="C862" s="6"/>
      <c r="D862" s="183"/>
      <c r="E862" s="12"/>
      <c r="F862" s="218"/>
      <c r="G862" s="32"/>
    </row>
    <row r="863" spans="1:7" x14ac:dyDescent="0.25">
      <c r="A863" s="195"/>
      <c r="B863" s="16" t="s">
        <v>377</v>
      </c>
      <c r="C863" s="6">
        <v>1</v>
      </c>
      <c r="D863" s="183" t="s">
        <v>102</v>
      </c>
      <c r="E863" s="12">
        <v>90000</v>
      </c>
      <c r="F863" s="218">
        <f>E863*C863</f>
        <v>90000</v>
      </c>
      <c r="G863" s="32"/>
    </row>
    <row r="864" spans="1:7" x14ac:dyDescent="0.25">
      <c r="A864" s="195"/>
      <c r="B864" s="16"/>
      <c r="C864" s="6"/>
      <c r="D864" s="183"/>
      <c r="E864" s="12"/>
      <c r="F864" s="218"/>
      <c r="G864" s="32"/>
    </row>
    <row r="865" spans="1:19" ht="48.75" x14ac:dyDescent="0.25">
      <c r="A865" s="178" t="s">
        <v>833</v>
      </c>
      <c r="B865" s="4" t="s">
        <v>809</v>
      </c>
      <c r="C865" s="6"/>
      <c r="D865" s="183"/>
      <c r="E865" s="12"/>
      <c r="F865" s="218"/>
      <c r="G865" s="32"/>
    </row>
    <row r="866" spans="1:19" x14ac:dyDescent="0.25">
      <c r="A866" s="198"/>
      <c r="B866" s="16" t="s">
        <v>835</v>
      </c>
      <c r="C866" s="6">
        <v>2</v>
      </c>
      <c r="D866" s="183" t="s">
        <v>315</v>
      </c>
      <c r="E866" s="12">
        <v>300000</v>
      </c>
      <c r="F866" s="218">
        <f>E866*C866</f>
        <v>600000</v>
      </c>
      <c r="G866" s="32"/>
    </row>
    <row r="867" spans="1:19" x14ac:dyDescent="0.25">
      <c r="A867" s="195"/>
      <c r="B867" s="16"/>
      <c r="C867" s="6"/>
      <c r="D867" s="183"/>
      <c r="E867" s="12"/>
      <c r="F867" s="218"/>
      <c r="G867" s="32"/>
    </row>
    <row r="868" spans="1:19" x14ac:dyDescent="0.25">
      <c r="A868" s="198"/>
      <c r="B868" s="1147"/>
      <c r="C868" s="220"/>
      <c r="D868" s="221"/>
      <c r="E868" s="103"/>
      <c r="F868" s="222"/>
      <c r="G868" s="32"/>
    </row>
    <row r="869" spans="1:19" x14ac:dyDescent="0.25">
      <c r="A869" s="198"/>
      <c r="B869" s="1959" t="s">
        <v>27</v>
      </c>
      <c r="C869" s="1959"/>
      <c r="D869" s="1959"/>
      <c r="E869" s="1959"/>
      <c r="F869" s="218">
        <f>SUM(F858:F868)</f>
        <v>2070000</v>
      </c>
      <c r="G869" s="32" t="s">
        <v>2625</v>
      </c>
      <c r="S869" s="175">
        <f>F869</f>
        <v>2070000</v>
      </c>
    </row>
    <row r="870" spans="1:19" x14ac:dyDescent="0.25">
      <c r="A870" s="1807" t="s">
        <v>614</v>
      </c>
      <c r="B870" s="1807"/>
      <c r="C870" s="5" t="s">
        <v>28</v>
      </c>
      <c r="D870" s="1808" t="s">
        <v>1698</v>
      </c>
      <c r="E870" s="1808"/>
      <c r="F870" s="1808"/>
      <c r="G870" s="5"/>
    </row>
    <row r="871" spans="1:19" x14ac:dyDescent="0.25">
      <c r="A871" s="1807" t="s">
        <v>29</v>
      </c>
      <c r="B871" s="1807"/>
      <c r="C871" s="5"/>
      <c r="D871" s="1809" t="s">
        <v>2990</v>
      </c>
      <c r="E871" s="1809"/>
      <c r="F871" s="1809"/>
      <c r="G871" s="5"/>
    </row>
    <row r="872" spans="1:19" x14ac:dyDescent="0.25">
      <c r="A872" s="1"/>
      <c r="B872" s="3"/>
      <c r="C872" s="5"/>
      <c r="D872" s="7"/>
      <c r="E872" s="17"/>
      <c r="F872" s="17"/>
      <c r="G872" s="5"/>
    </row>
    <row r="873" spans="1:19" x14ac:dyDescent="0.25">
      <c r="A873" s="1"/>
      <c r="B873" s="3"/>
      <c r="C873" s="5"/>
      <c r="D873" s="7"/>
      <c r="E873" s="17"/>
      <c r="F873" s="17"/>
      <c r="G873" s="5"/>
    </row>
    <row r="874" spans="1:19" x14ac:dyDescent="0.25">
      <c r="A874" s="1807"/>
      <c r="B874" s="1807"/>
      <c r="C874" s="5"/>
      <c r="D874" s="7"/>
      <c r="E874" s="1807"/>
      <c r="F874" s="1807"/>
      <c r="G874" s="5"/>
    </row>
    <row r="875" spans="1:19" x14ac:dyDescent="0.25">
      <c r="A875" s="1807" t="s">
        <v>30</v>
      </c>
      <c r="B875" s="1807"/>
      <c r="C875" s="5"/>
      <c r="D875" s="1807" t="s">
        <v>2991</v>
      </c>
      <c r="E875" s="1807"/>
      <c r="F875" s="1807"/>
      <c r="G875" s="5"/>
    </row>
    <row r="876" spans="1:19" x14ac:dyDescent="0.25">
      <c r="A876" s="1800" t="s">
        <v>0</v>
      </c>
      <c r="B876" s="1800"/>
      <c r="C876" s="1800"/>
      <c r="D876" s="1800"/>
      <c r="E876" s="1800"/>
      <c r="F876" s="1800"/>
    </row>
    <row r="877" spans="1:19" x14ac:dyDescent="0.25">
      <c r="A877" s="1800" t="s">
        <v>1</v>
      </c>
      <c r="B877" s="1800"/>
      <c r="C877" s="1800"/>
      <c r="D877" s="1800"/>
      <c r="E877" s="1800"/>
      <c r="F877" s="1800"/>
    </row>
    <row r="878" spans="1:19" x14ac:dyDescent="0.25">
      <c r="A878" s="1800" t="s">
        <v>1697</v>
      </c>
      <c r="B878" s="1800"/>
      <c r="C878" s="1800"/>
      <c r="D878" s="1800"/>
      <c r="E878" s="1800"/>
      <c r="F878" s="1800"/>
    </row>
    <row r="879" spans="1:19" x14ac:dyDescent="0.25">
      <c r="A879" s="138"/>
      <c r="B879" s="138"/>
      <c r="C879" s="162"/>
      <c r="D879" s="162"/>
      <c r="E879" s="162"/>
      <c r="F879" s="162"/>
    </row>
    <row r="880" spans="1:19" x14ac:dyDescent="0.25">
      <c r="A880" s="162" t="s">
        <v>787</v>
      </c>
      <c r="B880" s="162" t="s">
        <v>786</v>
      </c>
      <c r="C880" s="162"/>
      <c r="D880" s="162"/>
      <c r="E880" s="162"/>
      <c r="F880" s="96" t="s">
        <v>6</v>
      </c>
    </row>
    <row r="881" spans="1:7" x14ac:dyDescent="0.25">
      <c r="A881" s="68" t="s">
        <v>277</v>
      </c>
      <c r="B881" s="68" t="s">
        <v>785</v>
      </c>
      <c r="C881" s="162"/>
      <c r="D881" s="162"/>
      <c r="E881" s="162"/>
      <c r="F881" s="97" t="s">
        <v>573</v>
      </c>
    </row>
    <row r="882" spans="1:7" ht="47.25" customHeight="1" x14ac:dyDescent="0.25">
      <c r="A882" s="68" t="s">
        <v>784</v>
      </c>
      <c r="B882" s="77" t="s">
        <v>886</v>
      </c>
      <c r="C882" s="162"/>
      <c r="D882" s="162"/>
      <c r="E882" s="162"/>
      <c r="F882" s="162"/>
    </row>
    <row r="883" spans="1:7" x14ac:dyDescent="0.25">
      <c r="A883" s="162" t="s">
        <v>579</v>
      </c>
      <c r="B883" s="162" t="s">
        <v>611</v>
      </c>
      <c r="C883" s="162"/>
      <c r="D883" s="162"/>
      <c r="E883" s="162"/>
      <c r="F883" s="162"/>
    </row>
    <row r="884" spans="1:7" x14ac:dyDescent="0.25">
      <c r="A884" s="1920" t="s">
        <v>561</v>
      </c>
      <c r="B884" s="1920"/>
      <c r="C884" s="162"/>
      <c r="D884" s="162"/>
      <c r="E884" s="162"/>
      <c r="F884" s="162"/>
    </row>
    <row r="885" spans="1:7" ht="24" x14ac:dyDescent="0.25">
      <c r="A885" s="553" t="s">
        <v>612</v>
      </c>
      <c r="B885" s="553" t="s">
        <v>12</v>
      </c>
      <c r="C885" s="1921" t="s">
        <v>13</v>
      </c>
      <c r="D885" s="1922"/>
      <c r="E885" s="556" t="s">
        <v>14</v>
      </c>
      <c r="F885" s="554" t="s">
        <v>15</v>
      </c>
      <c r="G885" s="557" t="s">
        <v>301</v>
      </c>
    </row>
    <row r="886" spans="1:7" x14ac:dyDescent="0.25">
      <c r="A886" s="558">
        <v>1</v>
      </c>
      <c r="B886" s="558">
        <v>2</v>
      </c>
      <c r="C886" s="1923">
        <v>3</v>
      </c>
      <c r="D886" s="1924"/>
      <c r="E886" s="560">
        <v>4</v>
      </c>
      <c r="F886" s="559">
        <v>5</v>
      </c>
      <c r="G886" s="557">
        <v>6</v>
      </c>
    </row>
    <row r="887" spans="1:7" ht="22.5" customHeight="1" x14ac:dyDescent="0.25">
      <c r="A887" s="245" t="s">
        <v>885</v>
      </c>
      <c r="B887" s="246" t="s">
        <v>323</v>
      </c>
      <c r="C887" s="198"/>
      <c r="D887" s="245"/>
      <c r="E887" s="563"/>
      <c r="F887" s="197"/>
      <c r="G887" s="32"/>
    </row>
    <row r="888" spans="1:7" ht="33" customHeight="1" x14ac:dyDescent="0.25">
      <c r="A888" s="245" t="s">
        <v>884</v>
      </c>
      <c r="B888" s="246" t="s">
        <v>88</v>
      </c>
      <c r="C888" s="198"/>
      <c r="D888" s="245"/>
      <c r="E888" s="563"/>
      <c r="F888" s="197"/>
      <c r="G888" s="32"/>
    </row>
    <row r="889" spans="1:7" ht="29.25" customHeight="1" x14ac:dyDescent="0.25">
      <c r="A889" s="245" t="s">
        <v>883</v>
      </c>
      <c r="B889" s="246" t="s">
        <v>845</v>
      </c>
      <c r="C889" s="198"/>
      <c r="D889" s="245"/>
      <c r="E889" s="563"/>
      <c r="F889" s="197"/>
      <c r="G889" s="32"/>
    </row>
    <row r="890" spans="1:7" x14ac:dyDescent="0.25">
      <c r="A890" s="198"/>
      <c r="B890" s="16" t="s">
        <v>306</v>
      </c>
      <c r="C890" s="152">
        <v>26</v>
      </c>
      <c r="D890" s="152" t="s">
        <v>102</v>
      </c>
      <c r="E890" s="12">
        <v>4500</v>
      </c>
      <c r="F890" s="197">
        <f>E890*C890</f>
        <v>117000</v>
      </c>
      <c r="G890" s="32"/>
    </row>
    <row r="891" spans="1:7" x14ac:dyDescent="0.25">
      <c r="A891" s="198"/>
      <c r="B891" s="16" t="s">
        <v>122</v>
      </c>
      <c r="C891" s="152">
        <v>26</v>
      </c>
      <c r="D891" s="152" t="s">
        <v>102</v>
      </c>
      <c r="E891" s="12">
        <v>10000</v>
      </c>
      <c r="F891" s="197">
        <f>E891*C891</f>
        <v>260000</v>
      </c>
      <c r="G891" s="32"/>
    </row>
    <row r="892" spans="1:7" x14ac:dyDescent="0.25">
      <c r="A892" s="198"/>
      <c r="B892" s="16"/>
      <c r="C892" s="152"/>
      <c r="D892" s="152"/>
      <c r="E892" s="12"/>
      <c r="F892" s="197"/>
      <c r="G892" s="32"/>
    </row>
    <row r="893" spans="1:7" ht="34.5" customHeight="1" x14ac:dyDescent="0.25">
      <c r="A893" s="245" t="s">
        <v>882</v>
      </c>
      <c r="B893" s="150" t="s">
        <v>354</v>
      </c>
      <c r="C893" s="152"/>
      <c r="D893" s="152"/>
      <c r="E893" s="12"/>
      <c r="F893" s="197"/>
      <c r="G893" s="32"/>
    </row>
    <row r="894" spans="1:7" x14ac:dyDescent="0.25">
      <c r="A894" s="198"/>
      <c r="B894" s="16" t="s">
        <v>881</v>
      </c>
      <c r="C894" s="152">
        <v>50</v>
      </c>
      <c r="D894" s="152" t="s">
        <v>565</v>
      </c>
      <c r="E894" s="12">
        <v>15000</v>
      </c>
      <c r="F894" s="197">
        <f>E894*C894</f>
        <v>750000</v>
      </c>
      <c r="G894" s="32"/>
    </row>
    <row r="895" spans="1:7" x14ac:dyDescent="0.25">
      <c r="A895" s="198"/>
      <c r="B895" s="16"/>
      <c r="C895" s="152"/>
      <c r="D895" s="152"/>
      <c r="E895" s="12"/>
      <c r="F895" s="197"/>
      <c r="G895" s="32"/>
    </row>
    <row r="896" spans="1:7" ht="25.5" customHeight="1" x14ac:dyDescent="0.25">
      <c r="A896" s="245" t="s">
        <v>880</v>
      </c>
      <c r="B896" s="150" t="s">
        <v>376</v>
      </c>
      <c r="C896" s="152"/>
      <c r="D896" s="152"/>
      <c r="E896" s="12"/>
      <c r="F896" s="197"/>
      <c r="G896" s="32"/>
    </row>
    <row r="897" spans="1:7" x14ac:dyDescent="0.25">
      <c r="A897" s="198"/>
      <c r="B897" s="16" t="s">
        <v>377</v>
      </c>
      <c r="C897" s="152">
        <v>1</v>
      </c>
      <c r="D897" s="152" t="s">
        <v>102</v>
      </c>
      <c r="E897" s="12">
        <v>90000</v>
      </c>
      <c r="F897" s="197">
        <f>E897*C897</f>
        <v>90000</v>
      </c>
      <c r="G897" s="32"/>
    </row>
    <row r="898" spans="1:7" x14ac:dyDescent="0.25">
      <c r="A898" s="198"/>
      <c r="B898" s="16"/>
      <c r="C898" s="152"/>
      <c r="D898" s="152"/>
      <c r="E898" s="12"/>
      <c r="F898" s="197"/>
      <c r="G898" s="32"/>
    </row>
    <row r="899" spans="1:7" ht="29.25" customHeight="1" x14ac:dyDescent="0.25">
      <c r="A899" s="16" t="s">
        <v>879</v>
      </c>
      <c r="B899" s="150" t="s">
        <v>831</v>
      </c>
      <c r="C899" s="152"/>
      <c r="D899" s="183"/>
      <c r="E899" s="12"/>
      <c r="F899" s="189"/>
      <c r="G899" s="32"/>
    </row>
    <row r="900" spans="1:7" x14ac:dyDescent="0.25">
      <c r="A900" s="16"/>
      <c r="B900" s="16" t="s">
        <v>496</v>
      </c>
      <c r="C900" s="152">
        <v>1</v>
      </c>
      <c r="D900" s="183" t="s">
        <v>102</v>
      </c>
      <c r="E900" s="12">
        <v>50000</v>
      </c>
      <c r="F900" s="189">
        <f>E900*C900</f>
        <v>50000</v>
      </c>
      <c r="G900" s="32"/>
    </row>
    <row r="901" spans="1:7" x14ac:dyDescent="0.25">
      <c r="A901" s="16"/>
      <c r="B901" s="16" t="s">
        <v>321</v>
      </c>
      <c r="C901" s="152">
        <v>5</v>
      </c>
      <c r="D901" s="183" t="s">
        <v>186</v>
      </c>
      <c r="E901" s="12">
        <v>3000</v>
      </c>
      <c r="F901" s="189">
        <f>E901*C901</f>
        <v>15000</v>
      </c>
      <c r="G901" s="32"/>
    </row>
    <row r="902" spans="1:7" x14ac:dyDescent="0.25">
      <c r="A902" s="16"/>
      <c r="B902" s="16" t="s">
        <v>335</v>
      </c>
      <c r="C902" s="152">
        <v>1</v>
      </c>
      <c r="D902" s="183" t="s">
        <v>336</v>
      </c>
      <c r="E902" s="12">
        <v>10000</v>
      </c>
      <c r="F902" s="189">
        <f>E902*C902</f>
        <v>10000</v>
      </c>
      <c r="G902" s="32"/>
    </row>
    <row r="903" spans="1:7" x14ac:dyDescent="0.25">
      <c r="A903" s="236"/>
      <c r="B903" s="16"/>
      <c r="C903" s="152"/>
      <c r="D903" s="183"/>
      <c r="E903" s="12"/>
      <c r="F903" s="189"/>
      <c r="G903" s="32"/>
    </row>
    <row r="904" spans="1:7" x14ac:dyDescent="0.25">
      <c r="A904" s="245" t="s">
        <v>878</v>
      </c>
      <c r="B904" s="247" t="s">
        <v>415</v>
      </c>
      <c r="C904" s="152"/>
      <c r="D904" s="152"/>
      <c r="E904" s="93"/>
      <c r="F904" s="197"/>
      <c r="G904" s="32"/>
    </row>
    <row r="905" spans="1:7" ht="44.25" customHeight="1" x14ac:dyDescent="0.25">
      <c r="A905" s="245" t="s">
        <v>877</v>
      </c>
      <c r="B905" s="150" t="s">
        <v>876</v>
      </c>
      <c r="C905" s="152"/>
      <c r="D905" s="152"/>
      <c r="E905" s="93"/>
      <c r="F905" s="197"/>
      <c r="G905" s="32"/>
    </row>
    <row r="906" spans="1:7" x14ac:dyDescent="0.25">
      <c r="A906" s="245"/>
      <c r="B906" s="16" t="s">
        <v>214</v>
      </c>
      <c r="C906" s="152">
        <v>1</v>
      </c>
      <c r="D906" s="152" t="s">
        <v>315</v>
      </c>
      <c r="E906" s="93">
        <v>300000</v>
      </c>
      <c r="F906" s="197">
        <f>E906*C906</f>
        <v>300000</v>
      </c>
      <c r="G906" s="32"/>
    </row>
    <row r="907" spans="1:7" x14ac:dyDescent="0.25">
      <c r="A907" s="245"/>
      <c r="B907" s="16" t="s">
        <v>391</v>
      </c>
      <c r="C907" s="152">
        <v>2</v>
      </c>
      <c r="D907" s="152" t="s">
        <v>315</v>
      </c>
      <c r="E907" s="93">
        <v>200000</v>
      </c>
      <c r="F907" s="197">
        <f>E907*C907</f>
        <v>400000</v>
      </c>
      <c r="G907" s="32"/>
    </row>
    <row r="908" spans="1:7" x14ac:dyDescent="0.25">
      <c r="A908" s="245"/>
      <c r="B908" s="16"/>
      <c r="C908" s="152"/>
      <c r="D908" s="152"/>
      <c r="E908" s="93"/>
      <c r="F908" s="197"/>
      <c r="G908" s="32"/>
    </row>
    <row r="909" spans="1:7" ht="43.5" customHeight="1" x14ac:dyDescent="0.25">
      <c r="A909" s="245" t="s">
        <v>875</v>
      </c>
      <c r="B909" s="150" t="s">
        <v>484</v>
      </c>
      <c r="C909" s="152"/>
      <c r="D909" s="152"/>
      <c r="E909" s="93"/>
      <c r="F909" s="197"/>
      <c r="G909" s="32"/>
    </row>
    <row r="910" spans="1:7" ht="34.5" customHeight="1" x14ac:dyDescent="0.25">
      <c r="A910" s="198"/>
      <c r="B910" s="4" t="s">
        <v>874</v>
      </c>
      <c r="C910" s="152">
        <v>2</v>
      </c>
      <c r="D910" s="152" t="s">
        <v>461</v>
      </c>
      <c r="E910" s="93">
        <v>300000</v>
      </c>
      <c r="F910" s="197">
        <f>E910*C910</f>
        <v>600000</v>
      </c>
      <c r="G910" s="32"/>
    </row>
    <row r="911" spans="1:7" x14ac:dyDescent="0.25">
      <c r="A911" s="198"/>
      <c r="B911" s="16"/>
      <c r="C911" s="152"/>
      <c r="D911" s="152"/>
      <c r="E911" s="93"/>
      <c r="F911" s="197"/>
      <c r="G911" s="32"/>
    </row>
    <row r="912" spans="1:7" x14ac:dyDescent="0.25">
      <c r="A912" s="195"/>
      <c r="B912" s="247"/>
      <c r="C912" s="152"/>
      <c r="D912" s="152"/>
      <c r="E912" s="93"/>
      <c r="F912" s="197"/>
      <c r="G912" s="32"/>
    </row>
    <row r="913" spans="1:19" ht="15.75" thickBot="1" x14ac:dyDescent="0.3">
      <c r="A913" s="198"/>
      <c r="B913" s="249"/>
      <c r="C913" s="248"/>
      <c r="D913" s="250"/>
      <c r="E913" s="564"/>
      <c r="F913" s="197"/>
      <c r="G913" s="32"/>
    </row>
    <row r="914" spans="1:19" ht="15.75" thickBot="1" x14ac:dyDescent="0.3">
      <c r="A914" s="195"/>
      <c r="B914" s="565" t="s">
        <v>27</v>
      </c>
      <c r="C914" s="566"/>
      <c r="D914" s="566"/>
      <c r="E914" s="566"/>
      <c r="F914" s="567">
        <f>SUM(F887:F913)</f>
        <v>2592000</v>
      </c>
      <c r="G914" s="32" t="s">
        <v>2625</v>
      </c>
      <c r="J914" s="175"/>
      <c r="S914" s="175">
        <f>F914</f>
        <v>2592000</v>
      </c>
    </row>
    <row r="916" spans="1:19" x14ac:dyDescent="0.25">
      <c r="A916" s="1807" t="s">
        <v>614</v>
      </c>
      <c r="B916" s="1807"/>
      <c r="C916" s="5" t="s">
        <v>28</v>
      </c>
      <c r="D916" s="1808" t="s">
        <v>1698</v>
      </c>
      <c r="E916" s="1808"/>
      <c r="F916" s="1808"/>
      <c r="G916" s="5"/>
    </row>
    <row r="917" spans="1:19" x14ac:dyDescent="0.25">
      <c r="A917" s="1807" t="s">
        <v>29</v>
      </c>
      <c r="B917" s="1807"/>
      <c r="C917" s="5"/>
      <c r="D917" s="1809" t="s">
        <v>2990</v>
      </c>
      <c r="E917" s="1809"/>
      <c r="F917" s="1809"/>
      <c r="G917" s="5"/>
    </row>
    <row r="918" spans="1:19" x14ac:dyDescent="0.25">
      <c r="A918" s="1"/>
      <c r="B918" s="3"/>
      <c r="C918" s="5"/>
      <c r="D918" s="7"/>
      <c r="E918" s="17"/>
      <c r="F918" s="17"/>
      <c r="G918" s="5"/>
    </row>
    <row r="919" spans="1:19" x14ac:dyDescent="0.25">
      <c r="A919" s="1"/>
      <c r="B919" s="3"/>
      <c r="C919" s="5"/>
      <c r="D919" s="7"/>
      <c r="E919" s="17"/>
      <c r="F919" s="17"/>
      <c r="G919" s="5"/>
    </row>
    <row r="920" spans="1:19" x14ac:dyDescent="0.25">
      <c r="A920" s="1807"/>
      <c r="B920" s="1807"/>
      <c r="C920" s="5"/>
      <c r="D920" s="7"/>
      <c r="E920" s="1807"/>
      <c r="F920" s="1807"/>
      <c r="G920" s="5"/>
    </row>
    <row r="921" spans="1:19" x14ac:dyDescent="0.25">
      <c r="A921" s="1807" t="s">
        <v>30</v>
      </c>
      <c r="B921" s="1807"/>
      <c r="C921" s="5"/>
      <c r="D921" s="1807" t="s">
        <v>2991</v>
      </c>
      <c r="E921" s="1807"/>
      <c r="F921" s="1807"/>
      <c r="G921" s="5"/>
    </row>
    <row r="922" spans="1:19" x14ac:dyDescent="0.25">
      <c r="A922" s="1870" t="s">
        <v>0</v>
      </c>
      <c r="B922" s="1870"/>
      <c r="C922" s="1870"/>
      <c r="D922" s="1870"/>
      <c r="E922" s="1870"/>
      <c r="F922" s="1870"/>
      <c r="G922" s="1541"/>
    </row>
    <row r="923" spans="1:19" x14ac:dyDescent="0.25">
      <c r="A923" s="1870" t="s">
        <v>1</v>
      </c>
      <c r="B923" s="1870"/>
      <c r="C923" s="1870"/>
      <c r="D923" s="1870"/>
      <c r="E923" s="1870"/>
      <c r="F923" s="1870"/>
      <c r="G923" s="1541"/>
    </row>
    <row r="924" spans="1:19" x14ac:dyDescent="0.25">
      <c r="A924" s="1870" t="s">
        <v>1697</v>
      </c>
      <c r="B924" s="1870"/>
      <c r="C924" s="1870"/>
      <c r="D924" s="1870"/>
      <c r="E924" s="1870"/>
      <c r="F924" s="1870"/>
      <c r="G924" s="1541"/>
    </row>
    <row r="925" spans="1:19" x14ac:dyDescent="0.25">
      <c r="A925" s="534"/>
      <c r="B925" s="534"/>
      <c r="C925" s="442"/>
      <c r="D925" s="442"/>
      <c r="E925" s="442"/>
      <c r="F925" s="442"/>
      <c r="G925" s="1541"/>
    </row>
    <row r="926" spans="1:19" x14ac:dyDescent="0.25">
      <c r="A926" s="442" t="s">
        <v>787</v>
      </c>
      <c r="B926" s="442" t="s">
        <v>786</v>
      </c>
      <c r="C926" s="442"/>
      <c r="D926" s="442"/>
      <c r="E926" s="442"/>
      <c r="F926" s="535" t="s">
        <v>6</v>
      </c>
      <c r="G926" s="1541"/>
    </row>
    <row r="927" spans="1:19" x14ac:dyDescent="0.25">
      <c r="A927" s="536" t="s">
        <v>277</v>
      </c>
      <c r="B927" s="536" t="s">
        <v>785</v>
      </c>
      <c r="C927" s="442"/>
      <c r="D927" s="442"/>
      <c r="E927" s="442"/>
      <c r="F927" s="537" t="s">
        <v>573</v>
      </c>
      <c r="G927" s="1541"/>
    </row>
    <row r="928" spans="1:19" ht="47.25" customHeight="1" x14ac:dyDescent="0.25">
      <c r="A928" s="536" t="s">
        <v>784</v>
      </c>
      <c r="B928" s="538" t="s">
        <v>2610</v>
      </c>
      <c r="C928" s="442"/>
      <c r="D928" s="442"/>
      <c r="E928" s="442"/>
      <c r="F928" s="442"/>
      <c r="G928" s="1541"/>
    </row>
    <row r="929" spans="1:7" x14ac:dyDescent="0.25">
      <c r="A929" s="442" t="s">
        <v>579</v>
      </c>
      <c r="B929" s="442" t="s">
        <v>611</v>
      </c>
      <c r="C929" s="442"/>
      <c r="D929" s="442"/>
      <c r="E929" s="442"/>
      <c r="F929" s="442"/>
      <c r="G929" s="1541"/>
    </row>
    <row r="930" spans="1:7" x14ac:dyDescent="0.25">
      <c r="A930" s="1975" t="s">
        <v>561</v>
      </c>
      <c r="B930" s="1975"/>
      <c r="C930" s="442"/>
      <c r="D930" s="442"/>
      <c r="E930" s="442"/>
      <c r="F930" s="442"/>
      <c r="G930" s="1541"/>
    </row>
    <row r="931" spans="1:7" ht="24" x14ac:dyDescent="0.25">
      <c r="A931" s="553" t="s">
        <v>612</v>
      </c>
      <c r="B931" s="553" t="s">
        <v>12</v>
      </c>
      <c r="C931" s="1921" t="s">
        <v>13</v>
      </c>
      <c r="D931" s="1922"/>
      <c r="E931" s="556" t="s">
        <v>14</v>
      </c>
      <c r="F931" s="554" t="s">
        <v>15</v>
      </c>
      <c r="G931" s="557" t="s">
        <v>301</v>
      </c>
    </row>
    <row r="932" spans="1:7" x14ac:dyDescent="0.25">
      <c r="A932" s="558">
        <v>1</v>
      </c>
      <c r="B932" s="558">
        <v>2</v>
      </c>
      <c r="C932" s="1923">
        <v>3</v>
      </c>
      <c r="D932" s="1924"/>
      <c r="E932" s="560">
        <v>4</v>
      </c>
      <c r="F932" s="559">
        <v>5</v>
      </c>
      <c r="G932" s="557">
        <v>6</v>
      </c>
    </row>
    <row r="933" spans="1:7" ht="22.5" customHeight="1" x14ac:dyDescent="0.25">
      <c r="A933" s="1543" t="s">
        <v>885</v>
      </c>
      <c r="B933" s="1544" t="s">
        <v>323</v>
      </c>
      <c r="C933" s="532"/>
      <c r="D933" s="1543"/>
      <c r="E933" s="1034"/>
      <c r="F933" s="104"/>
      <c r="G933" s="783"/>
    </row>
    <row r="934" spans="1:7" ht="33" customHeight="1" x14ac:dyDescent="0.25">
      <c r="A934" s="1543" t="s">
        <v>884</v>
      </c>
      <c r="B934" s="1544" t="s">
        <v>88</v>
      </c>
      <c r="C934" s="532"/>
      <c r="D934" s="1543"/>
      <c r="E934" s="1034"/>
      <c r="F934" s="104"/>
      <c r="G934" s="783"/>
    </row>
    <row r="935" spans="1:7" ht="29.25" customHeight="1" x14ac:dyDescent="0.25">
      <c r="A935" s="1543" t="s">
        <v>883</v>
      </c>
      <c r="B935" s="1544" t="s">
        <v>845</v>
      </c>
      <c r="C935" s="532"/>
      <c r="D935" s="1543"/>
      <c r="E935" s="1034"/>
      <c r="F935" s="104"/>
      <c r="G935" s="783"/>
    </row>
    <row r="936" spans="1:7" x14ac:dyDescent="0.25">
      <c r="A936" s="532"/>
      <c r="B936" s="395" t="s">
        <v>306</v>
      </c>
      <c r="C936" s="922">
        <v>15</v>
      </c>
      <c r="D936" s="922" t="s">
        <v>102</v>
      </c>
      <c r="E936" s="399">
        <v>4500</v>
      </c>
      <c r="F936" s="104">
        <f>E936*C936</f>
        <v>67500</v>
      </c>
      <c r="G936" s="783"/>
    </row>
    <row r="937" spans="1:7" x14ac:dyDescent="0.25">
      <c r="A937" s="532"/>
      <c r="B937" s="395" t="s">
        <v>122</v>
      </c>
      <c r="C937" s="922">
        <v>15</v>
      </c>
      <c r="D937" s="922" t="s">
        <v>102</v>
      </c>
      <c r="E937" s="399">
        <v>10000</v>
      </c>
      <c r="F937" s="104">
        <f>E937*C937</f>
        <v>150000</v>
      </c>
      <c r="G937" s="783"/>
    </row>
    <row r="938" spans="1:7" x14ac:dyDescent="0.25">
      <c r="A938" s="532"/>
      <c r="B938" s="395" t="s">
        <v>2848</v>
      </c>
      <c r="C938" s="922">
        <v>1000</v>
      </c>
      <c r="D938" s="922" t="s">
        <v>102</v>
      </c>
      <c r="E938" s="399">
        <v>10000</v>
      </c>
      <c r="F938" s="104">
        <f>E938*C938</f>
        <v>10000000</v>
      </c>
      <c r="G938" s="783"/>
    </row>
    <row r="939" spans="1:7" ht="34.5" customHeight="1" x14ac:dyDescent="0.25">
      <c r="A939" s="1543" t="s">
        <v>882</v>
      </c>
      <c r="B939" s="727" t="s">
        <v>354</v>
      </c>
      <c r="C939" s="922"/>
      <c r="D939" s="922"/>
      <c r="E939" s="399"/>
      <c r="F939" s="104"/>
      <c r="G939" s="783"/>
    </row>
    <row r="940" spans="1:7" x14ac:dyDescent="0.25">
      <c r="A940" s="532"/>
      <c r="B940" s="395" t="s">
        <v>2844</v>
      </c>
      <c r="C940" s="922">
        <v>50</v>
      </c>
      <c r="D940" s="922" t="s">
        <v>565</v>
      </c>
      <c r="E940" s="399">
        <v>15000</v>
      </c>
      <c r="F940" s="104">
        <f>E940*C940</f>
        <v>750000</v>
      </c>
      <c r="G940" s="783"/>
    </row>
    <row r="941" spans="1:7" x14ac:dyDescent="0.25">
      <c r="A941" s="532"/>
      <c r="B941" s="395" t="s">
        <v>2847</v>
      </c>
      <c r="C941" s="922">
        <v>65</v>
      </c>
      <c r="D941" s="922" t="s">
        <v>565</v>
      </c>
      <c r="E941" s="399">
        <v>15000</v>
      </c>
      <c r="F941" s="104">
        <f>E941*C941</f>
        <v>975000</v>
      </c>
      <c r="G941" s="783"/>
    </row>
    <row r="942" spans="1:7" ht="24.75" x14ac:dyDescent="0.25">
      <c r="A942" s="532"/>
      <c r="B942" s="396" t="s">
        <v>2850</v>
      </c>
      <c r="C942" s="922">
        <f>10*12*4</f>
        <v>480</v>
      </c>
      <c r="D942" s="922" t="s">
        <v>526</v>
      </c>
      <c r="E942" s="399">
        <v>15000</v>
      </c>
      <c r="F942" s="104">
        <f>E942*C942</f>
        <v>7200000</v>
      </c>
      <c r="G942" s="783"/>
    </row>
    <row r="943" spans="1:7" x14ac:dyDescent="0.25">
      <c r="A943" s="532"/>
      <c r="B943" s="395"/>
      <c r="C943" s="922"/>
      <c r="D943" s="922"/>
      <c r="E943" s="399"/>
      <c r="F943" s="104"/>
      <c r="G943" s="783"/>
    </row>
    <row r="944" spans="1:7" ht="25.5" customHeight="1" x14ac:dyDescent="0.25">
      <c r="A944" s="1543" t="s">
        <v>880</v>
      </c>
      <c r="B944" s="727" t="s">
        <v>376</v>
      </c>
      <c r="C944" s="922"/>
      <c r="D944" s="922"/>
      <c r="E944" s="399"/>
      <c r="F944" s="104"/>
      <c r="G944" s="783"/>
    </row>
    <row r="945" spans="1:7" x14ac:dyDescent="0.25">
      <c r="A945" s="532"/>
      <c r="B945" s="395" t="s">
        <v>2845</v>
      </c>
      <c r="C945" s="922">
        <v>1</v>
      </c>
      <c r="D945" s="922" t="s">
        <v>102</v>
      </c>
      <c r="E945" s="399">
        <v>90000</v>
      </c>
      <c r="F945" s="104">
        <f>E945*C945</f>
        <v>90000</v>
      </c>
      <c r="G945" s="783"/>
    </row>
    <row r="946" spans="1:7" x14ac:dyDescent="0.25">
      <c r="A946" s="532"/>
      <c r="B946" s="395" t="s">
        <v>2611</v>
      </c>
      <c r="C946" s="922">
        <v>13</v>
      </c>
      <c r="D946" s="922" t="s">
        <v>102</v>
      </c>
      <c r="E946" s="399">
        <v>90000</v>
      </c>
      <c r="F946" s="104">
        <f t="shared" ref="F946:F947" si="22">E946*C946</f>
        <v>1170000</v>
      </c>
      <c r="G946" s="783"/>
    </row>
    <row r="947" spans="1:7" x14ac:dyDescent="0.25">
      <c r="A947" s="532"/>
      <c r="B947" s="395" t="s">
        <v>2846</v>
      </c>
      <c r="C947" s="922">
        <v>3</v>
      </c>
      <c r="D947" s="922" t="s">
        <v>102</v>
      </c>
      <c r="E947" s="399">
        <v>90000</v>
      </c>
      <c r="F947" s="104">
        <f t="shared" si="22"/>
        <v>270000</v>
      </c>
      <c r="G947" s="783"/>
    </row>
    <row r="948" spans="1:7" ht="29.25" customHeight="1" x14ac:dyDescent="0.25">
      <c r="A948" s="395" t="s">
        <v>879</v>
      </c>
      <c r="B948" s="727" t="s">
        <v>831</v>
      </c>
      <c r="C948" s="922"/>
      <c r="D948" s="522"/>
      <c r="E948" s="399"/>
      <c r="F948" s="404"/>
      <c r="G948" s="783"/>
    </row>
    <row r="949" spans="1:7" x14ac:dyDescent="0.25">
      <c r="A949" s="395"/>
      <c r="B949" s="395" t="s">
        <v>496</v>
      </c>
      <c r="C949" s="922">
        <v>4</v>
      </c>
      <c r="D949" s="522" t="s">
        <v>102</v>
      </c>
      <c r="E949" s="399">
        <v>50000</v>
      </c>
      <c r="F949" s="404">
        <f>E949*C949</f>
        <v>200000</v>
      </c>
      <c r="G949" s="783"/>
    </row>
    <row r="950" spans="1:7" x14ac:dyDescent="0.25">
      <c r="A950" s="395"/>
      <c r="B950" s="395" t="s">
        <v>321</v>
      </c>
      <c r="C950" s="922">
        <v>50</v>
      </c>
      <c r="D950" s="522" t="s">
        <v>186</v>
      </c>
      <c r="E950" s="399">
        <v>3000</v>
      </c>
      <c r="F950" s="404">
        <f>E950*C950</f>
        <v>150000</v>
      </c>
      <c r="G950" s="783"/>
    </row>
    <row r="951" spans="1:7" x14ac:dyDescent="0.25">
      <c r="A951" s="395"/>
      <c r="B951" s="395" t="s">
        <v>335</v>
      </c>
      <c r="C951" s="922">
        <v>4</v>
      </c>
      <c r="D951" s="522" t="s">
        <v>336</v>
      </c>
      <c r="E951" s="399">
        <v>10000</v>
      </c>
      <c r="F951" s="404">
        <f>E951*C951</f>
        <v>40000</v>
      </c>
      <c r="G951" s="783"/>
    </row>
    <row r="952" spans="1:7" x14ac:dyDescent="0.25">
      <c r="A952" s="449"/>
      <c r="B952" s="395"/>
      <c r="C952" s="922"/>
      <c r="D952" s="522"/>
      <c r="E952" s="399"/>
      <c r="F952" s="404"/>
      <c r="G952" s="783"/>
    </row>
    <row r="953" spans="1:7" x14ac:dyDescent="0.25">
      <c r="A953" s="1543" t="s">
        <v>878</v>
      </c>
      <c r="B953" s="577" t="s">
        <v>415</v>
      </c>
      <c r="C953" s="922"/>
      <c r="D953" s="922"/>
      <c r="E953" s="551"/>
      <c r="F953" s="104"/>
      <c r="G953" s="783"/>
    </row>
    <row r="954" spans="1:7" ht="44.25" customHeight="1" x14ac:dyDescent="0.25">
      <c r="A954" s="1543" t="s">
        <v>877</v>
      </c>
      <c r="B954" s="727" t="s">
        <v>876</v>
      </c>
      <c r="C954" s="922"/>
      <c r="D954" s="922"/>
      <c r="E954" s="551"/>
      <c r="F954" s="104"/>
      <c r="G954" s="783"/>
    </row>
    <row r="955" spans="1:7" x14ac:dyDescent="0.25">
      <c r="A955" s="1543"/>
      <c r="B955" s="395" t="s">
        <v>214</v>
      </c>
      <c r="C955" s="922">
        <v>1</v>
      </c>
      <c r="D955" s="922" t="s">
        <v>315</v>
      </c>
      <c r="E955" s="551">
        <v>300000</v>
      </c>
      <c r="F955" s="104">
        <f>E955*C955</f>
        <v>300000</v>
      </c>
      <c r="G955" s="783"/>
    </row>
    <row r="956" spans="1:7" x14ac:dyDescent="0.25">
      <c r="A956" s="1543"/>
      <c r="B956" s="395" t="s">
        <v>215</v>
      </c>
      <c r="C956" s="922">
        <v>1</v>
      </c>
      <c r="D956" s="922" t="s">
        <v>315</v>
      </c>
      <c r="E956" s="551">
        <v>250000</v>
      </c>
      <c r="F956" s="104">
        <f>E956*C956</f>
        <v>250000</v>
      </c>
      <c r="G956" s="783"/>
    </row>
    <row r="957" spans="1:7" x14ac:dyDescent="0.25">
      <c r="A957" s="1543"/>
      <c r="B957" s="395" t="s">
        <v>391</v>
      </c>
      <c r="C957" s="922">
        <v>1</v>
      </c>
      <c r="D957" s="922" t="s">
        <v>315</v>
      </c>
      <c r="E957" s="551">
        <v>200000</v>
      </c>
      <c r="F957" s="104">
        <f>E957*C957</f>
        <v>200000</v>
      </c>
      <c r="G957" s="783"/>
    </row>
    <row r="958" spans="1:7" x14ac:dyDescent="0.25">
      <c r="A958" s="1543"/>
      <c r="B958" s="395"/>
      <c r="C958" s="922"/>
      <c r="D958" s="922"/>
      <c r="E958" s="551"/>
      <c r="F958" s="104"/>
      <c r="G958" s="783"/>
    </row>
    <row r="959" spans="1:7" x14ac:dyDescent="0.25">
      <c r="A959" s="1543"/>
      <c r="B959" s="395"/>
      <c r="C959" s="922"/>
      <c r="D959" s="922"/>
      <c r="E959" s="551"/>
      <c r="F959" s="104"/>
      <c r="G959" s="783"/>
    </row>
    <row r="960" spans="1:7" ht="43.5" customHeight="1" x14ac:dyDescent="0.25">
      <c r="A960" s="1543" t="s">
        <v>875</v>
      </c>
      <c r="B960" s="727" t="s">
        <v>484</v>
      </c>
      <c r="C960" s="922"/>
      <c r="D960" s="922"/>
      <c r="E960" s="551"/>
      <c r="F960" s="104"/>
      <c r="G960" s="783"/>
    </row>
    <row r="961" spans="1:13" ht="34.5" customHeight="1" x14ac:dyDescent="0.25">
      <c r="A961" s="532"/>
      <c r="B961" s="396" t="s">
        <v>874</v>
      </c>
      <c r="C961" s="922">
        <v>2</v>
      </c>
      <c r="D961" s="922" t="s">
        <v>461</v>
      </c>
      <c r="E961" s="551">
        <v>300000</v>
      </c>
      <c r="F961" s="104">
        <f>E961*C961</f>
        <v>600000</v>
      </c>
      <c r="G961" s="783"/>
    </row>
    <row r="962" spans="1:13" ht="43.5" customHeight="1" x14ac:dyDescent="0.25">
      <c r="A962" s="1543" t="s">
        <v>875</v>
      </c>
      <c r="B962" s="727" t="s">
        <v>2612</v>
      </c>
      <c r="C962" s="922"/>
      <c r="D962" s="922"/>
      <c r="E962" s="551"/>
      <c r="F962" s="104"/>
      <c r="G962" s="783"/>
    </row>
    <row r="963" spans="1:13" ht="34.5" customHeight="1" x14ac:dyDescent="0.25">
      <c r="A963" s="532"/>
      <c r="B963" s="396" t="s">
        <v>2849</v>
      </c>
      <c r="C963" s="922">
        <f>12*4</f>
        <v>48</v>
      </c>
      <c r="D963" s="922" t="s">
        <v>461</v>
      </c>
      <c r="E963" s="551">
        <v>75000</v>
      </c>
      <c r="F963" s="104">
        <f>E963*C963</f>
        <v>3600000</v>
      </c>
      <c r="G963" s="783"/>
    </row>
    <row r="964" spans="1:13" ht="34.5" customHeight="1" x14ac:dyDescent="0.25">
      <c r="A964" s="1543" t="s">
        <v>2613</v>
      </c>
      <c r="B964" s="396" t="s">
        <v>2614</v>
      </c>
      <c r="C964" s="922"/>
      <c r="D964" s="922"/>
      <c r="E964" s="551"/>
      <c r="F964" s="104"/>
      <c r="G964" s="783"/>
    </row>
    <row r="965" spans="1:13" ht="34.5" customHeight="1" x14ac:dyDescent="0.25">
      <c r="A965" s="1543" t="s">
        <v>2615</v>
      </c>
      <c r="B965" s="396" t="s">
        <v>2616</v>
      </c>
      <c r="C965" s="922"/>
      <c r="D965" s="922"/>
      <c r="E965" s="551"/>
      <c r="F965" s="104"/>
      <c r="G965" s="783"/>
    </row>
    <row r="966" spans="1:13" x14ac:dyDescent="0.25">
      <c r="A966" s="532"/>
      <c r="B966" s="395" t="s">
        <v>2617</v>
      </c>
      <c r="C966" s="922">
        <v>4</v>
      </c>
      <c r="D966" s="922" t="s">
        <v>565</v>
      </c>
      <c r="E966" s="551">
        <v>70000</v>
      </c>
      <c r="F966" s="104">
        <f>E966*C966</f>
        <v>280000</v>
      </c>
      <c r="G966" s="783"/>
    </row>
    <row r="967" spans="1:13" x14ac:dyDescent="0.25">
      <c r="A967" s="1032"/>
      <c r="B967" s="395" t="s">
        <v>359</v>
      </c>
      <c r="C967" s="922">
        <v>4</v>
      </c>
      <c r="D967" s="922" t="s">
        <v>565</v>
      </c>
      <c r="E967" s="551">
        <v>40000</v>
      </c>
      <c r="F967" s="104">
        <f>E967*C967</f>
        <v>160000</v>
      </c>
      <c r="G967" s="783"/>
    </row>
    <row r="968" spans="1:13" ht="15.75" thickBot="1" x14ac:dyDescent="0.3">
      <c r="A968" s="532"/>
      <c r="B968" s="1545"/>
      <c r="C968" s="1546"/>
      <c r="D968" s="1547"/>
      <c r="E968" s="1548"/>
      <c r="F968" s="1549"/>
      <c r="G968" s="783"/>
    </row>
    <row r="969" spans="1:13" ht="15.75" thickBot="1" x14ac:dyDescent="0.3">
      <c r="A969" s="1032"/>
      <c r="B969" s="1550" t="s">
        <v>27</v>
      </c>
      <c r="C969" s="1551"/>
      <c r="D969" s="1551"/>
      <c r="E969" s="1551"/>
      <c r="F969" s="1552">
        <f>SUM(F933:F968)</f>
        <v>26452500</v>
      </c>
      <c r="G969" s="1069" t="s">
        <v>1682</v>
      </c>
      <c r="K969" s="175">
        <f>F969</f>
        <v>26452500</v>
      </c>
      <c r="L969" s="175"/>
      <c r="M969" s="175"/>
    </row>
    <row r="970" spans="1:13" x14ac:dyDescent="0.25">
      <c r="A970" s="1541"/>
      <c r="B970" s="1541"/>
      <c r="C970" s="1541"/>
      <c r="D970" s="1541"/>
      <c r="E970" s="1541"/>
      <c r="F970" s="1541"/>
      <c r="G970" s="1541"/>
    </row>
    <row r="971" spans="1:13" x14ac:dyDescent="0.25">
      <c r="A971" s="1807" t="s">
        <v>614</v>
      </c>
      <c r="B971" s="1807"/>
      <c r="C971" s="5" t="s">
        <v>28</v>
      </c>
      <c r="D971" s="1808" t="s">
        <v>1698</v>
      </c>
      <c r="E971" s="1808"/>
      <c r="F971" s="1808"/>
      <c r="G971" s="5"/>
    </row>
    <row r="972" spans="1:13" x14ac:dyDescent="0.25">
      <c r="A972" s="1807" t="s">
        <v>29</v>
      </c>
      <c r="B972" s="1807"/>
      <c r="C972" s="5"/>
      <c r="D972" s="1809" t="s">
        <v>2990</v>
      </c>
      <c r="E972" s="1809"/>
      <c r="F972" s="1809"/>
      <c r="G972" s="5"/>
    </row>
    <row r="973" spans="1:13" x14ac:dyDescent="0.25">
      <c r="A973" s="1"/>
      <c r="B973" s="3"/>
      <c r="C973" s="5"/>
      <c r="D973" s="7"/>
      <c r="E973" s="17"/>
      <c r="F973" s="17"/>
      <c r="G973" s="5"/>
    </row>
    <row r="974" spans="1:13" x14ac:dyDescent="0.25">
      <c r="A974" s="1"/>
      <c r="B974" s="3"/>
      <c r="C974" s="5"/>
      <c r="D974" s="7"/>
      <c r="E974" s="17"/>
      <c r="F974" s="17"/>
      <c r="G974" s="5"/>
    </row>
    <row r="975" spans="1:13" x14ac:dyDescent="0.25">
      <c r="A975" s="1807"/>
      <c r="B975" s="1807"/>
      <c r="C975" s="5"/>
      <c r="D975" s="7"/>
      <c r="E975" s="1807"/>
      <c r="F975" s="1807"/>
      <c r="G975" s="5"/>
    </row>
    <row r="976" spans="1:13" x14ac:dyDescent="0.25">
      <c r="A976" s="1807" t="s">
        <v>30</v>
      </c>
      <c r="B976" s="1807"/>
      <c r="C976" s="5"/>
      <c r="D976" s="1807" t="s">
        <v>2991</v>
      </c>
      <c r="E976" s="1807"/>
      <c r="F976" s="1807"/>
      <c r="G976" s="5"/>
    </row>
    <row r="977" spans="1:11" x14ac:dyDescent="0.25">
      <c r="A977" s="1958" t="s">
        <v>0</v>
      </c>
      <c r="B977" s="1958"/>
      <c r="C977" s="1958"/>
      <c r="D977" s="1958"/>
      <c r="E977" s="1958"/>
      <c r="F977" s="1958"/>
    </row>
    <row r="978" spans="1:11" x14ac:dyDescent="0.25">
      <c r="A978" s="1800" t="s">
        <v>1</v>
      </c>
      <c r="B978" s="1800"/>
      <c r="C978" s="1800"/>
      <c r="D978" s="1800"/>
      <c r="E978" s="1800"/>
      <c r="F978" s="1800"/>
    </row>
    <row r="979" spans="1:11" x14ac:dyDescent="0.25">
      <c r="A979" s="1800" t="s">
        <v>1697</v>
      </c>
      <c r="B979" s="1800"/>
      <c r="C979" s="1800"/>
      <c r="D979" s="1800"/>
      <c r="E979" s="1800"/>
      <c r="F979" s="1800"/>
    </row>
    <row r="980" spans="1:11" x14ac:dyDescent="0.25">
      <c r="A980" s="162" t="s">
        <v>812</v>
      </c>
      <c r="B980" s="162" t="s">
        <v>813</v>
      </c>
      <c r="C980" s="162"/>
      <c r="E980" s="96" t="s">
        <v>1740</v>
      </c>
    </row>
    <row r="981" spans="1:11" x14ac:dyDescent="0.25">
      <c r="A981" s="68" t="s">
        <v>814</v>
      </c>
      <c r="B981" s="68" t="s">
        <v>815</v>
      </c>
      <c r="C981" s="162"/>
      <c r="E981" s="97" t="s">
        <v>573</v>
      </c>
    </row>
    <row r="982" spans="1:11" ht="54.75" customHeight="1" x14ac:dyDescent="0.25">
      <c r="A982" s="202" t="s">
        <v>784</v>
      </c>
      <c r="B982" s="71" t="s">
        <v>906</v>
      </c>
      <c r="C982" s="71"/>
      <c r="D982" s="71"/>
    </row>
    <row r="983" spans="1:11" x14ac:dyDescent="0.25">
      <c r="A983" s="162" t="s">
        <v>62</v>
      </c>
      <c r="B983" s="162" t="s">
        <v>63</v>
      </c>
      <c r="C983" s="162"/>
    </row>
    <row r="984" spans="1:11" x14ac:dyDescent="0.25">
      <c r="A984" s="1904" t="s">
        <v>561</v>
      </c>
      <c r="B984" s="1904"/>
      <c r="C984" s="162"/>
    </row>
    <row r="985" spans="1:11" ht="24" x14ac:dyDescent="0.25">
      <c r="A985" s="91" t="s">
        <v>31</v>
      </c>
      <c r="B985" s="91" t="s">
        <v>12</v>
      </c>
      <c r="C985" s="1905" t="s">
        <v>13</v>
      </c>
      <c r="D985" s="1906"/>
      <c r="E985" s="94" t="s">
        <v>14</v>
      </c>
      <c r="F985" s="91" t="s">
        <v>15</v>
      </c>
      <c r="G985" s="64" t="s">
        <v>35</v>
      </c>
    </row>
    <row r="986" spans="1:11" x14ac:dyDescent="0.25">
      <c r="A986" s="64">
        <v>1</v>
      </c>
      <c r="B986" s="64">
        <v>2</v>
      </c>
      <c r="C986" s="1907">
        <v>3</v>
      </c>
      <c r="D986" s="1907"/>
      <c r="E986" s="95">
        <v>4</v>
      </c>
      <c r="F986" s="64">
        <v>5</v>
      </c>
      <c r="G986" s="64">
        <v>6</v>
      </c>
    </row>
    <row r="987" spans="1:11" x14ac:dyDescent="0.25">
      <c r="A987" s="178" t="s">
        <v>782</v>
      </c>
      <c r="B987" s="178" t="s">
        <v>351</v>
      </c>
      <c r="C987" s="142"/>
      <c r="D987" s="145"/>
      <c r="E987" s="145"/>
      <c r="F987" s="145"/>
      <c r="G987" s="32"/>
    </row>
    <row r="988" spans="1:11" ht="18.75" customHeight="1" x14ac:dyDescent="0.25">
      <c r="A988" s="178" t="s">
        <v>781</v>
      </c>
      <c r="B988" s="178" t="s">
        <v>780</v>
      </c>
      <c r="C988" s="142"/>
      <c r="D988" s="145"/>
      <c r="E988" s="145"/>
      <c r="F988" s="145"/>
      <c r="G988" s="32"/>
    </row>
    <row r="989" spans="1:11" ht="33" customHeight="1" x14ac:dyDescent="0.25">
      <c r="A989" s="178" t="s">
        <v>779</v>
      </c>
      <c r="B989" s="179" t="s">
        <v>778</v>
      </c>
      <c r="C989" s="142"/>
      <c r="D989" s="145"/>
      <c r="E989" s="145"/>
      <c r="F989" s="145"/>
      <c r="G989" s="32"/>
    </row>
    <row r="990" spans="1:11" x14ac:dyDescent="0.25">
      <c r="A990" s="180"/>
      <c r="B990" s="179" t="s">
        <v>646</v>
      </c>
      <c r="C990" s="142">
        <v>65</v>
      </c>
      <c r="D990" s="145" t="s">
        <v>123</v>
      </c>
      <c r="E990" s="98">
        <v>10000</v>
      </c>
      <c r="F990" s="181">
        <f>E990*C990</f>
        <v>650000</v>
      </c>
      <c r="G990" s="32"/>
      <c r="K990" s="175"/>
    </row>
    <row r="991" spans="1:11" x14ac:dyDescent="0.25">
      <c r="A991" s="145"/>
      <c r="B991" s="182" t="s">
        <v>306</v>
      </c>
      <c r="C991" s="167">
        <v>39</v>
      </c>
      <c r="D991" s="146" t="s">
        <v>123</v>
      </c>
      <c r="E991" s="99">
        <v>4500</v>
      </c>
      <c r="F991" s="181">
        <f>E991*C991</f>
        <v>175500</v>
      </c>
      <c r="G991" s="32"/>
      <c r="K991" s="175"/>
    </row>
    <row r="992" spans="1:11" ht="27" customHeight="1" x14ac:dyDescent="0.25">
      <c r="A992" s="145"/>
      <c r="B992" s="182" t="s">
        <v>816</v>
      </c>
      <c r="C992" s="167">
        <v>300</v>
      </c>
      <c r="D992" s="146" t="s">
        <v>121</v>
      </c>
      <c r="E992" s="99">
        <v>15000</v>
      </c>
      <c r="F992" s="181">
        <f>E992*C992</f>
        <v>4500000</v>
      </c>
      <c r="G992" s="32"/>
      <c r="K992" s="175"/>
    </row>
    <row r="993" spans="1:11" x14ac:dyDescent="0.25">
      <c r="A993" s="145"/>
      <c r="B993" s="182"/>
      <c r="C993" s="167"/>
      <c r="D993" s="146"/>
      <c r="E993" s="99"/>
      <c r="F993" s="181"/>
      <c r="G993" s="32"/>
      <c r="K993" s="175"/>
    </row>
    <row r="994" spans="1:11" ht="34.5" customHeight="1" x14ac:dyDescent="0.25">
      <c r="A994" s="178" t="s">
        <v>776</v>
      </c>
      <c r="B994" s="182" t="s">
        <v>354</v>
      </c>
      <c r="C994" s="167"/>
      <c r="D994" s="146"/>
      <c r="E994" s="99"/>
      <c r="F994" s="181"/>
      <c r="G994" s="32"/>
      <c r="K994" s="175"/>
    </row>
    <row r="995" spans="1:11" x14ac:dyDescent="0.25">
      <c r="A995" s="20"/>
      <c r="B995" s="16" t="s">
        <v>775</v>
      </c>
      <c r="C995" s="6"/>
      <c r="D995" s="186"/>
      <c r="E995" s="93"/>
      <c r="F995" s="181"/>
      <c r="G995" s="32"/>
      <c r="K995" s="175"/>
    </row>
    <row r="996" spans="1:11" x14ac:dyDescent="0.25">
      <c r="A996" s="20"/>
      <c r="B996" s="16" t="s">
        <v>817</v>
      </c>
      <c r="C996" s="6">
        <f>5*6*12</f>
        <v>360</v>
      </c>
      <c r="D996" s="186" t="s">
        <v>315</v>
      </c>
      <c r="E996" s="12">
        <v>15000</v>
      </c>
      <c r="F996" s="181">
        <f>E996*C996</f>
        <v>5400000</v>
      </c>
      <c r="G996" s="32"/>
      <c r="K996" s="175"/>
    </row>
    <row r="997" spans="1:11" x14ac:dyDescent="0.25">
      <c r="A997" s="20"/>
      <c r="B997" s="16"/>
      <c r="C997" s="6"/>
      <c r="D997" s="186"/>
      <c r="E997" s="12"/>
      <c r="F997" s="181"/>
      <c r="G997" s="32"/>
      <c r="K997" s="175"/>
    </row>
    <row r="998" spans="1:11" ht="38.25" customHeight="1" x14ac:dyDescent="0.25">
      <c r="A998" s="178" t="s">
        <v>795</v>
      </c>
      <c r="B998" s="16" t="s">
        <v>574</v>
      </c>
      <c r="C998" s="6"/>
      <c r="D998" s="186"/>
      <c r="E998" s="12"/>
      <c r="F998" s="181"/>
      <c r="G998" s="32"/>
      <c r="K998" s="175"/>
    </row>
    <row r="999" spans="1:11" x14ac:dyDescent="0.25">
      <c r="A999" s="20"/>
      <c r="B999" s="4"/>
      <c r="C999" s="6"/>
      <c r="D999" s="186"/>
      <c r="E999" s="12"/>
      <c r="F999" s="181"/>
      <c r="G999" s="32"/>
      <c r="K999" s="175"/>
    </row>
    <row r="1000" spans="1:11" ht="24.75" x14ac:dyDescent="0.25">
      <c r="A1000" s="178" t="s">
        <v>774</v>
      </c>
      <c r="B1000" s="4" t="s">
        <v>773</v>
      </c>
      <c r="C1000" s="184"/>
      <c r="D1000" s="20"/>
      <c r="E1000" s="20"/>
      <c r="F1000" s="181"/>
      <c r="G1000" s="32"/>
      <c r="K1000" s="175"/>
    </row>
    <row r="1001" spans="1:11" x14ac:dyDescent="0.25">
      <c r="A1001" s="20"/>
      <c r="B1001" s="16" t="s">
        <v>459</v>
      </c>
      <c r="C1001" s="6">
        <v>6</v>
      </c>
      <c r="D1001" s="186" t="s">
        <v>460</v>
      </c>
      <c r="E1001" s="12">
        <v>90000</v>
      </c>
      <c r="F1001" s="181">
        <f>E1001*C1001</f>
        <v>540000</v>
      </c>
      <c r="G1001" s="32"/>
      <c r="K1001" s="175"/>
    </row>
    <row r="1002" spans="1:11" x14ac:dyDescent="0.25">
      <c r="A1002" s="20"/>
      <c r="B1002" s="16"/>
      <c r="C1002" s="6"/>
      <c r="D1002" s="186"/>
      <c r="E1002" s="12"/>
      <c r="F1002" s="181"/>
      <c r="G1002" s="32"/>
      <c r="K1002" s="175"/>
    </row>
    <row r="1003" spans="1:11" x14ac:dyDescent="0.25">
      <c r="A1003" s="16" t="s">
        <v>793</v>
      </c>
      <c r="B1003" s="16" t="s">
        <v>319</v>
      </c>
      <c r="C1003" s="6"/>
      <c r="D1003" s="186"/>
      <c r="E1003" s="12"/>
      <c r="F1003" s="189"/>
      <c r="G1003" s="32"/>
      <c r="K1003" s="175"/>
    </row>
    <row r="1004" spans="1:11" x14ac:dyDescent="0.25">
      <c r="A1004" s="16"/>
      <c r="B1004" s="16" t="s">
        <v>818</v>
      </c>
      <c r="C1004" s="6">
        <v>720</v>
      </c>
      <c r="D1004" s="186" t="s">
        <v>186</v>
      </c>
      <c r="E1004" s="12">
        <v>3000</v>
      </c>
      <c r="F1004" s="189">
        <f>E1004*C1004</f>
        <v>2160000</v>
      </c>
      <c r="G1004" s="32"/>
      <c r="K1004" s="175"/>
    </row>
    <row r="1005" spans="1:11" x14ac:dyDescent="0.25">
      <c r="A1005" s="16"/>
      <c r="B1005" s="16" t="s">
        <v>819</v>
      </c>
      <c r="C1005" s="6">
        <v>72</v>
      </c>
      <c r="D1005" s="186" t="s">
        <v>336</v>
      </c>
      <c r="E1005" s="12">
        <v>10000</v>
      </c>
      <c r="F1005" s="189">
        <f>E1005*C1005</f>
        <v>720000</v>
      </c>
      <c r="G1005" s="32"/>
      <c r="K1005" s="175"/>
    </row>
    <row r="1006" spans="1:11" x14ac:dyDescent="0.25">
      <c r="A1006" s="20" t="s">
        <v>767</v>
      </c>
      <c r="B1006" s="16" t="s">
        <v>340</v>
      </c>
      <c r="C1006" s="6"/>
      <c r="D1006" s="186"/>
      <c r="E1006" s="12"/>
      <c r="F1006" s="181"/>
      <c r="G1006" s="32"/>
    </row>
    <row r="1007" spans="1:11" x14ac:dyDescent="0.25">
      <c r="A1007" s="184" t="s">
        <v>789</v>
      </c>
      <c r="B1007" s="16" t="s">
        <v>393</v>
      </c>
      <c r="C1007" s="6"/>
      <c r="D1007" s="186"/>
      <c r="E1007" s="12"/>
      <c r="F1007" s="181"/>
      <c r="G1007" s="32"/>
    </row>
    <row r="1008" spans="1:11" ht="24.75" x14ac:dyDescent="0.25">
      <c r="A1008" s="184"/>
      <c r="B1008" s="4" t="s">
        <v>820</v>
      </c>
      <c r="C1008" s="6">
        <v>360</v>
      </c>
      <c r="D1008" s="186" t="s">
        <v>448</v>
      </c>
      <c r="E1008" s="12">
        <v>100000</v>
      </c>
      <c r="F1008" s="190">
        <f>E1008*C1008</f>
        <v>36000000</v>
      </c>
      <c r="G1008" s="32"/>
      <c r="J1008" s="175"/>
    </row>
    <row r="1009" spans="1:11" x14ac:dyDescent="0.25">
      <c r="A1009" s="184"/>
      <c r="B1009" s="191" t="s">
        <v>27</v>
      </c>
      <c r="C1009" s="184"/>
      <c r="D1009" s="20"/>
      <c r="E1009" s="20"/>
      <c r="F1009" s="187">
        <f>SUM(F990:F1008)</f>
        <v>50145500</v>
      </c>
      <c r="G1009" s="32" t="s">
        <v>1682</v>
      </c>
      <c r="J1009" s="175"/>
      <c r="K1009" s="175">
        <f>F1009</f>
        <v>50145500</v>
      </c>
    </row>
    <row r="1010" spans="1:11" x14ac:dyDescent="0.25">
      <c r="A1010" s="1807" t="s">
        <v>614</v>
      </c>
      <c r="B1010" s="1807"/>
      <c r="C1010" s="5" t="s">
        <v>28</v>
      </c>
      <c r="D1010" s="1808" t="s">
        <v>1698</v>
      </c>
      <c r="E1010" s="1808"/>
      <c r="F1010" s="1808"/>
      <c r="G1010" s="5"/>
    </row>
    <row r="1011" spans="1:11" x14ac:dyDescent="0.25">
      <c r="A1011" s="1807" t="s">
        <v>29</v>
      </c>
      <c r="B1011" s="1807"/>
      <c r="C1011" s="5"/>
      <c r="D1011" s="1809" t="s">
        <v>2990</v>
      </c>
      <c r="E1011" s="1809"/>
      <c r="F1011" s="1809"/>
      <c r="G1011" s="5"/>
    </row>
    <row r="1012" spans="1:11" x14ac:dyDescent="0.25">
      <c r="A1012" s="1"/>
      <c r="B1012" s="3"/>
      <c r="C1012" s="5"/>
      <c r="D1012" s="7"/>
      <c r="E1012" s="17"/>
      <c r="F1012" s="17"/>
      <c r="G1012" s="5"/>
    </row>
    <row r="1013" spans="1:11" x14ac:dyDescent="0.25">
      <c r="A1013" s="1"/>
      <c r="B1013" s="3"/>
      <c r="C1013" s="5"/>
      <c r="D1013" s="7"/>
      <c r="E1013" s="17"/>
      <c r="F1013" s="17"/>
      <c r="G1013" s="5"/>
    </row>
    <row r="1014" spans="1:11" x14ac:dyDescent="0.25">
      <c r="A1014" s="1807"/>
      <c r="B1014" s="1807"/>
      <c r="C1014" s="5"/>
      <c r="D1014" s="7"/>
      <c r="E1014" s="1807"/>
      <c r="F1014" s="1807"/>
      <c r="G1014" s="5"/>
    </row>
    <row r="1015" spans="1:11" x14ac:dyDescent="0.25">
      <c r="A1015" s="1807" t="s">
        <v>30</v>
      </c>
      <c r="B1015" s="1807"/>
      <c r="C1015" s="5"/>
      <c r="D1015" s="1807" t="s">
        <v>2991</v>
      </c>
      <c r="E1015" s="1807"/>
      <c r="F1015" s="1807"/>
      <c r="G1015" s="5"/>
    </row>
    <row r="1016" spans="1:11" x14ac:dyDescent="0.25">
      <c r="A1016" s="1800" t="s">
        <v>0</v>
      </c>
      <c r="B1016" s="1800"/>
      <c r="C1016" s="1800"/>
      <c r="D1016" s="1800"/>
      <c r="E1016" s="1800"/>
      <c r="F1016" s="1800"/>
      <c r="G1016" s="162"/>
    </row>
    <row r="1017" spans="1:11" x14ac:dyDescent="0.25">
      <c r="A1017" s="1800" t="s">
        <v>1</v>
      </c>
      <c r="B1017" s="1800"/>
      <c r="C1017" s="1800"/>
      <c r="D1017" s="1800"/>
      <c r="E1017" s="1800"/>
      <c r="F1017" s="1800"/>
      <c r="G1017" s="162"/>
    </row>
    <row r="1018" spans="1:11" x14ac:dyDescent="0.25">
      <c r="A1018" s="1800" t="s">
        <v>1697</v>
      </c>
      <c r="B1018" s="1800"/>
      <c r="C1018" s="1800"/>
      <c r="D1018" s="1800"/>
      <c r="E1018" s="1800"/>
      <c r="F1018" s="1800"/>
      <c r="G1018" s="162"/>
    </row>
    <row r="1019" spans="1:11" x14ac:dyDescent="0.25">
      <c r="A1019" s="162" t="s">
        <v>812</v>
      </c>
      <c r="B1019" s="162" t="s">
        <v>813</v>
      </c>
      <c r="C1019" s="162"/>
      <c r="D1019" s="162"/>
      <c r="E1019" s="96" t="s">
        <v>6</v>
      </c>
      <c r="F1019" s="96"/>
      <c r="G1019" s="162"/>
    </row>
    <row r="1020" spans="1:11" x14ac:dyDescent="0.25">
      <c r="A1020" s="68" t="s">
        <v>814</v>
      </c>
      <c r="B1020" s="68" t="s">
        <v>815</v>
      </c>
      <c r="C1020" s="68"/>
      <c r="D1020" s="138"/>
      <c r="E1020" s="568" t="s">
        <v>573</v>
      </c>
      <c r="F1020" s="569"/>
      <c r="G1020" s="162"/>
    </row>
    <row r="1021" spans="1:11" ht="48.75" x14ac:dyDescent="0.25">
      <c r="A1021" s="202" t="s">
        <v>784</v>
      </c>
      <c r="B1021" s="77" t="s">
        <v>2946</v>
      </c>
      <c r="C1021" s="68"/>
      <c r="D1021" s="138"/>
      <c r="E1021" s="456"/>
      <c r="F1021" s="68"/>
      <c r="G1021" s="162"/>
    </row>
    <row r="1022" spans="1:11" x14ac:dyDescent="0.25">
      <c r="A1022" s="162" t="s">
        <v>62</v>
      </c>
      <c r="B1022" s="162" t="s">
        <v>63</v>
      </c>
      <c r="C1022" s="162"/>
      <c r="D1022" s="162"/>
      <c r="E1022" s="162"/>
      <c r="F1022" s="162"/>
      <c r="G1022" s="162"/>
    </row>
    <row r="1023" spans="1:11" x14ac:dyDescent="0.25">
      <c r="A1023" s="1904" t="s">
        <v>561</v>
      </c>
      <c r="B1023" s="1904"/>
      <c r="C1023" s="162"/>
      <c r="D1023" s="68"/>
      <c r="E1023" s="457"/>
      <c r="F1023" s="162"/>
      <c r="G1023" s="162"/>
    </row>
    <row r="1024" spans="1:11" ht="24" x14ac:dyDescent="0.25">
      <c r="A1024" s="91" t="s">
        <v>31</v>
      </c>
      <c r="B1024" s="91" t="s">
        <v>12</v>
      </c>
      <c r="C1024" s="1905" t="s">
        <v>13</v>
      </c>
      <c r="D1024" s="1906"/>
      <c r="E1024" s="94" t="s">
        <v>14</v>
      </c>
      <c r="F1024" s="91" t="s">
        <v>15</v>
      </c>
      <c r="G1024" s="64" t="s">
        <v>35</v>
      </c>
    </row>
    <row r="1025" spans="1:12" x14ac:dyDescent="0.25">
      <c r="A1025" s="64">
        <v>1</v>
      </c>
      <c r="B1025" s="64">
        <v>2</v>
      </c>
      <c r="C1025" s="1907">
        <v>3</v>
      </c>
      <c r="D1025" s="1907"/>
      <c r="E1025" s="95">
        <v>4</v>
      </c>
      <c r="F1025" s="64">
        <v>5</v>
      </c>
      <c r="G1025" s="64">
        <v>6</v>
      </c>
    </row>
    <row r="1026" spans="1:12" x14ac:dyDescent="0.25">
      <c r="A1026" s="64"/>
      <c r="B1026" s="1626" t="s">
        <v>2282</v>
      </c>
      <c r="C1026" s="42"/>
      <c r="D1026" s="43"/>
      <c r="E1026" s="95"/>
      <c r="F1026" s="64"/>
      <c r="G1026" s="64"/>
    </row>
    <row r="1027" spans="1:12" x14ac:dyDescent="0.25">
      <c r="A1027" s="178" t="s">
        <v>894</v>
      </c>
      <c r="B1027" s="179" t="s">
        <v>323</v>
      </c>
      <c r="C1027" s="142"/>
      <c r="D1027" s="143"/>
      <c r="E1027" s="200"/>
      <c r="F1027" s="145"/>
      <c r="G1027" s="20"/>
    </row>
    <row r="1028" spans="1:12" ht="25.5" customHeight="1" x14ac:dyDescent="0.25">
      <c r="A1028" s="178" t="s">
        <v>893</v>
      </c>
      <c r="B1028" s="179" t="s">
        <v>88</v>
      </c>
      <c r="C1028" s="142"/>
      <c r="D1028" s="143"/>
      <c r="E1028" s="200"/>
      <c r="F1028" s="145"/>
      <c r="G1028" s="20"/>
    </row>
    <row r="1029" spans="1:12" ht="30.75" customHeight="1" x14ac:dyDescent="0.25">
      <c r="A1029" s="180" t="s">
        <v>901</v>
      </c>
      <c r="B1029" s="179" t="s">
        <v>845</v>
      </c>
      <c r="C1029" s="142"/>
      <c r="D1029" s="143"/>
      <c r="E1029" s="200"/>
      <c r="F1029" s="145"/>
      <c r="G1029" s="20"/>
    </row>
    <row r="1030" spans="1:12" x14ac:dyDescent="0.25">
      <c r="A1030" s="20"/>
      <c r="B1030" s="182" t="s">
        <v>124</v>
      </c>
      <c r="C1030" s="167">
        <v>5</v>
      </c>
      <c r="D1030" s="168" t="s">
        <v>307</v>
      </c>
      <c r="E1030" s="99">
        <v>5000</v>
      </c>
      <c r="F1030" s="99">
        <f>C1030*E1030</f>
        <v>25000</v>
      </c>
      <c r="G1030" s="179"/>
      <c r="L1030" s="1190"/>
    </row>
    <row r="1031" spans="1:12" x14ac:dyDescent="0.25">
      <c r="A1031" s="20"/>
      <c r="B1031" s="16"/>
      <c r="C1031" s="6"/>
      <c r="D1031" s="183"/>
      <c r="E1031" s="93"/>
      <c r="F1031" s="187"/>
      <c r="G1031" s="179"/>
      <c r="L1031" s="1190"/>
    </row>
    <row r="1032" spans="1:12" ht="27" customHeight="1" x14ac:dyDescent="0.25">
      <c r="A1032" s="20" t="s">
        <v>892</v>
      </c>
      <c r="B1032" s="4" t="s">
        <v>354</v>
      </c>
      <c r="C1032" s="6"/>
      <c r="D1032" s="183"/>
      <c r="E1032" s="12"/>
      <c r="F1032" s="187"/>
      <c r="G1032" s="179"/>
      <c r="L1032" s="1190"/>
    </row>
    <row r="1033" spans="1:12" x14ac:dyDescent="0.25">
      <c r="A1033" s="20"/>
      <c r="B1033" s="16" t="s">
        <v>2944</v>
      </c>
      <c r="C1033" s="6">
        <v>10</v>
      </c>
      <c r="D1033" s="183" t="s">
        <v>315</v>
      </c>
      <c r="E1033" s="12">
        <v>15000</v>
      </c>
      <c r="F1033" s="187">
        <f>E1033*C1033</f>
        <v>150000</v>
      </c>
      <c r="G1033" s="179"/>
      <c r="L1033" s="1190"/>
    </row>
    <row r="1034" spans="1:12" x14ac:dyDescent="0.25">
      <c r="A1034" s="20"/>
      <c r="B1034" s="16"/>
      <c r="C1034" s="6"/>
      <c r="D1034" s="183"/>
      <c r="E1034" s="12"/>
      <c r="F1034" s="187"/>
      <c r="G1034" s="179"/>
      <c r="L1034" s="1190"/>
    </row>
    <row r="1035" spans="1:12" ht="27.75" customHeight="1" x14ac:dyDescent="0.25">
      <c r="A1035" s="20" t="s">
        <v>891</v>
      </c>
      <c r="B1035" s="4" t="s">
        <v>376</v>
      </c>
      <c r="C1035" s="6"/>
      <c r="D1035" s="183"/>
      <c r="E1035" s="12"/>
      <c r="F1035" s="187"/>
      <c r="G1035" s="179"/>
      <c r="L1035" s="1190"/>
    </row>
    <row r="1036" spans="1:12" x14ac:dyDescent="0.25">
      <c r="A1036" s="20"/>
      <c r="B1036" s="16" t="s">
        <v>377</v>
      </c>
      <c r="C1036" s="6">
        <v>1</v>
      </c>
      <c r="D1036" s="183" t="s">
        <v>102</v>
      </c>
      <c r="E1036" s="12">
        <v>150000</v>
      </c>
      <c r="F1036" s="187">
        <f>E1036*C1036</f>
        <v>150000</v>
      </c>
      <c r="G1036" s="179"/>
      <c r="L1036" s="1190"/>
    </row>
    <row r="1037" spans="1:12" x14ac:dyDescent="0.25">
      <c r="A1037" s="20"/>
      <c r="B1037" s="16"/>
      <c r="C1037" s="6"/>
      <c r="D1037" s="183"/>
      <c r="E1037" s="12"/>
      <c r="F1037" s="187"/>
      <c r="G1037" s="179"/>
      <c r="L1037" s="1190"/>
    </row>
    <row r="1038" spans="1:12" ht="31.5" customHeight="1" x14ac:dyDescent="0.25">
      <c r="A1038" s="16" t="s">
        <v>890</v>
      </c>
      <c r="B1038" s="4" t="s">
        <v>831</v>
      </c>
      <c r="C1038" s="6"/>
      <c r="D1038" s="183"/>
      <c r="E1038" s="12"/>
      <c r="F1038" s="189"/>
      <c r="G1038" s="20"/>
      <c r="L1038" s="1190"/>
    </row>
    <row r="1039" spans="1:12" x14ac:dyDescent="0.25">
      <c r="A1039" s="16"/>
      <c r="B1039" s="16" t="s">
        <v>496</v>
      </c>
      <c r="C1039" s="6">
        <v>1</v>
      </c>
      <c r="D1039" s="183" t="s">
        <v>102</v>
      </c>
      <c r="E1039" s="12">
        <v>50000</v>
      </c>
      <c r="F1039" s="189">
        <f>E1039*C1039</f>
        <v>50000</v>
      </c>
      <c r="G1039" s="179"/>
      <c r="L1039" s="1190"/>
    </row>
    <row r="1040" spans="1:12" x14ac:dyDescent="0.25">
      <c r="A1040" s="16"/>
      <c r="B1040" s="16" t="s">
        <v>321</v>
      </c>
      <c r="C1040" s="6">
        <v>5</v>
      </c>
      <c r="D1040" s="183" t="s">
        <v>186</v>
      </c>
      <c r="E1040" s="12">
        <v>3000</v>
      </c>
      <c r="F1040" s="189">
        <f>E1040*C1040</f>
        <v>15000</v>
      </c>
      <c r="G1040" s="179"/>
      <c r="L1040" s="1190"/>
    </row>
    <row r="1041" spans="1:19" x14ac:dyDescent="0.25">
      <c r="A1041" s="16"/>
      <c r="B1041" s="16" t="s">
        <v>335</v>
      </c>
      <c r="C1041" s="6">
        <v>1</v>
      </c>
      <c r="D1041" s="183" t="s">
        <v>336</v>
      </c>
      <c r="E1041" s="12">
        <v>10000</v>
      </c>
      <c r="F1041" s="189">
        <f>E1041*C1041</f>
        <v>10000</v>
      </c>
      <c r="G1041" s="179"/>
      <c r="L1041" s="1190"/>
    </row>
    <row r="1042" spans="1:19" x14ac:dyDescent="0.25">
      <c r="A1042" s="16"/>
      <c r="B1042" s="16"/>
      <c r="C1042" s="6"/>
      <c r="D1042" s="183"/>
      <c r="E1042" s="12"/>
      <c r="F1042" s="189"/>
      <c r="G1042" s="20"/>
      <c r="L1042" s="1190"/>
    </row>
    <row r="1043" spans="1:19" x14ac:dyDescent="0.25">
      <c r="A1043" s="20" t="s">
        <v>889</v>
      </c>
      <c r="B1043" s="16" t="s">
        <v>340</v>
      </c>
      <c r="C1043" s="6"/>
      <c r="D1043" s="183"/>
      <c r="E1043" s="12"/>
      <c r="F1043" s="187"/>
      <c r="G1043" s="179"/>
      <c r="L1043" s="1190"/>
    </row>
    <row r="1044" spans="1:19" ht="32.25" customHeight="1" x14ac:dyDescent="0.25">
      <c r="A1044" s="20" t="s">
        <v>887</v>
      </c>
      <c r="B1044" s="4" t="s">
        <v>809</v>
      </c>
      <c r="C1044" s="6"/>
      <c r="D1044" s="183"/>
      <c r="E1044" s="103"/>
      <c r="F1044" s="189"/>
      <c r="G1044" s="179"/>
      <c r="L1044" s="1190"/>
    </row>
    <row r="1045" spans="1:19" x14ac:dyDescent="0.25">
      <c r="A1045" s="20"/>
      <c r="B1045" s="16" t="s">
        <v>2945</v>
      </c>
      <c r="C1045" s="6">
        <v>2</v>
      </c>
      <c r="D1045" s="183" t="s">
        <v>315</v>
      </c>
      <c r="E1045" s="103">
        <v>300000</v>
      </c>
      <c r="F1045" s="189">
        <f>E1045*C1045</f>
        <v>600000</v>
      </c>
      <c r="G1045" s="179"/>
      <c r="L1045" s="1190"/>
    </row>
    <row r="1046" spans="1:19" x14ac:dyDescent="0.25">
      <c r="A1046" s="20"/>
      <c r="B1046" s="16"/>
      <c r="C1046" s="6"/>
      <c r="D1046" s="183"/>
      <c r="E1046" s="103"/>
      <c r="F1046" s="189"/>
      <c r="G1046" s="179"/>
      <c r="L1046" s="1190"/>
    </row>
    <row r="1047" spans="1:19" x14ac:dyDescent="0.25">
      <c r="A1047" s="20" t="s">
        <v>2642</v>
      </c>
      <c r="B1047" s="16" t="s">
        <v>516</v>
      </c>
      <c r="C1047" s="6"/>
      <c r="D1047" s="183"/>
      <c r="E1047" s="103"/>
      <c r="F1047" s="189"/>
      <c r="G1047" s="179"/>
      <c r="L1047" s="1190"/>
    </row>
    <row r="1048" spans="1:19" x14ac:dyDescent="0.25">
      <c r="A1048" s="20" t="s">
        <v>2939</v>
      </c>
      <c r="B1048" s="16" t="s">
        <v>2935</v>
      </c>
      <c r="C1048" s="6"/>
      <c r="D1048" s="183"/>
      <c r="E1048" s="103"/>
      <c r="F1048" s="189"/>
      <c r="G1048" s="179"/>
      <c r="L1048" s="1190"/>
    </row>
    <row r="1049" spans="1:19" x14ac:dyDescent="0.25">
      <c r="A1049" s="20"/>
      <c r="B1049" s="16" t="s">
        <v>2943</v>
      </c>
      <c r="C1049" s="6">
        <v>5</v>
      </c>
      <c r="D1049" s="183" t="s">
        <v>315</v>
      </c>
      <c r="E1049" s="103">
        <v>400000</v>
      </c>
      <c r="F1049" s="189">
        <f>E1049*C1049</f>
        <v>2000000</v>
      </c>
      <c r="G1049" s="179"/>
      <c r="L1049" s="1190"/>
    </row>
    <row r="1050" spans="1:19" x14ac:dyDescent="0.25">
      <c r="A1050" s="64"/>
      <c r="B1050" s="64"/>
      <c r="C1050" s="42"/>
      <c r="D1050" s="43"/>
      <c r="E1050" s="95"/>
      <c r="F1050" s="1628"/>
      <c r="G1050" s="64"/>
    </row>
    <row r="1051" spans="1:19" x14ac:dyDescent="0.25">
      <c r="A1051" s="145"/>
      <c r="B1051" s="1635" t="s">
        <v>863</v>
      </c>
      <c r="C1051" s="142"/>
      <c r="D1051" s="143"/>
      <c r="E1051" s="200"/>
      <c r="F1051" s="145"/>
      <c r="G1051" s="145"/>
    </row>
    <row r="1052" spans="1:19" x14ac:dyDescent="0.25">
      <c r="A1052" s="178" t="s">
        <v>894</v>
      </c>
      <c r="B1052" s="87" t="s">
        <v>323</v>
      </c>
      <c r="C1052" s="42"/>
      <c r="D1052" s="43"/>
      <c r="E1052" s="95"/>
      <c r="F1052" s="64"/>
      <c r="G1052" s="65"/>
    </row>
    <row r="1053" spans="1:19" ht="24.75" x14ac:dyDescent="0.25">
      <c r="A1053" s="178" t="s">
        <v>893</v>
      </c>
      <c r="B1053" s="87" t="s">
        <v>88</v>
      </c>
      <c r="C1053" s="42"/>
      <c r="D1053" s="43"/>
      <c r="E1053" s="95"/>
      <c r="F1053" s="64"/>
      <c r="G1053" s="65"/>
    </row>
    <row r="1054" spans="1:19" ht="24.75" x14ac:dyDescent="0.25">
      <c r="A1054" s="180" t="s">
        <v>892</v>
      </c>
      <c r="B1054" s="60" t="s">
        <v>354</v>
      </c>
      <c r="C1054" s="41"/>
      <c r="D1054" s="89"/>
      <c r="E1054" s="59"/>
      <c r="F1054" s="50"/>
      <c r="G1054" s="87"/>
    </row>
    <row r="1055" spans="1:19" x14ac:dyDescent="0.25">
      <c r="A1055" s="65"/>
      <c r="B1055" s="40" t="s">
        <v>775</v>
      </c>
      <c r="C1055" s="41"/>
      <c r="D1055" s="89"/>
      <c r="E1055" s="570"/>
      <c r="F1055" s="88"/>
      <c r="G1055" s="87"/>
    </row>
    <row r="1056" spans="1:19" x14ac:dyDescent="0.25">
      <c r="A1056" s="65"/>
      <c r="B1056" s="40" t="s">
        <v>904</v>
      </c>
      <c r="C1056" s="41">
        <v>60</v>
      </c>
      <c r="D1056" s="89" t="s">
        <v>315</v>
      </c>
      <c r="E1056" s="59">
        <v>15000</v>
      </c>
      <c r="F1056" s="88">
        <f>E1056*C1056</f>
        <v>900000</v>
      </c>
      <c r="G1056" s="87"/>
      <c r="S1056" s="175"/>
    </row>
    <row r="1057" spans="1:21" x14ac:dyDescent="0.25">
      <c r="A1057" s="180" t="s">
        <v>891</v>
      </c>
      <c r="B1057" s="40" t="s">
        <v>1734</v>
      </c>
      <c r="C1057" s="41"/>
      <c r="D1057" s="89"/>
      <c r="E1057" s="49"/>
      <c r="F1057" s="88"/>
      <c r="G1057" s="87"/>
      <c r="S1057" s="175"/>
    </row>
    <row r="1058" spans="1:21" x14ac:dyDescent="0.25">
      <c r="A1058" s="180"/>
      <c r="B1058" s="40" t="s">
        <v>977</v>
      </c>
      <c r="C1058" s="41">
        <v>1</v>
      </c>
      <c r="D1058" s="89" t="s">
        <v>123</v>
      </c>
      <c r="E1058" s="49">
        <v>90000</v>
      </c>
      <c r="F1058" s="88">
        <f>E1058*C1058</f>
        <v>90000</v>
      </c>
      <c r="G1058" s="87"/>
      <c r="S1058" s="175"/>
    </row>
    <row r="1059" spans="1:21" x14ac:dyDescent="0.25">
      <c r="A1059" s="180" t="s">
        <v>889</v>
      </c>
      <c r="B1059" s="40" t="s">
        <v>340</v>
      </c>
      <c r="C1059" s="41"/>
      <c r="D1059" s="89"/>
      <c r="E1059" s="49"/>
      <c r="F1059" s="88"/>
      <c r="G1059" s="87"/>
      <c r="S1059" s="175"/>
    </row>
    <row r="1060" spans="1:21" ht="24.75" x14ac:dyDescent="0.25">
      <c r="A1060" s="180" t="s">
        <v>898</v>
      </c>
      <c r="B1060" s="60" t="s">
        <v>393</v>
      </c>
      <c r="C1060" s="41"/>
      <c r="D1060" s="89"/>
      <c r="E1060" s="49"/>
      <c r="F1060" s="463"/>
      <c r="G1060" s="87"/>
      <c r="S1060" s="175"/>
    </row>
    <row r="1061" spans="1:21" ht="36.75" x14ac:dyDescent="0.25">
      <c r="A1061" s="571"/>
      <c r="B1061" s="572" t="s">
        <v>1735</v>
      </c>
      <c r="C1061" s="460">
        <v>60</v>
      </c>
      <c r="D1061" s="461" t="s">
        <v>315</v>
      </c>
      <c r="E1061" s="49">
        <v>100000</v>
      </c>
      <c r="F1061" s="573">
        <f>E1061*C1061</f>
        <v>6000000</v>
      </c>
      <c r="G1061" s="87"/>
      <c r="S1061" s="175"/>
    </row>
    <row r="1062" spans="1:21" x14ac:dyDescent="0.25">
      <c r="A1062" s="65"/>
      <c r="B1062" s="40"/>
      <c r="C1062" s="41"/>
      <c r="D1062" s="89"/>
      <c r="E1062" s="59"/>
      <c r="F1062" s="50"/>
      <c r="G1062" s="87"/>
      <c r="S1062" s="175"/>
    </row>
    <row r="1063" spans="1:21" ht="24.75" x14ac:dyDescent="0.25">
      <c r="A1063" s="184"/>
      <c r="B1063" s="1850" t="s">
        <v>27</v>
      </c>
      <c r="C1063" s="1908"/>
      <c r="D1063" s="1908"/>
      <c r="E1063" s="1908"/>
      <c r="F1063" s="187">
        <f>SUM(F1026:F1062)</f>
        <v>9990000</v>
      </c>
      <c r="G1063" s="179" t="s">
        <v>2824</v>
      </c>
      <c r="J1063" s="175"/>
      <c r="S1063" s="175"/>
      <c r="U1063" s="175">
        <f>F1063</f>
        <v>9990000</v>
      </c>
    </row>
    <row r="1064" spans="1:21" x14ac:dyDescent="0.25">
      <c r="A1064" s="1807" t="s">
        <v>614</v>
      </c>
      <c r="B1064" s="1807"/>
      <c r="C1064" s="5" t="s">
        <v>28</v>
      </c>
      <c r="D1064" s="1808" t="s">
        <v>1698</v>
      </c>
      <c r="E1064" s="1808"/>
      <c r="F1064" s="1808"/>
      <c r="G1064" s="5"/>
    </row>
    <row r="1065" spans="1:21" x14ac:dyDescent="0.25">
      <c r="A1065" s="1807" t="s">
        <v>29</v>
      </c>
      <c r="B1065" s="1807"/>
      <c r="C1065" s="5"/>
      <c r="D1065" s="1809" t="s">
        <v>2990</v>
      </c>
      <c r="E1065" s="1809"/>
      <c r="F1065" s="1809"/>
      <c r="G1065" s="5"/>
    </row>
    <row r="1066" spans="1:21" x14ac:dyDescent="0.25">
      <c r="A1066" s="1"/>
      <c r="B1066" s="3"/>
      <c r="C1066" s="5"/>
      <c r="D1066" s="7"/>
      <c r="E1066" s="17"/>
      <c r="F1066" s="17"/>
      <c r="G1066" s="5"/>
    </row>
    <row r="1067" spans="1:21" x14ac:dyDescent="0.25">
      <c r="A1067" s="1"/>
      <c r="B1067" s="3"/>
      <c r="C1067" s="5"/>
      <c r="D1067" s="7"/>
      <c r="E1067" s="17"/>
      <c r="F1067" s="17"/>
      <c r="G1067" s="5"/>
    </row>
    <row r="1068" spans="1:21" x14ac:dyDescent="0.25">
      <c r="A1068" s="1807"/>
      <c r="B1068" s="1807"/>
      <c r="C1068" s="5"/>
      <c r="D1068" s="7"/>
      <c r="E1068" s="1807"/>
      <c r="F1068" s="1807"/>
      <c r="G1068" s="5"/>
    </row>
    <row r="1069" spans="1:21" x14ac:dyDescent="0.25">
      <c r="A1069" s="1807" t="s">
        <v>30</v>
      </c>
      <c r="B1069" s="1807"/>
      <c r="C1069" s="5"/>
      <c r="D1069" s="1807" t="s">
        <v>2991</v>
      </c>
      <c r="E1069" s="1807"/>
      <c r="F1069" s="1807"/>
      <c r="G1069" s="5"/>
    </row>
    <row r="1070" spans="1:21" x14ac:dyDescent="0.25">
      <c r="A1070" s="1800" t="s">
        <v>0</v>
      </c>
      <c r="B1070" s="1800"/>
      <c r="C1070" s="1800"/>
      <c r="D1070" s="1800"/>
      <c r="E1070" s="1800"/>
      <c r="F1070" s="1800"/>
      <c r="G1070" s="162"/>
    </row>
    <row r="1071" spans="1:21" x14ac:dyDescent="0.25">
      <c r="A1071" s="1800" t="s">
        <v>1</v>
      </c>
      <c r="B1071" s="1800"/>
      <c r="C1071" s="1800"/>
      <c r="D1071" s="1800"/>
      <c r="E1071" s="1800"/>
      <c r="F1071" s="1800"/>
      <c r="G1071" s="162"/>
    </row>
    <row r="1072" spans="1:21" x14ac:dyDescent="0.25">
      <c r="A1072" s="1800" t="s">
        <v>1697</v>
      </c>
      <c r="B1072" s="1800"/>
      <c r="C1072" s="1800"/>
      <c r="D1072" s="1800"/>
      <c r="E1072" s="1800"/>
      <c r="F1072" s="1800"/>
      <c r="G1072" s="162"/>
    </row>
    <row r="1073" spans="1:7" x14ac:dyDescent="0.25">
      <c r="A1073" s="138"/>
      <c r="B1073" s="138"/>
      <c r="C1073" s="138"/>
      <c r="D1073" s="138"/>
      <c r="E1073" s="138"/>
      <c r="F1073" s="138"/>
      <c r="G1073" s="162"/>
    </row>
    <row r="1074" spans="1:7" x14ac:dyDescent="0.25">
      <c r="A1074" s="162" t="s">
        <v>787</v>
      </c>
      <c r="B1074" s="162" t="s">
        <v>786</v>
      </c>
      <c r="C1074" s="162"/>
      <c r="D1074" s="162"/>
      <c r="E1074" s="96" t="s">
        <v>6</v>
      </c>
      <c r="F1074" s="454"/>
      <c r="G1074" s="162"/>
    </row>
    <row r="1075" spans="1:7" x14ac:dyDescent="0.25">
      <c r="A1075" s="68" t="s">
        <v>277</v>
      </c>
      <c r="B1075" s="68" t="s">
        <v>785</v>
      </c>
      <c r="C1075" s="68"/>
      <c r="D1075" s="138"/>
      <c r="E1075" s="97" t="s">
        <v>573</v>
      </c>
      <c r="F1075" s="97"/>
      <c r="G1075" s="162"/>
    </row>
    <row r="1076" spans="1:7" ht="36.75" x14ac:dyDescent="0.25">
      <c r="A1076" s="68" t="s">
        <v>784</v>
      </c>
      <c r="B1076" s="455" t="s">
        <v>1736</v>
      </c>
      <c r="C1076" s="77"/>
      <c r="D1076" s="138"/>
      <c r="E1076" s="456"/>
      <c r="F1076" s="68"/>
      <c r="G1076" s="162"/>
    </row>
    <row r="1077" spans="1:7" x14ac:dyDescent="0.25">
      <c r="A1077" s="162" t="s">
        <v>579</v>
      </c>
      <c r="B1077" s="162" t="s">
        <v>611</v>
      </c>
      <c r="C1077" s="162"/>
      <c r="D1077" s="162"/>
      <c r="E1077" s="162"/>
      <c r="F1077" s="162"/>
      <c r="G1077" s="162"/>
    </row>
    <row r="1078" spans="1:7" x14ac:dyDescent="0.25">
      <c r="A1078" s="1904" t="s">
        <v>561</v>
      </c>
      <c r="B1078" s="1904"/>
      <c r="C1078" s="162"/>
      <c r="D1078" s="68"/>
      <c r="E1078" s="457"/>
      <c r="F1078" s="162"/>
      <c r="G1078" s="162"/>
    </row>
    <row r="1080" spans="1:7" ht="24" x14ac:dyDescent="0.25">
      <c r="A1080" s="91" t="s">
        <v>31</v>
      </c>
      <c r="B1080" s="91" t="s">
        <v>12</v>
      </c>
      <c r="C1080" s="1905" t="s">
        <v>13</v>
      </c>
      <c r="D1080" s="1906"/>
      <c r="E1080" s="94" t="s">
        <v>14</v>
      </c>
      <c r="F1080" s="91" t="s">
        <v>15</v>
      </c>
      <c r="G1080" s="64" t="s">
        <v>35</v>
      </c>
    </row>
    <row r="1081" spans="1:7" x14ac:dyDescent="0.25">
      <c r="A1081" s="64">
        <v>1</v>
      </c>
      <c r="B1081" s="64">
        <v>2</v>
      </c>
      <c r="C1081" s="1907">
        <v>3</v>
      </c>
      <c r="D1081" s="1907"/>
      <c r="E1081" s="95">
        <v>4</v>
      </c>
      <c r="F1081" s="64">
        <v>5</v>
      </c>
      <c r="G1081" s="64">
        <v>6</v>
      </c>
    </row>
    <row r="1082" spans="1:7" x14ac:dyDescent="0.25">
      <c r="A1082" s="64"/>
      <c r="B1082" s="48" t="s">
        <v>895</v>
      </c>
      <c r="C1082" s="42"/>
      <c r="D1082" s="43"/>
      <c r="E1082" s="95"/>
      <c r="F1082" s="64"/>
      <c r="G1082" s="65"/>
    </row>
    <row r="1083" spans="1:7" ht="15.75" customHeight="1" x14ac:dyDescent="0.25">
      <c r="A1083" s="48" t="s">
        <v>894</v>
      </c>
      <c r="B1083" s="87" t="s">
        <v>323</v>
      </c>
      <c r="C1083" s="42"/>
      <c r="D1083" s="43"/>
      <c r="E1083" s="95"/>
      <c r="F1083" s="64"/>
      <c r="G1083" s="65"/>
    </row>
    <row r="1084" spans="1:7" ht="17.25" customHeight="1" x14ac:dyDescent="0.25">
      <c r="A1084" s="48" t="s">
        <v>893</v>
      </c>
      <c r="B1084" s="87" t="s">
        <v>88</v>
      </c>
      <c r="C1084" s="42"/>
      <c r="D1084" s="43"/>
      <c r="E1084" s="95"/>
      <c r="F1084" s="64"/>
      <c r="G1084" s="65"/>
    </row>
    <row r="1085" spans="1:7" ht="24" customHeight="1" x14ac:dyDescent="0.25">
      <c r="A1085" s="458" t="s">
        <v>901</v>
      </c>
      <c r="B1085" s="87" t="s">
        <v>845</v>
      </c>
      <c r="C1085" s="42"/>
      <c r="D1085" s="43"/>
      <c r="E1085" s="95"/>
      <c r="F1085" s="64"/>
      <c r="G1085" s="65"/>
    </row>
    <row r="1086" spans="1:7" x14ac:dyDescent="0.25">
      <c r="A1086" s="64"/>
      <c r="B1086" s="90" t="s">
        <v>1561</v>
      </c>
      <c r="C1086" s="57">
        <v>1</v>
      </c>
      <c r="D1086" s="58" t="s">
        <v>91</v>
      </c>
      <c r="E1086" s="379">
        <v>68000</v>
      </c>
      <c r="F1086" s="379">
        <f>C1086*E1086</f>
        <v>68000</v>
      </c>
      <c r="G1086" s="87"/>
    </row>
    <row r="1087" spans="1:7" x14ac:dyDescent="0.25">
      <c r="A1087" s="64"/>
      <c r="B1087" s="90" t="s">
        <v>311</v>
      </c>
      <c r="C1087" s="57">
        <v>130</v>
      </c>
      <c r="D1087" s="58" t="s">
        <v>312</v>
      </c>
      <c r="E1087" s="379">
        <v>250</v>
      </c>
      <c r="F1087" s="379">
        <f>C1087*E1087</f>
        <v>32500</v>
      </c>
      <c r="G1087" s="87"/>
    </row>
    <row r="1088" spans="1:7" x14ac:dyDescent="0.25">
      <c r="A1088" s="64"/>
      <c r="B1088" s="90" t="s">
        <v>306</v>
      </c>
      <c r="C1088" s="57">
        <v>145</v>
      </c>
      <c r="D1088" s="58" t="s">
        <v>307</v>
      </c>
      <c r="E1088" s="379">
        <v>4500</v>
      </c>
      <c r="F1088" s="379">
        <f>C1088*E1088</f>
        <v>652500</v>
      </c>
      <c r="G1088" s="87"/>
    </row>
    <row r="1089" spans="1:7" x14ac:dyDescent="0.25">
      <c r="A1089" s="65"/>
      <c r="B1089" s="90" t="s">
        <v>122</v>
      </c>
      <c r="C1089" s="57">
        <v>145</v>
      </c>
      <c r="D1089" s="58" t="s">
        <v>307</v>
      </c>
      <c r="E1089" s="379">
        <v>10000</v>
      </c>
      <c r="F1089" s="379">
        <f>C1089*E1089</f>
        <v>1450000</v>
      </c>
      <c r="G1089" s="87"/>
    </row>
    <row r="1090" spans="1:7" x14ac:dyDescent="0.25">
      <c r="A1090" s="65"/>
      <c r="B1090" s="90" t="s">
        <v>1737</v>
      </c>
      <c r="C1090" s="57">
        <v>145</v>
      </c>
      <c r="D1090" s="58" t="s">
        <v>123</v>
      </c>
      <c r="E1090" s="379">
        <v>8000</v>
      </c>
      <c r="F1090" s="379">
        <f>C1090*E1090</f>
        <v>1160000</v>
      </c>
      <c r="G1090" s="87"/>
    </row>
    <row r="1091" spans="1:7" x14ac:dyDescent="0.25">
      <c r="A1091" s="65"/>
      <c r="B1091" s="90"/>
      <c r="C1091" s="57"/>
      <c r="D1091" s="58"/>
      <c r="E1091" s="379"/>
      <c r="F1091" s="379"/>
      <c r="G1091" s="87"/>
    </row>
    <row r="1092" spans="1:7" ht="28.5" customHeight="1" x14ac:dyDescent="0.25">
      <c r="A1092" s="65" t="s">
        <v>892</v>
      </c>
      <c r="B1092" s="60" t="s">
        <v>354</v>
      </c>
      <c r="C1092" s="41"/>
      <c r="D1092" s="89"/>
      <c r="E1092" s="59"/>
      <c r="F1092" s="50"/>
      <c r="G1092" s="87"/>
    </row>
    <row r="1093" spans="1:7" x14ac:dyDescent="0.25">
      <c r="A1093" s="65"/>
      <c r="B1093" s="40" t="s">
        <v>1738</v>
      </c>
      <c r="C1093" s="41">
        <v>68</v>
      </c>
      <c r="D1093" s="89" t="s">
        <v>315</v>
      </c>
      <c r="E1093" s="59">
        <v>15000</v>
      </c>
      <c r="F1093" s="50">
        <f>C1093*E1093</f>
        <v>1020000</v>
      </c>
      <c r="G1093" s="87"/>
    </row>
    <row r="1094" spans="1:7" x14ac:dyDescent="0.25">
      <c r="A1094" s="65"/>
      <c r="B1094" s="40"/>
      <c r="C1094" s="41"/>
      <c r="D1094" s="89"/>
      <c r="E1094" s="59"/>
      <c r="F1094" s="50"/>
      <c r="G1094" s="87"/>
    </row>
    <row r="1095" spans="1:7" ht="27" customHeight="1" x14ac:dyDescent="0.25">
      <c r="A1095" s="65" t="s">
        <v>891</v>
      </c>
      <c r="B1095" s="60" t="s">
        <v>376</v>
      </c>
      <c r="C1095" s="41"/>
      <c r="D1095" s="89"/>
      <c r="E1095" s="59"/>
      <c r="F1095" s="50"/>
      <c r="G1095" s="87"/>
    </row>
    <row r="1096" spans="1:7" x14ac:dyDescent="0.25">
      <c r="A1096" s="65"/>
      <c r="B1096" s="40" t="s">
        <v>377</v>
      </c>
      <c r="C1096" s="41">
        <v>1</v>
      </c>
      <c r="D1096" s="89" t="s">
        <v>102</v>
      </c>
      <c r="E1096" s="59">
        <v>90000</v>
      </c>
      <c r="F1096" s="50">
        <f>E1096*C1096</f>
        <v>90000</v>
      </c>
      <c r="G1096" s="87"/>
    </row>
    <row r="1097" spans="1:7" x14ac:dyDescent="0.25">
      <c r="A1097" s="65"/>
      <c r="B1097" s="459"/>
      <c r="C1097" s="460"/>
      <c r="D1097" s="461"/>
      <c r="E1097" s="49"/>
      <c r="F1097" s="462"/>
      <c r="G1097" s="87"/>
    </row>
    <row r="1098" spans="1:7" ht="33" customHeight="1" x14ac:dyDescent="0.25">
      <c r="A1098" s="16" t="s">
        <v>890</v>
      </c>
      <c r="B1098" s="4" t="s">
        <v>831</v>
      </c>
      <c r="C1098" s="6"/>
      <c r="D1098" s="183"/>
      <c r="E1098" s="12"/>
      <c r="F1098" s="189"/>
      <c r="G1098" s="65"/>
    </row>
    <row r="1099" spans="1:7" x14ac:dyDescent="0.25">
      <c r="A1099" s="16"/>
      <c r="B1099" s="16" t="s">
        <v>496</v>
      </c>
      <c r="C1099" s="6">
        <v>4</v>
      </c>
      <c r="D1099" s="183" t="s">
        <v>102</v>
      </c>
      <c r="E1099" s="12">
        <v>50000</v>
      </c>
      <c r="F1099" s="189">
        <f>E1099*C1099</f>
        <v>200000</v>
      </c>
      <c r="G1099" s="87"/>
    </row>
    <row r="1100" spans="1:7" x14ac:dyDescent="0.25">
      <c r="A1100" s="16"/>
      <c r="B1100" s="16" t="s">
        <v>321</v>
      </c>
      <c r="C1100" s="6">
        <v>20</v>
      </c>
      <c r="D1100" s="183" t="s">
        <v>186</v>
      </c>
      <c r="E1100" s="12">
        <v>3000</v>
      </c>
      <c r="F1100" s="189">
        <f>E1100*C1100</f>
        <v>60000</v>
      </c>
      <c r="G1100" s="87"/>
    </row>
    <row r="1101" spans="1:7" x14ac:dyDescent="0.25">
      <c r="A1101" s="16"/>
      <c r="B1101" s="16" t="s">
        <v>335</v>
      </c>
      <c r="C1101" s="6">
        <v>5</v>
      </c>
      <c r="D1101" s="183" t="s">
        <v>336</v>
      </c>
      <c r="E1101" s="12">
        <v>10000</v>
      </c>
      <c r="F1101" s="189">
        <f>E1101*C1101</f>
        <v>50000</v>
      </c>
      <c r="G1101" s="87"/>
    </row>
    <row r="1102" spans="1:7" x14ac:dyDescent="0.25">
      <c r="A1102" s="65"/>
      <c r="B1102" s="40"/>
      <c r="C1102" s="41"/>
      <c r="D1102" s="89"/>
      <c r="E1102" s="59"/>
      <c r="F1102" s="50"/>
      <c r="G1102" s="87"/>
    </row>
    <row r="1103" spans="1:7" x14ac:dyDescent="0.25">
      <c r="A1103" s="65" t="s">
        <v>889</v>
      </c>
      <c r="B1103" s="40" t="s">
        <v>340</v>
      </c>
      <c r="C1103" s="41"/>
      <c r="D1103" s="89"/>
      <c r="E1103" s="59"/>
      <c r="F1103" s="50"/>
      <c r="G1103" s="87"/>
    </row>
    <row r="1104" spans="1:7" ht="30.75" customHeight="1" x14ac:dyDescent="0.25">
      <c r="A1104" s="40" t="s">
        <v>1739</v>
      </c>
      <c r="B1104" s="60" t="s">
        <v>888</v>
      </c>
      <c r="C1104" s="41"/>
      <c r="D1104" s="89"/>
      <c r="E1104" s="59"/>
      <c r="F1104" s="463"/>
      <c r="G1104" s="65"/>
    </row>
    <row r="1105" spans="1:21" x14ac:dyDescent="0.25">
      <c r="A1105" s="40"/>
      <c r="B1105" s="40" t="s">
        <v>214</v>
      </c>
      <c r="C1105" s="41">
        <v>1</v>
      </c>
      <c r="D1105" s="89" t="s">
        <v>315</v>
      </c>
      <c r="E1105" s="59">
        <v>300000</v>
      </c>
      <c r="F1105" s="463">
        <f>E1105*C1105</f>
        <v>300000</v>
      </c>
      <c r="G1105" s="87"/>
    </row>
    <row r="1106" spans="1:21" x14ac:dyDescent="0.25">
      <c r="A1106" s="40"/>
      <c r="B1106" s="40" t="s">
        <v>391</v>
      </c>
      <c r="C1106" s="41">
        <v>3</v>
      </c>
      <c r="D1106" s="89" t="s">
        <v>315</v>
      </c>
      <c r="E1106" s="59">
        <v>200000</v>
      </c>
      <c r="F1106" s="463">
        <f>E1106*C1106</f>
        <v>600000</v>
      </c>
      <c r="G1106" s="87"/>
    </row>
    <row r="1107" spans="1:21" x14ac:dyDescent="0.25">
      <c r="A1107" s="40"/>
      <c r="B1107" s="40"/>
      <c r="C1107" s="41"/>
      <c r="D1107" s="89"/>
      <c r="E1107" s="49"/>
      <c r="F1107" s="463"/>
      <c r="G1107" s="87"/>
    </row>
    <row r="1108" spans="1:21" ht="34.5" customHeight="1" x14ac:dyDescent="0.25">
      <c r="A1108" s="65" t="s">
        <v>887</v>
      </c>
      <c r="B1108" s="60" t="s">
        <v>809</v>
      </c>
      <c r="C1108" s="41"/>
      <c r="D1108" s="89"/>
      <c r="E1108" s="49"/>
      <c r="F1108" s="463"/>
      <c r="G1108" s="87"/>
    </row>
    <row r="1109" spans="1:21" x14ac:dyDescent="0.25">
      <c r="A1109" s="65"/>
      <c r="B1109" s="40" t="s">
        <v>835</v>
      </c>
      <c r="C1109" s="41">
        <v>2</v>
      </c>
      <c r="D1109" s="89" t="s">
        <v>315</v>
      </c>
      <c r="E1109" s="49">
        <v>300000</v>
      </c>
      <c r="F1109" s="463">
        <f>E1109*C1109</f>
        <v>600000</v>
      </c>
      <c r="G1109" s="87"/>
    </row>
    <row r="1110" spans="1:21" x14ac:dyDescent="0.25">
      <c r="A1110" s="458" t="s">
        <v>2642</v>
      </c>
      <c r="B1110" s="90" t="s">
        <v>516</v>
      </c>
      <c r="C1110" s="57"/>
      <c r="D1110" s="58"/>
      <c r="E1110" s="379"/>
      <c r="F1110" s="379"/>
      <c r="G1110" s="87"/>
    </row>
    <row r="1111" spans="1:21" ht="24" x14ac:dyDescent="0.25">
      <c r="A1111" s="458" t="s">
        <v>2643</v>
      </c>
      <c r="B1111" s="90" t="s">
        <v>1976</v>
      </c>
      <c r="C1111" s="57"/>
      <c r="D1111" s="58"/>
      <c r="E1111" s="379"/>
      <c r="F1111" s="379"/>
      <c r="G1111" s="87"/>
    </row>
    <row r="1112" spans="1:21" x14ac:dyDescent="0.25">
      <c r="A1112" s="458"/>
      <c r="B1112" s="90" t="s">
        <v>2938</v>
      </c>
      <c r="C1112" s="57">
        <v>30</v>
      </c>
      <c r="D1112" s="58" t="s">
        <v>315</v>
      </c>
      <c r="E1112" s="379">
        <v>400000</v>
      </c>
      <c r="F1112" s="379">
        <f>C1112*E1112</f>
        <v>12000000</v>
      </c>
      <c r="G1112" s="87"/>
    </row>
    <row r="1113" spans="1:21" x14ac:dyDescent="0.25">
      <c r="A1113" s="65"/>
      <c r="B1113" s="40"/>
      <c r="C1113" s="41"/>
      <c r="D1113" s="89"/>
      <c r="E1113" s="59"/>
      <c r="F1113" s="463"/>
      <c r="G1113" s="87"/>
    </row>
    <row r="1114" spans="1:21" ht="24.75" x14ac:dyDescent="0.25">
      <c r="A1114" s="464"/>
      <c r="B1114" s="1918" t="s">
        <v>27</v>
      </c>
      <c r="C1114" s="1919"/>
      <c r="D1114" s="1919"/>
      <c r="E1114" s="1919"/>
      <c r="F1114" s="50">
        <f>SUM(F1086:F1113)</f>
        <v>18283000</v>
      </c>
      <c r="G1114" s="87" t="s">
        <v>2824</v>
      </c>
      <c r="L1114" s="175"/>
      <c r="U1114" s="175">
        <f>F1114</f>
        <v>18283000</v>
      </c>
    </row>
    <row r="1115" spans="1:21" x14ac:dyDescent="0.25">
      <c r="A1115" s="1807" t="s">
        <v>614</v>
      </c>
      <c r="B1115" s="1807"/>
      <c r="C1115" s="5" t="s">
        <v>28</v>
      </c>
      <c r="D1115" s="1808" t="s">
        <v>1698</v>
      </c>
      <c r="E1115" s="1808"/>
      <c r="F1115" s="1808"/>
      <c r="G1115" s="5"/>
    </row>
    <row r="1116" spans="1:21" x14ac:dyDescent="0.25">
      <c r="A1116" s="1807" t="s">
        <v>29</v>
      </c>
      <c r="B1116" s="1807"/>
      <c r="C1116" s="5"/>
      <c r="D1116" s="1809" t="s">
        <v>2990</v>
      </c>
      <c r="E1116" s="1809"/>
      <c r="F1116" s="1809"/>
      <c r="G1116" s="5"/>
    </row>
    <row r="1117" spans="1:21" x14ac:dyDescent="0.25">
      <c r="A1117" s="1"/>
      <c r="B1117" s="3"/>
      <c r="C1117" s="5"/>
      <c r="D1117" s="7"/>
      <c r="E1117" s="17"/>
      <c r="F1117" s="17"/>
      <c r="G1117" s="5"/>
    </row>
    <row r="1118" spans="1:21" x14ac:dyDescent="0.25">
      <c r="A1118" s="1"/>
      <c r="B1118" s="3"/>
      <c r="C1118" s="5"/>
      <c r="D1118" s="7"/>
      <c r="E1118" s="17"/>
      <c r="F1118" s="17"/>
      <c r="G1118" s="5"/>
    </row>
    <row r="1119" spans="1:21" x14ac:dyDescent="0.25">
      <c r="A1119" s="1807"/>
      <c r="B1119" s="1807"/>
      <c r="C1119" s="5"/>
      <c r="D1119" s="7"/>
      <c r="E1119" s="1807"/>
      <c r="F1119" s="1807"/>
      <c r="G1119" s="5"/>
    </row>
    <row r="1120" spans="1:21" x14ac:dyDescent="0.25">
      <c r="A1120" s="1807" t="s">
        <v>30</v>
      </c>
      <c r="B1120" s="1807"/>
      <c r="C1120" s="5"/>
      <c r="D1120" s="1807" t="s">
        <v>2991</v>
      </c>
      <c r="E1120" s="1807"/>
      <c r="F1120" s="1807"/>
      <c r="G1120" s="5"/>
    </row>
    <row r="1121" spans="1:19" x14ac:dyDescent="0.25">
      <c r="A1121" s="61"/>
      <c r="B1121" s="526"/>
      <c r="C1121" s="526"/>
      <c r="D1121" s="526"/>
      <c r="E1121" s="526"/>
      <c r="F1121" s="527"/>
      <c r="G1121" s="62"/>
    </row>
    <row r="1122" spans="1:19" x14ac:dyDescent="0.25">
      <c r="A1122" s="1800" t="s">
        <v>0</v>
      </c>
      <c r="B1122" s="1800"/>
      <c r="C1122" s="1800"/>
      <c r="D1122" s="1800"/>
      <c r="E1122" s="1800"/>
      <c r="F1122" s="1800"/>
      <c r="G1122" s="162"/>
    </row>
    <row r="1123" spans="1:19" x14ac:dyDescent="0.25">
      <c r="A1123" s="1800" t="s">
        <v>1</v>
      </c>
      <c r="B1123" s="1800"/>
      <c r="C1123" s="1800"/>
      <c r="D1123" s="1800"/>
      <c r="E1123" s="1800"/>
      <c r="F1123" s="1800"/>
      <c r="G1123" s="162"/>
    </row>
    <row r="1124" spans="1:19" x14ac:dyDescent="0.25">
      <c r="A1124" s="1800" t="s">
        <v>1697</v>
      </c>
      <c r="B1124" s="1800"/>
      <c r="C1124" s="1800"/>
      <c r="D1124" s="1800"/>
      <c r="E1124" s="1800"/>
      <c r="F1124" s="1800"/>
      <c r="G1124" s="162"/>
    </row>
    <row r="1125" spans="1:19" x14ac:dyDescent="0.25">
      <c r="A1125" s="162" t="s">
        <v>812</v>
      </c>
      <c r="B1125" s="162" t="s">
        <v>813</v>
      </c>
      <c r="C1125" s="162"/>
      <c r="D1125" s="162"/>
      <c r="E1125" s="96" t="s">
        <v>6</v>
      </c>
      <c r="F1125" s="96" t="s">
        <v>1741</v>
      </c>
      <c r="G1125" s="162"/>
    </row>
    <row r="1126" spans="1:19" x14ac:dyDescent="0.25">
      <c r="A1126" s="68" t="s">
        <v>814</v>
      </c>
      <c r="B1126" s="68" t="s">
        <v>815</v>
      </c>
      <c r="C1126" s="68"/>
      <c r="D1126" s="138"/>
      <c r="E1126" s="568" t="s">
        <v>573</v>
      </c>
      <c r="F1126" s="569" t="s">
        <v>1742</v>
      </c>
      <c r="G1126" s="162"/>
    </row>
    <row r="1127" spans="1:19" ht="39" customHeight="1" x14ac:dyDescent="0.25">
      <c r="A1127" s="202" t="s">
        <v>784</v>
      </c>
      <c r="B1127" s="77" t="s">
        <v>903</v>
      </c>
      <c r="C1127" s="68"/>
      <c r="D1127" s="138"/>
      <c r="E1127" s="456"/>
      <c r="F1127" s="68"/>
      <c r="G1127" s="162"/>
    </row>
    <row r="1128" spans="1:19" x14ac:dyDescent="0.25">
      <c r="A1128" s="162" t="s">
        <v>62</v>
      </c>
      <c r="B1128" s="162" t="s">
        <v>63</v>
      </c>
      <c r="C1128" s="162"/>
      <c r="D1128" s="162"/>
      <c r="E1128" s="162"/>
      <c r="F1128" s="162"/>
      <c r="G1128" s="162"/>
    </row>
    <row r="1129" spans="1:19" x14ac:dyDescent="0.25">
      <c r="A1129" s="1904" t="s">
        <v>561</v>
      </c>
      <c r="B1129" s="1904"/>
      <c r="C1129" s="162"/>
      <c r="D1129" s="68"/>
      <c r="E1129" s="457"/>
      <c r="F1129" s="162"/>
      <c r="G1129" s="162"/>
    </row>
    <row r="1130" spans="1:19" x14ac:dyDescent="0.25">
      <c r="A1130" s="68"/>
      <c r="B1130" s="68"/>
      <c r="C1130" s="162"/>
      <c r="D1130" s="68"/>
      <c r="E1130" s="457"/>
      <c r="F1130" s="162"/>
      <c r="G1130" s="162"/>
    </row>
    <row r="1131" spans="1:19" ht="24" x14ac:dyDescent="0.25">
      <c r="A1131" s="176" t="s">
        <v>31</v>
      </c>
      <c r="B1131" s="176" t="s">
        <v>12</v>
      </c>
      <c r="C1131" s="1955" t="s">
        <v>13</v>
      </c>
      <c r="D1131" s="1956"/>
      <c r="E1131" s="199" t="s">
        <v>14</v>
      </c>
      <c r="F1131" s="176" t="s">
        <v>15</v>
      </c>
      <c r="G1131" s="145" t="s">
        <v>35</v>
      </c>
    </row>
    <row r="1132" spans="1:19" x14ac:dyDescent="0.25">
      <c r="A1132" s="145">
        <v>1</v>
      </c>
      <c r="B1132" s="145">
        <v>2</v>
      </c>
      <c r="C1132" s="1803">
        <v>3</v>
      </c>
      <c r="D1132" s="1803"/>
      <c r="E1132" s="200">
        <v>4</v>
      </c>
      <c r="F1132" s="145">
        <v>5</v>
      </c>
      <c r="G1132" s="145">
        <v>6</v>
      </c>
    </row>
    <row r="1133" spans="1:19" s="495" customFormat="1" x14ac:dyDescent="0.25">
      <c r="A1133" s="1631"/>
      <c r="B1133" s="1297" t="s">
        <v>902</v>
      </c>
      <c r="C1133" s="1632"/>
      <c r="D1133" s="1633"/>
      <c r="E1133" s="1634"/>
      <c r="F1133" s="1631"/>
      <c r="G1133" s="1627"/>
    </row>
    <row r="1134" spans="1:19" x14ac:dyDescent="0.25">
      <c r="A1134" s="178" t="s">
        <v>894</v>
      </c>
      <c r="B1134" s="179" t="s">
        <v>323</v>
      </c>
      <c r="C1134" s="142"/>
      <c r="D1134" s="143"/>
      <c r="E1134" s="200"/>
      <c r="F1134" s="145"/>
      <c r="G1134" s="20"/>
      <c r="S1134" s="175">
        <f t="shared" ref="S1134:S1153" si="23">F1134</f>
        <v>0</v>
      </c>
    </row>
    <row r="1135" spans="1:19" ht="25.5" customHeight="1" x14ac:dyDescent="0.25">
      <c r="A1135" s="178" t="s">
        <v>893</v>
      </c>
      <c r="B1135" s="179" t="s">
        <v>88</v>
      </c>
      <c r="C1135" s="142"/>
      <c r="D1135" s="143"/>
      <c r="E1135" s="200"/>
      <c r="F1135" s="145"/>
      <c r="G1135" s="20"/>
      <c r="S1135" s="175">
        <f t="shared" si="23"/>
        <v>0</v>
      </c>
    </row>
    <row r="1136" spans="1:19" ht="30.75" customHeight="1" x14ac:dyDescent="0.25">
      <c r="A1136" s="180" t="s">
        <v>901</v>
      </c>
      <c r="B1136" s="179" t="s">
        <v>845</v>
      </c>
      <c r="C1136" s="142"/>
      <c r="D1136" s="143"/>
      <c r="E1136" s="200"/>
      <c r="F1136" s="145"/>
      <c r="G1136" s="20"/>
      <c r="S1136" s="175">
        <f t="shared" si="23"/>
        <v>0</v>
      </c>
    </row>
    <row r="1137" spans="1:19" x14ac:dyDescent="0.25">
      <c r="A1137" s="20"/>
      <c r="B1137" s="182" t="s">
        <v>124</v>
      </c>
      <c r="C1137" s="167">
        <v>5</v>
      </c>
      <c r="D1137" s="168" t="s">
        <v>307</v>
      </c>
      <c r="E1137" s="99">
        <v>5000</v>
      </c>
      <c r="F1137" s="99">
        <f>C1137*E1137</f>
        <v>25000</v>
      </c>
      <c r="G1137" s="179" t="s">
        <v>2625</v>
      </c>
      <c r="S1137" s="175">
        <f t="shared" si="23"/>
        <v>25000</v>
      </c>
    </row>
    <row r="1138" spans="1:19" x14ac:dyDescent="0.25">
      <c r="A1138" s="20"/>
      <c r="B1138" s="16"/>
      <c r="C1138" s="6"/>
      <c r="D1138" s="183"/>
      <c r="E1138" s="93"/>
      <c r="F1138" s="187"/>
      <c r="G1138" s="179"/>
      <c r="S1138" s="175">
        <f t="shared" si="23"/>
        <v>0</v>
      </c>
    </row>
    <row r="1139" spans="1:19" ht="27" customHeight="1" x14ac:dyDescent="0.25">
      <c r="A1139" s="20" t="s">
        <v>892</v>
      </c>
      <c r="B1139" s="4" t="s">
        <v>354</v>
      </c>
      <c r="C1139" s="6"/>
      <c r="D1139" s="183"/>
      <c r="E1139" s="12"/>
      <c r="F1139" s="187"/>
      <c r="G1139" s="179"/>
      <c r="S1139" s="175">
        <f t="shared" si="23"/>
        <v>0</v>
      </c>
    </row>
    <row r="1140" spans="1:19" x14ac:dyDescent="0.25">
      <c r="A1140" s="20"/>
      <c r="B1140" s="16" t="s">
        <v>1743</v>
      </c>
      <c r="C1140" s="6">
        <v>15</v>
      </c>
      <c r="D1140" s="183" t="s">
        <v>315</v>
      </c>
      <c r="E1140" s="12">
        <v>15000</v>
      </c>
      <c r="F1140" s="187">
        <f>E1140*C1140</f>
        <v>225000</v>
      </c>
      <c r="G1140" s="179" t="s">
        <v>2625</v>
      </c>
      <c r="S1140" s="175">
        <f t="shared" si="23"/>
        <v>225000</v>
      </c>
    </row>
    <row r="1141" spans="1:19" ht="32.25" customHeight="1" x14ac:dyDescent="0.25">
      <c r="A1141" s="148" t="s">
        <v>2942</v>
      </c>
      <c r="B1141" s="4" t="s">
        <v>198</v>
      </c>
      <c r="C1141" s="6"/>
      <c r="D1141" s="168"/>
      <c r="E1141" s="12"/>
      <c r="F1141" s="12"/>
      <c r="G1141" s="32"/>
      <c r="S1141" s="175">
        <f t="shared" si="23"/>
        <v>0</v>
      </c>
    </row>
    <row r="1142" spans="1:19" ht="32.25" customHeight="1" x14ac:dyDescent="0.25">
      <c r="A1142" s="148"/>
      <c r="B1142" s="4" t="s">
        <v>900</v>
      </c>
      <c r="C1142" s="6">
        <v>15</v>
      </c>
      <c r="D1142" s="168" t="s">
        <v>315</v>
      </c>
      <c r="E1142" s="12">
        <v>120000</v>
      </c>
      <c r="F1142" s="12">
        <f>C1142*E1142</f>
        <v>1800000</v>
      </c>
      <c r="G1142" s="179" t="s">
        <v>2625</v>
      </c>
      <c r="S1142" s="175">
        <f t="shared" si="23"/>
        <v>1800000</v>
      </c>
    </row>
    <row r="1143" spans="1:19" x14ac:dyDescent="0.25">
      <c r="A1143" s="20"/>
      <c r="B1143" s="16"/>
      <c r="C1143" s="6"/>
      <c r="D1143" s="183"/>
      <c r="E1143" s="12"/>
      <c r="F1143" s="187"/>
      <c r="G1143" s="179"/>
      <c r="S1143" s="175">
        <f t="shared" si="23"/>
        <v>0</v>
      </c>
    </row>
    <row r="1144" spans="1:19" ht="27.75" customHeight="1" x14ac:dyDescent="0.25">
      <c r="A1144" s="20" t="s">
        <v>891</v>
      </c>
      <c r="B1144" s="4" t="s">
        <v>376</v>
      </c>
      <c r="C1144" s="6"/>
      <c r="D1144" s="183"/>
      <c r="E1144" s="12"/>
      <c r="F1144" s="187"/>
      <c r="G1144" s="179"/>
      <c r="S1144" s="175">
        <f t="shared" si="23"/>
        <v>0</v>
      </c>
    </row>
    <row r="1145" spans="1:19" x14ac:dyDescent="0.25">
      <c r="A1145" s="20"/>
      <c r="B1145" s="16" t="s">
        <v>377</v>
      </c>
      <c r="C1145" s="6">
        <v>1</v>
      </c>
      <c r="D1145" s="183" t="s">
        <v>102</v>
      </c>
      <c r="E1145" s="12">
        <v>150000</v>
      </c>
      <c r="F1145" s="187">
        <f>E1145*C1145</f>
        <v>150000</v>
      </c>
      <c r="G1145" s="179" t="s">
        <v>2625</v>
      </c>
      <c r="S1145" s="175">
        <f t="shared" si="23"/>
        <v>150000</v>
      </c>
    </row>
    <row r="1146" spans="1:19" x14ac:dyDescent="0.25">
      <c r="A1146" s="20"/>
      <c r="B1146" s="16"/>
      <c r="C1146" s="6"/>
      <c r="D1146" s="183"/>
      <c r="E1146" s="12"/>
      <c r="F1146" s="187"/>
      <c r="G1146" s="179"/>
      <c r="S1146" s="175">
        <f t="shared" si="23"/>
        <v>0</v>
      </c>
    </row>
    <row r="1147" spans="1:19" ht="31.5" customHeight="1" x14ac:dyDescent="0.25">
      <c r="A1147" s="16" t="s">
        <v>890</v>
      </c>
      <c r="B1147" s="4" t="s">
        <v>831</v>
      </c>
      <c r="C1147" s="6"/>
      <c r="D1147" s="183"/>
      <c r="E1147" s="12"/>
      <c r="F1147" s="189"/>
      <c r="G1147" s="20"/>
      <c r="S1147" s="175">
        <f t="shared" si="23"/>
        <v>0</v>
      </c>
    </row>
    <row r="1148" spans="1:19" x14ac:dyDescent="0.25">
      <c r="A1148" s="16"/>
      <c r="B1148" s="16" t="s">
        <v>496</v>
      </c>
      <c r="C1148" s="6">
        <v>1</v>
      </c>
      <c r="D1148" s="183" t="s">
        <v>102</v>
      </c>
      <c r="E1148" s="12">
        <v>50000</v>
      </c>
      <c r="F1148" s="189">
        <f>E1148*C1148</f>
        <v>50000</v>
      </c>
      <c r="G1148" s="179" t="s">
        <v>2625</v>
      </c>
      <c r="S1148" s="175">
        <f t="shared" si="23"/>
        <v>50000</v>
      </c>
    </row>
    <row r="1149" spans="1:19" x14ac:dyDescent="0.25">
      <c r="A1149" s="16"/>
      <c r="B1149" s="16" t="s">
        <v>321</v>
      </c>
      <c r="C1149" s="6">
        <v>5</v>
      </c>
      <c r="D1149" s="183" t="s">
        <v>186</v>
      </c>
      <c r="E1149" s="12">
        <v>3000</v>
      </c>
      <c r="F1149" s="189">
        <f>E1149*C1149</f>
        <v>15000</v>
      </c>
      <c r="G1149" s="179" t="s">
        <v>2625</v>
      </c>
      <c r="S1149" s="175">
        <f t="shared" si="23"/>
        <v>15000</v>
      </c>
    </row>
    <row r="1150" spans="1:19" x14ac:dyDescent="0.25">
      <c r="A1150" s="16"/>
      <c r="B1150" s="16" t="s">
        <v>335</v>
      </c>
      <c r="C1150" s="6">
        <v>1</v>
      </c>
      <c r="D1150" s="183" t="s">
        <v>336</v>
      </c>
      <c r="E1150" s="12">
        <v>10000</v>
      </c>
      <c r="F1150" s="189">
        <f>E1150*C1150</f>
        <v>10000</v>
      </c>
      <c r="G1150" s="179" t="s">
        <v>2625</v>
      </c>
      <c r="S1150" s="175">
        <f t="shared" si="23"/>
        <v>10000</v>
      </c>
    </row>
    <row r="1151" spans="1:19" x14ac:dyDescent="0.25">
      <c r="A1151" s="16"/>
      <c r="B1151" s="16"/>
      <c r="C1151" s="6"/>
      <c r="D1151" s="183"/>
      <c r="E1151" s="12"/>
      <c r="F1151" s="189"/>
      <c r="G1151" s="20"/>
      <c r="S1151" s="175">
        <f t="shared" si="23"/>
        <v>0</v>
      </c>
    </row>
    <row r="1152" spans="1:19" x14ac:dyDescent="0.25">
      <c r="A1152" s="20" t="s">
        <v>889</v>
      </c>
      <c r="B1152" s="16" t="s">
        <v>340</v>
      </c>
      <c r="C1152" s="6"/>
      <c r="D1152" s="183"/>
      <c r="E1152" s="12"/>
      <c r="F1152" s="187"/>
      <c r="G1152" s="179"/>
      <c r="S1152" s="175">
        <f t="shared" si="23"/>
        <v>0</v>
      </c>
    </row>
    <row r="1153" spans="1:19" ht="32.25" customHeight="1" x14ac:dyDescent="0.25">
      <c r="A1153" s="20" t="s">
        <v>887</v>
      </c>
      <c r="B1153" s="4" t="s">
        <v>809</v>
      </c>
      <c r="C1153" s="6"/>
      <c r="D1153" s="183"/>
      <c r="E1153" s="103"/>
      <c r="F1153" s="189"/>
      <c r="G1153" s="179"/>
      <c r="S1153" s="175">
        <f t="shared" si="23"/>
        <v>0</v>
      </c>
    </row>
    <row r="1154" spans="1:19" x14ac:dyDescent="0.25">
      <c r="A1154" s="20"/>
      <c r="B1154" s="16" t="s">
        <v>899</v>
      </c>
      <c r="C1154" s="6">
        <v>2</v>
      </c>
      <c r="D1154" s="183" t="s">
        <v>315</v>
      </c>
      <c r="E1154" s="103">
        <v>300000</v>
      </c>
      <c r="F1154" s="189">
        <f>E1154*C1154</f>
        <v>600000</v>
      </c>
      <c r="G1154" s="179" t="s">
        <v>2625</v>
      </c>
      <c r="S1154" s="175">
        <f>F1154</f>
        <v>600000</v>
      </c>
    </row>
    <row r="1155" spans="1:19" x14ac:dyDescent="0.25">
      <c r="A1155" s="20"/>
      <c r="B1155" s="16"/>
      <c r="C1155" s="6"/>
      <c r="D1155" s="183"/>
      <c r="E1155" s="103"/>
      <c r="F1155" s="189"/>
      <c r="G1155" s="179"/>
      <c r="S1155" s="175"/>
    </row>
    <row r="1156" spans="1:19" x14ac:dyDescent="0.25">
      <c r="A1156" s="20" t="s">
        <v>2642</v>
      </c>
      <c r="B1156" s="16" t="s">
        <v>516</v>
      </c>
      <c r="C1156" s="6"/>
      <c r="D1156" s="183"/>
      <c r="E1156" s="103"/>
      <c r="F1156" s="189"/>
      <c r="G1156" s="179"/>
    </row>
    <row r="1157" spans="1:19" x14ac:dyDescent="0.25">
      <c r="A1157" s="20" t="s">
        <v>2939</v>
      </c>
      <c r="B1157" s="16" t="s">
        <v>2935</v>
      </c>
      <c r="C1157" s="6"/>
      <c r="D1157" s="183"/>
      <c r="E1157" s="103"/>
      <c r="F1157" s="189"/>
      <c r="G1157" s="179"/>
    </row>
    <row r="1158" spans="1:19" x14ac:dyDescent="0.25">
      <c r="A1158" s="20"/>
      <c r="B1158" s="16" t="s">
        <v>2940</v>
      </c>
      <c r="C1158" s="6">
        <v>5</v>
      </c>
      <c r="D1158" s="183" t="s">
        <v>315</v>
      </c>
      <c r="E1158" s="103">
        <v>400000</v>
      </c>
      <c r="F1158" s="189">
        <f>E1158*C1158</f>
        <v>2000000</v>
      </c>
      <c r="G1158" s="179" t="s">
        <v>2620</v>
      </c>
      <c r="L1158" s="175">
        <f>F1158</f>
        <v>2000000</v>
      </c>
    </row>
    <row r="1159" spans="1:19" x14ac:dyDescent="0.25">
      <c r="A1159" s="20"/>
      <c r="B1159" s="16"/>
      <c r="C1159" s="6"/>
      <c r="D1159" s="183"/>
      <c r="E1159" s="103"/>
      <c r="F1159" s="189"/>
      <c r="G1159" s="179"/>
    </row>
    <row r="1160" spans="1:19" x14ac:dyDescent="0.25">
      <c r="A1160" s="20"/>
      <c r="B1160" s="16"/>
      <c r="C1160" s="6"/>
      <c r="D1160" s="183"/>
      <c r="E1160" s="103"/>
      <c r="F1160" s="189"/>
      <c r="G1160" s="179"/>
    </row>
    <row r="1161" spans="1:19" x14ac:dyDescent="0.25">
      <c r="A1161" s="184"/>
      <c r="B1161" s="1850" t="s">
        <v>27</v>
      </c>
      <c r="C1161" s="1850"/>
      <c r="D1161" s="1850"/>
      <c r="E1161" s="1850"/>
      <c r="F1161" s="187">
        <f>SUM(F1137:F1160)</f>
        <v>4875000</v>
      </c>
      <c r="G1161" s="179"/>
      <c r="J1161" s="175"/>
      <c r="S1161" s="175"/>
    </row>
    <row r="1162" spans="1:19" x14ac:dyDescent="0.25">
      <c r="A1162" s="1807" t="s">
        <v>614</v>
      </c>
      <c r="B1162" s="1807"/>
      <c r="C1162" s="5" t="s">
        <v>28</v>
      </c>
      <c r="D1162" s="1808" t="s">
        <v>1698</v>
      </c>
      <c r="E1162" s="1808"/>
      <c r="F1162" s="1808"/>
      <c r="G1162" s="5"/>
    </row>
    <row r="1163" spans="1:19" x14ac:dyDescent="0.25">
      <c r="A1163" s="1807" t="s">
        <v>29</v>
      </c>
      <c r="B1163" s="1807"/>
      <c r="C1163" s="5"/>
      <c r="D1163" s="1809" t="s">
        <v>2990</v>
      </c>
      <c r="E1163" s="1809"/>
      <c r="F1163" s="1809"/>
      <c r="G1163" s="5"/>
    </row>
    <row r="1164" spans="1:19" x14ac:dyDescent="0.25">
      <c r="A1164" s="1"/>
      <c r="B1164" s="3"/>
      <c r="C1164" s="5"/>
      <c r="D1164" s="7"/>
      <c r="E1164" s="17"/>
      <c r="F1164" s="17"/>
      <c r="G1164" s="5"/>
    </row>
    <row r="1165" spans="1:19" x14ac:dyDescent="0.25">
      <c r="A1165" s="1"/>
      <c r="B1165" s="3"/>
      <c r="C1165" s="5"/>
      <c r="D1165" s="7"/>
      <c r="E1165" s="17"/>
      <c r="F1165" s="17"/>
      <c r="G1165" s="5"/>
    </row>
    <row r="1166" spans="1:19" x14ac:dyDescent="0.25">
      <c r="A1166" s="1807"/>
      <c r="B1166" s="1807"/>
      <c r="C1166" s="5"/>
      <c r="D1166" s="7"/>
      <c r="E1166" s="1807"/>
      <c r="F1166" s="1807"/>
      <c r="G1166" s="5"/>
    </row>
    <row r="1167" spans="1:19" x14ac:dyDescent="0.25">
      <c r="A1167" s="1807" t="s">
        <v>30</v>
      </c>
      <c r="B1167" s="1807"/>
      <c r="C1167" s="5"/>
      <c r="D1167" s="1807" t="s">
        <v>2991</v>
      </c>
      <c r="E1167" s="1807"/>
      <c r="F1167" s="1807"/>
      <c r="G1167" s="5"/>
    </row>
    <row r="1168" spans="1:19" x14ac:dyDescent="0.25">
      <c r="A1168" s="1800" t="s">
        <v>0</v>
      </c>
      <c r="B1168" s="1800"/>
      <c r="C1168" s="1800"/>
      <c r="D1168" s="1800"/>
      <c r="E1168" s="1800"/>
      <c r="F1168" s="1800"/>
      <c r="G1168" s="162"/>
    </row>
    <row r="1169" spans="1:7" x14ac:dyDescent="0.25">
      <c r="A1169" s="1800" t="s">
        <v>1</v>
      </c>
      <c r="B1169" s="1800"/>
      <c r="C1169" s="1800"/>
      <c r="D1169" s="1800"/>
      <c r="E1169" s="1800"/>
      <c r="F1169" s="1800"/>
      <c r="G1169" s="162"/>
    </row>
    <row r="1170" spans="1:7" x14ac:dyDescent="0.25">
      <c r="A1170" s="1800" t="s">
        <v>1697</v>
      </c>
      <c r="B1170" s="1800"/>
      <c r="C1170" s="1800"/>
      <c r="D1170" s="1800"/>
      <c r="E1170" s="1800"/>
      <c r="F1170" s="1800"/>
      <c r="G1170" s="162"/>
    </row>
    <row r="1171" spans="1:7" x14ac:dyDescent="0.25">
      <c r="A1171" s="162" t="s">
        <v>812</v>
      </c>
      <c r="B1171" s="162" t="s">
        <v>813</v>
      </c>
      <c r="C1171" s="162"/>
      <c r="D1171" s="162"/>
      <c r="E1171" s="96" t="s">
        <v>6</v>
      </c>
      <c r="F1171" s="96"/>
      <c r="G1171" s="162"/>
    </row>
    <row r="1172" spans="1:7" x14ac:dyDescent="0.25">
      <c r="A1172" s="68" t="s">
        <v>814</v>
      </c>
      <c r="B1172" s="68" t="s">
        <v>815</v>
      </c>
      <c r="C1172" s="68"/>
      <c r="D1172" s="138"/>
      <c r="E1172" s="568" t="s">
        <v>573</v>
      </c>
      <c r="F1172" s="569"/>
      <c r="G1172" s="162"/>
    </row>
    <row r="1173" spans="1:7" ht="43.5" customHeight="1" x14ac:dyDescent="0.25">
      <c r="A1173" s="202" t="s">
        <v>784</v>
      </c>
      <c r="B1173" s="77" t="s">
        <v>905</v>
      </c>
      <c r="C1173" s="68"/>
      <c r="D1173" s="138"/>
      <c r="E1173" s="456"/>
      <c r="F1173" s="68"/>
      <c r="G1173" s="162"/>
    </row>
    <row r="1174" spans="1:7" x14ac:dyDescent="0.25">
      <c r="A1174" s="162" t="s">
        <v>62</v>
      </c>
      <c r="B1174" s="162" t="s">
        <v>63</v>
      </c>
      <c r="C1174" s="162"/>
      <c r="D1174" s="162"/>
      <c r="E1174" s="162"/>
      <c r="F1174" s="162"/>
      <c r="G1174" s="162"/>
    </row>
    <row r="1175" spans="1:7" x14ac:dyDescent="0.25">
      <c r="A1175" s="1904" t="s">
        <v>561</v>
      </c>
      <c r="B1175" s="1904"/>
      <c r="C1175" s="162"/>
      <c r="D1175" s="68"/>
      <c r="E1175" s="457"/>
      <c r="F1175" s="162"/>
      <c r="G1175" s="162"/>
    </row>
    <row r="1176" spans="1:7" ht="24" x14ac:dyDescent="0.25">
      <c r="A1176" s="91" t="s">
        <v>31</v>
      </c>
      <c r="B1176" s="91" t="s">
        <v>12</v>
      </c>
      <c r="C1176" s="1905" t="s">
        <v>13</v>
      </c>
      <c r="D1176" s="1906"/>
      <c r="E1176" s="94" t="s">
        <v>14</v>
      </c>
      <c r="F1176" s="91" t="s">
        <v>15</v>
      </c>
      <c r="G1176" s="64" t="s">
        <v>35</v>
      </c>
    </row>
    <row r="1177" spans="1:7" x14ac:dyDescent="0.25">
      <c r="A1177" s="64">
        <v>1</v>
      </c>
      <c r="B1177" s="64">
        <v>2</v>
      </c>
      <c r="C1177" s="1907">
        <v>3</v>
      </c>
      <c r="D1177" s="1907"/>
      <c r="E1177" s="95">
        <v>4</v>
      </c>
      <c r="F1177" s="64">
        <v>5</v>
      </c>
      <c r="G1177" s="64">
        <v>6</v>
      </c>
    </row>
    <row r="1178" spans="1:7" x14ac:dyDescent="0.25">
      <c r="A1178" s="178" t="s">
        <v>894</v>
      </c>
      <c r="B1178" s="87" t="s">
        <v>323</v>
      </c>
      <c r="C1178" s="42"/>
      <c r="D1178" s="43"/>
      <c r="E1178" s="95"/>
      <c r="F1178" s="64"/>
      <c r="G1178" s="65"/>
    </row>
    <row r="1179" spans="1:7" ht="21.75" customHeight="1" x14ac:dyDescent="0.25">
      <c r="A1179" s="178" t="s">
        <v>893</v>
      </c>
      <c r="B1179" s="87" t="s">
        <v>88</v>
      </c>
      <c r="C1179" s="42"/>
      <c r="D1179" s="43"/>
      <c r="E1179" s="95"/>
      <c r="F1179" s="64"/>
      <c r="G1179" s="65"/>
    </row>
    <row r="1180" spans="1:7" ht="29.25" customHeight="1" x14ac:dyDescent="0.25">
      <c r="A1180" s="180" t="s">
        <v>901</v>
      </c>
      <c r="B1180" s="87" t="s">
        <v>845</v>
      </c>
      <c r="C1180" s="42"/>
      <c r="D1180" s="43"/>
      <c r="E1180" s="95"/>
      <c r="F1180" s="64"/>
      <c r="G1180" s="65"/>
    </row>
    <row r="1181" spans="1:7" x14ac:dyDescent="0.25">
      <c r="A1181" s="64"/>
      <c r="B1181" s="90" t="s">
        <v>1561</v>
      </c>
      <c r="C1181" s="57">
        <v>2</v>
      </c>
      <c r="D1181" s="58" t="s">
        <v>91</v>
      </c>
      <c r="E1181" s="379">
        <v>68000</v>
      </c>
      <c r="F1181" s="379">
        <f>C1181*E1181</f>
        <v>136000</v>
      </c>
      <c r="G1181" s="87"/>
    </row>
    <row r="1182" spans="1:7" x14ac:dyDescent="0.25">
      <c r="A1182" s="64"/>
      <c r="B1182" s="90" t="s">
        <v>306</v>
      </c>
      <c r="C1182" s="57">
        <v>30</v>
      </c>
      <c r="D1182" s="58" t="s">
        <v>307</v>
      </c>
      <c r="E1182" s="379">
        <v>4500</v>
      </c>
      <c r="F1182" s="379">
        <f>C1182*E1182</f>
        <v>135000</v>
      </c>
      <c r="G1182" s="87"/>
    </row>
    <row r="1183" spans="1:7" x14ac:dyDescent="0.25">
      <c r="A1183" s="65"/>
      <c r="B1183" s="90" t="s">
        <v>777</v>
      </c>
      <c r="C1183" s="57">
        <v>30</v>
      </c>
      <c r="D1183" s="58" t="s">
        <v>307</v>
      </c>
      <c r="E1183" s="379">
        <v>10000</v>
      </c>
      <c r="F1183" s="379">
        <f>C1183*E1183</f>
        <v>300000</v>
      </c>
      <c r="G1183" s="87"/>
    </row>
    <row r="1184" spans="1:7" x14ac:dyDescent="0.25">
      <c r="A1184" s="65"/>
      <c r="B1184" s="40"/>
      <c r="C1184" s="41"/>
      <c r="D1184" s="89"/>
      <c r="E1184" s="570"/>
      <c r="F1184" s="50"/>
      <c r="G1184" s="87"/>
    </row>
    <row r="1185" spans="1:19" ht="31.5" customHeight="1" x14ac:dyDescent="0.25">
      <c r="A1185" s="180" t="s">
        <v>892</v>
      </c>
      <c r="B1185" s="60" t="s">
        <v>354</v>
      </c>
      <c r="C1185" s="41"/>
      <c r="D1185" s="89"/>
      <c r="E1185" s="59"/>
      <c r="F1185" s="50"/>
      <c r="G1185" s="87"/>
    </row>
    <row r="1186" spans="1:19" x14ac:dyDescent="0.25">
      <c r="A1186" s="65"/>
      <c r="B1186" s="40" t="s">
        <v>775</v>
      </c>
      <c r="C1186" s="41"/>
      <c r="D1186" s="89"/>
      <c r="E1186" s="570"/>
      <c r="F1186" s="88"/>
      <c r="G1186" s="87"/>
    </row>
    <row r="1187" spans="1:19" x14ac:dyDescent="0.25">
      <c r="A1187" s="65"/>
      <c r="B1187" s="40" t="s">
        <v>904</v>
      </c>
      <c r="C1187" s="41">
        <v>60</v>
      </c>
      <c r="D1187" s="89" t="s">
        <v>315</v>
      </c>
      <c r="E1187" s="59">
        <v>15000</v>
      </c>
      <c r="F1187" s="88">
        <f>E1187*C1187</f>
        <v>900000</v>
      </c>
      <c r="G1187" s="87"/>
    </row>
    <row r="1188" spans="1:19" x14ac:dyDescent="0.25">
      <c r="A1188" s="65"/>
      <c r="B1188" s="40"/>
      <c r="C1188" s="41"/>
      <c r="D1188" s="89"/>
      <c r="E1188" s="49"/>
      <c r="F1188" s="88"/>
      <c r="G1188" s="87"/>
    </row>
    <row r="1189" spans="1:19" x14ac:dyDescent="0.25">
      <c r="A1189" s="180" t="s">
        <v>889</v>
      </c>
      <c r="B1189" s="40" t="s">
        <v>340</v>
      </c>
      <c r="C1189" s="41"/>
      <c r="D1189" s="89"/>
      <c r="E1189" s="49"/>
      <c r="F1189" s="88"/>
      <c r="G1189" s="87"/>
    </row>
    <row r="1190" spans="1:19" ht="20.25" customHeight="1" x14ac:dyDescent="0.25">
      <c r="A1190" s="180" t="s">
        <v>898</v>
      </c>
      <c r="B1190" s="60" t="s">
        <v>393</v>
      </c>
      <c r="C1190" s="41"/>
      <c r="D1190" s="89"/>
      <c r="E1190" s="49"/>
      <c r="F1190" s="463"/>
      <c r="G1190" s="87"/>
    </row>
    <row r="1191" spans="1:19" ht="30" customHeight="1" x14ac:dyDescent="0.25">
      <c r="A1191" s="571"/>
      <c r="B1191" s="572" t="s">
        <v>2160</v>
      </c>
      <c r="C1191" s="460">
        <v>60</v>
      </c>
      <c r="D1191" s="461" t="s">
        <v>315</v>
      </c>
      <c r="E1191" s="49">
        <v>100000</v>
      </c>
      <c r="F1191" s="573">
        <f>E1191*C1191</f>
        <v>6000000</v>
      </c>
      <c r="G1191" s="87"/>
    </row>
    <row r="1192" spans="1:19" x14ac:dyDescent="0.25">
      <c r="A1192" s="65"/>
      <c r="B1192" s="40"/>
      <c r="C1192" s="41"/>
      <c r="D1192" s="89"/>
      <c r="E1192" s="59"/>
      <c r="F1192" s="50"/>
      <c r="G1192" s="87"/>
    </row>
    <row r="1193" spans="1:19" x14ac:dyDescent="0.25">
      <c r="A1193" s="464"/>
      <c r="B1193" s="1918" t="s">
        <v>27</v>
      </c>
      <c r="C1193" s="1919"/>
      <c r="D1193" s="1919"/>
      <c r="E1193" s="1919"/>
      <c r="F1193" s="50">
        <f>SUM(F1181:F1192)</f>
        <v>7471000</v>
      </c>
      <c r="G1193" s="87" t="s">
        <v>1685</v>
      </c>
      <c r="J1193" s="175"/>
      <c r="M1193" s="175">
        <f>F1193</f>
        <v>7471000</v>
      </c>
      <c r="S1193" s="175"/>
    </row>
    <row r="1194" spans="1:19" x14ac:dyDescent="0.25">
      <c r="A1194" s="136"/>
      <c r="B1194" s="136"/>
      <c r="C1194" s="5"/>
      <c r="D1194" s="136"/>
      <c r="E1194" s="136"/>
      <c r="F1194" s="136"/>
      <c r="G1194" s="5"/>
    </row>
    <row r="1195" spans="1:19" x14ac:dyDescent="0.25">
      <c r="A1195" s="1807" t="s">
        <v>614</v>
      </c>
      <c r="B1195" s="1807"/>
      <c r="C1195" s="5" t="s">
        <v>28</v>
      </c>
      <c r="D1195" s="1808" t="s">
        <v>1698</v>
      </c>
      <c r="E1195" s="1808"/>
      <c r="F1195" s="1808"/>
      <c r="G1195" s="5"/>
    </row>
    <row r="1196" spans="1:19" x14ac:dyDescent="0.25">
      <c r="A1196" s="1807" t="s">
        <v>29</v>
      </c>
      <c r="B1196" s="1807"/>
      <c r="C1196" s="5"/>
      <c r="D1196" s="1809" t="s">
        <v>2990</v>
      </c>
      <c r="E1196" s="1809"/>
      <c r="F1196" s="1809"/>
      <c r="G1196" s="5"/>
    </row>
    <row r="1197" spans="1:19" x14ac:dyDescent="0.25">
      <c r="A1197" s="1"/>
      <c r="B1197" s="3"/>
      <c r="C1197" s="5"/>
      <c r="D1197" s="7"/>
      <c r="E1197" s="17"/>
      <c r="F1197" s="17"/>
      <c r="G1197" s="5"/>
    </row>
    <row r="1198" spans="1:19" x14ac:dyDescent="0.25">
      <c r="A1198" s="1"/>
      <c r="B1198" s="3"/>
      <c r="C1198" s="5"/>
      <c r="D1198" s="7"/>
      <c r="E1198" s="17"/>
      <c r="F1198" s="17"/>
      <c r="G1198" s="5"/>
    </row>
    <row r="1199" spans="1:19" x14ac:dyDescent="0.25">
      <c r="A1199" s="1807"/>
      <c r="B1199" s="1807"/>
      <c r="C1199" s="5"/>
      <c r="D1199" s="7"/>
      <c r="E1199" s="1807"/>
      <c r="F1199" s="1807"/>
      <c r="G1199" s="5"/>
    </row>
    <row r="1200" spans="1:19" x14ac:dyDescent="0.25">
      <c r="A1200" s="1807" t="s">
        <v>30</v>
      </c>
      <c r="B1200" s="1807"/>
      <c r="C1200" s="5"/>
      <c r="D1200" s="1807" t="s">
        <v>2991</v>
      </c>
      <c r="E1200" s="1807"/>
      <c r="F1200" s="1807"/>
      <c r="G1200" s="5"/>
    </row>
    <row r="1201" spans="1:7" x14ac:dyDescent="0.25">
      <c r="A1201" s="162"/>
      <c r="B1201" s="201"/>
      <c r="C1201" s="201"/>
      <c r="D1201" s="201"/>
      <c r="E1201" s="201"/>
      <c r="F1201" s="523"/>
      <c r="G1201" s="139"/>
    </row>
    <row r="1202" spans="1:7" x14ac:dyDescent="0.25">
      <c r="A1202" s="1841" t="s">
        <v>0</v>
      </c>
      <c r="B1202" s="1841"/>
      <c r="C1202" s="1841"/>
      <c r="D1202" s="1841"/>
      <c r="E1202" s="1841"/>
      <c r="F1202" s="1841"/>
      <c r="G1202" s="1160"/>
    </row>
    <row r="1203" spans="1:7" x14ac:dyDescent="0.25">
      <c r="A1203" s="1841" t="s">
        <v>1</v>
      </c>
      <c r="B1203" s="1841"/>
      <c r="C1203" s="1841"/>
      <c r="D1203" s="1841"/>
      <c r="E1203" s="1841"/>
      <c r="F1203" s="1841"/>
      <c r="G1203" s="1160"/>
    </row>
    <row r="1204" spans="1:7" x14ac:dyDescent="0.25">
      <c r="A1204" s="1841" t="s">
        <v>1697</v>
      </c>
      <c r="B1204" s="1841"/>
      <c r="C1204" s="1841"/>
      <c r="D1204" s="1841"/>
      <c r="E1204" s="1841"/>
      <c r="F1204" s="1841"/>
      <c r="G1204" s="1160"/>
    </row>
    <row r="1205" spans="1:7" x14ac:dyDescent="0.25">
      <c r="A1205" s="1217"/>
      <c r="B1205" s="1217"/>
      <c r="C1205" s="1217"/>
      <c r="D1205" s="1217"/>
      <c r="E1205" s="1217"/>
      <c r="F1205" s="1217"/>
      <c r="G1205" s="1160"/>
    </row>
    <row r="1206" spans="1:7" x14ac:dyDescent="0.25">
      <c r="A1206" s="1160" t="s">
        <v>928</v>
      </c>
      <c r="B1206" s="1160" t="s">
        <v>786</v>
      </c>
      <c r="C1206" s="1160"/>
      <c r="D1206" s="1160"/>
      <c r="E1206" s="1218" t="s">
        <v>1740</v>
      </c>
      <c r="F1206" s="1218"/>
      <c r="G1206" s="1160"/>
    </row>
    <row r="1207" spans="1:7" x14ac:dyDescent="0.25">
      <c r="A1207" s="1194" t="s">
        <v>277</v>
      </c>
      <c r="B1207" s="1194" t="s">
        <v>785</v>
      </c>
      <c r="C1207" s="1194"/>
      <c r="D1207" s="1217"/>
      <c r="E1207" s="1219" t="s">
        <v>573</v>
      </c>
      <c r="F1207" s="1219"/>
      <c r="G1207" s="1160"/>
    </row>
    <row r="1208" spans="1:7" ht="30" customHeight="1" x14ac:dyDescent="0.25">
      <c r="A1208" s="1220" t="s">
        <v>927</v>
      </c>
      <c r="B1208" s="1195" t="s">
        <v>1335</v>
      </c>
      <c r="C1208" s="1194"/>
      <c r="D1208" s="1217"/>
      <c r="E1208" s="1221"/>
      <c r="F1208" s="1221"/>
      <c r="G1208" s="1160"/>
    </row>
    <row r="1209" spans="1:7" x14ac:dyDescent="0.25">
      <c r="A1209" s="1160" t="s">
        <v>579</v>
      </c>
      <c r="B1209" s="1160" t="s">
        <v>611</v>
      </c>
      <c r="C1209" s="1160"/>
      <c r="D1209" s="1160"/>
      <c r="E1209" s="1160"/>
      <c r="F1209" s="1160"/>
      <c r="G1209" s="1160"/>
    </row>
    <row r="1210" spans="1:7" x14ac:dyDescent="0.25">
      <c r="A1210" s="1957" t="s">
        <v>561</v>
      </c>
      <c r="B1210" s="1957"/>
      <c r="C1210" s="1160"/>
      <c r="D1210" s="1217"/>
      <c r="E1210" s="1222"/>
      <c r="F1210" s="1160"/>
      <c r="G1210" s="1160"/>
    </row>
    <row r="1211" spans="1:7" ht="24" x14ac:dyDescent="0.25">
      <c r="A1211" s="1165" t="s">
        <v>31</v>
      </c>
      <c r="B1211" s="1165" t="s">
        <v>12</v>
      </c>
      <c r="C1211" s="1845" t="s">
        <v>13</v>
      </c>
      <c r="D1211" s="1846"/>
      <c r="E1211" s="1223" t="s">
        <v>14</v>
      </c>
      <c r="F1211" s="1166" t="s">
        <v>15</v>
      </c>
      <c r="G1211" s="1168" t="s">
        <v>35</v>
      </c>
    </row>
    <row r="1212" spans="1:7" x14ac:dyDescent="0.25">
      <c r="A1212" s="1169">
        <v>1</v>
      </c>
      <c r="B1212" s="1169">
        <v>2</v>
      </c>
      <c r="C1212" s="1874">
        <v>3</v>
      </c>
      <c r="D1212" s="1875"/>
      <c r="E1212" s="1224">
        <v>4</v>
      </c>
      <c r="F1212" s="1170">
        <v>5</v>
      </c>
      <c r="G1212" s="1173">
        <v>6</v>
      </c>
    </row>
    <row r="1213" spans="1:7" x14ac:dyDescent="0.25">
      <c r="A1213" s="1206"/>
      <c r="B1213" s="1225" t="s">
        <v>1334</v>
      </c>
      <c r="C1213" s="1170"/>
      <c r="D1213" s="1171"/>
      <c r="E1213" s="1169"/>
      <c r="F1213" s="1169"/>
      <c r="G1213" s="1226"/>
    </row>
    <row r="1214" spans="1:7" x14ac:dyDescent="0.25">
      <c r="A1214" s="1206" t="s">
        <v>1333</v>
      </c>
      <c r="B1214" s="1207" t="s">
        <v>86</v>
      </c>
      <c r="C1214" s="1170"/>
      <c r="D1214" s="1171"/>
      <c r="E1214" s="1169"/>
      <c r="F1214" s="1169"/>
      <c r="G1214" s="1226"/>
    </row>
    <row r="1215" spans="1:7" ht="24" x14ac:dyDescent="0.25">
      <c r="A1215" s="1206" t="s">
        <v>1332</v>
      </c>
      <c r="B1215" s="1207" t="s">
        <v>88</v>
      </c>
      <c r="C1215" s="1170"/>
      <c r="D1215" s="1171"/>
      <c r="E1215" s="1169"/>
      <c r="F1215" s="1169"/>
      <c r="G1215" s="1226"/>
    </row>
    <row r="1216" spans="1:7" ht="36" x14ac:dyDescent="0.25">
      <c r="A1216" s="1206" t="s">
        <v>1744</v>
      </c>
      <c r="B1216" s="1207" t="s">
        <v>324</v>
      </c>
      <c r="C1216" s="1170"/>
      <c r="D1216" s="1171"/>
      <c r="E1216" s="1227"/>
      <c r="F1216" s="1227"/>
      <c r="G1216" s="1226"/>
    </row>
    <row r="1217" spans="1:7" x14ac:dyDescent="0.25">
      <c r="A1217" s="1206"/>
      <c r="B1217" s="1207" t="s">
        <v>1561</v>
      </c>
      <c r="C1217" s="1170">
        <v>5</v>
      </c>
      <c r="D1217" s="1171" t="s">
        <v>91</v>
      </c>
      <c r="E1217" s="1227">
        <v>60000</v>
      </c>
      <c r="F1217" s="1227">
        <f>C1217*E1217</f>
        <v>300000</v>
      </c>
      <c r="G1217" s="1226"/>
    </row>
    <row r="1218" spans="1:7" x14ac:dyDescent="0.25">
      <c r="A1218" s="1206"/>
      <c r="B1218" s="1207" t="s">
        <v>311</v>
      </c>
      <c r="C1218" s="1170">
        <v>200</v>
      </c>
      <c r="D1218" s="1171" t="s">
        <v>312</v>
      </c>
      <c r="E1218" s="1227">
        <v>250</v>
      </c>
      <c r="F1218" s="1227">
        <f>C1218*E1218</f>
        <v>50000</v>
      </c>
      <c r="G1218" s="1226"/>
    </row>
    <row r="1219" spans="1:7" x14ac:dyDescent="0.25">
      <c r="A1219" s="1206"/>
      <c r="B1219" s="1207" t="s">
        <v>306</v>
      </c>
      <c r="C1219" s="1170">
        <v>360</v>
      </c>
      <c r="D1219" s="1171" t="s">
        <v>307</v>
      </c>
      <c r="E1219" s="1227">
        <v>3000</v>
      </c>
      <c r="F1219" s="1227">
        <f>C1219*E1219</f>
        <v>1080000</v>
      </c>
      <c r="G1219" s="1226"/>
    </row>
    <row r="1220" spans="1:7" x14ac:dyDescent="0.25">
      <c r="A1220" s="1206"/>
      <c r="B1220" s="1207" t="s">
        <v>122</v>
      </c>
      <c r="C1220" s="1170">
        <v>360</v>
      </c>
      <c r="D1220" s="1171" t="s">
        <v>307</v>
      </c>
      <c r="E1220" s="1227">
        <v>5000</v>
      </c>
      <c r="F1220" s="1227">
        <f>C1220*E1220</f>
        <v>1800000</v>
      </c>
      <c r="G1220" s="1226"/>
    </row>
    <row r="1221" spans="1:7" x14ac:dyDescent="0.25">
      <c r="A1221" s="1206"/>
      <c r="B1221" s="1207"/>
      <c r="C1221" s="1170"/>
      <c r="D1221" s="1171"/>
      <c r="E1221" s="1227"/>
      <c r="F1221" s="1227"/>
      <c r="G1221" s="1226"/>
    </row>
    <row r="1222" spans="1:7" ht="24" x14ac:dyDescent="0.25">
      <c r="A1222" s="1206" t="s">
        <v>1327</v>
      </c>
      <c r="B1222" s="1207" t="s">
        <v>354</v>
      </c>
      <c r="C1222" s="1170"/>
      <c r="D1222" s="1171"/>
      <c r="E1222" s="1227"/>
      <c r="F1222" s="1227"/>
      <c r="G1222" s="1226"/>
    </row>
    <row r="1223" spans="1:7" x14ac:dyDescent="0.25">
      <c r="A1223" s="1206"/>
      <c r="B1223" s="1207" t="s">
        <v>1331</v>
      </c>
      <c r="C1223" s="1170">
        <v>70</v>
      </c>
      <c r="D1223" s="1171" t="s">
        <v>526</v>
      </c>
      <c r="E1223" s="1227">
        <v>15000</v>
      </c>
      <c r="F1223" s="1227">
        <f>C1223*E1223</f>
        <v>1050000</v>
      </c>
      <c r="G1223" s="1226"/>
    </row>
    <row r="1224" spans="1:7" x14ac:dyDescent="0.25">
      <c r="A1224" s="1206"/>
      <c r="B1224" s="1207"/>
      <c r="C1224" s="1170"/>
      <c r="D1224" s="1171"/>
      <c r="E1224" s="1227"/>
      <c r="F1224" s="1227"/>
      <c r="G1224" s="1226"/>
    </row>
    <row r="1225" spans="1:7" x14ac:dyDescent="0.25">
      <c r="A1225" s="1206" t="s">
        <v>1321</v>
      </c>
      <c r="B1225" s="1207" t="s">
        <v>340</v>
      </c>
      <c r="C1225" s="1170"/>
      <c r="D1225" s="1171"/>
      <c r="E1225" s="1227"/>
      <c r="F1225" s="1227"/>
      <c r="G1225" s="1226"/>
    </row>
    <row r="1226" spans="1:7" ht="24" x14ac:dyDescent="0.25">
      <c r="A1226" s="1206" t="s">
        <v>1319</v>
      </c>
      <c r="B1226" s="1207" t="s">
        <v>1330</v>
      </c>
      <c r="C1226" s="1170"/>
      <c r="D1226" s="1171"/>
      <c r="E1226" s="1169"/>
      <c r="F1226" s="1169"/>
      <c r="G1226" s="1226"/>
    </row>
    <row r="1227" spans="1:7" x14ac:dyDescent="0.25">
      <c r="A1227" s="1206"/>
      <c r="B1227" s="1207" t="s">
        <v>1329</v>
      </c>
      <c r="C1227" s="1170">
        <v>4</v>
      </c>
      <c r="D1227" s="1171" t="s">
        <v>461</v>
      </c>
      <c r="E1227" s="1227">
        <v>200000</v>
      </c>
      <c r="F1227" s="1227">
        <f>C1227*E1227</f>
        <v>800000</v>
      </c>
      <c r="G1227" s="1226"/>
    </row>
    <row r="1228" spans="1:7" x14ac:dyDescent="0.25">
      <c r="A1228" s="1206"/>
      <c r="B1228" s="1228"/>
      <c r="C1228" s="1170"/>
      <c r="D1228" s="1171"/>
      <c r="E1228" s="1227"/>
      <c r="F1228" s="1227"/>
      <c r="G1228" s="1226"/>
    </row>
    <row r="1229" spans="1:7" x14ac:dyDescent="0.25">
      <c r="A1229" s="1214"/>
      <c r="B1229" s="1229" t="s">
        <v>1328</v>
      </c>
      <c r="C1229" s="1184"/>
      <c r="D1229" s="1208"/>
      <c r="E1229" s="1230"/>
      <c r="F1229" s="1230"/>
      <c r="G1229" s="1231"/>
    </row>
    <row r="1230" spans="1:7" x14ac:dyDescent="0.25">
      <c r="A1230" s="1210"/>
      <c r="B1230" s="1232"/>
      <c r="C1230" s="1184"/>
      <c r="D1230" s="1208"/>
      <c r="E1230" s="1230"/>
      <c r="F1230" s="1230"/>
      <c r="G1230" s="1211"/>
    </row>
    <row r="1231" spans="1:7" ht="24" x14ac:dyDescent="0.25">
      <c r="A1231" s="1206" t="s">
        <v>1327</v>
      </c>
      <c r="B1231" s="1207" t="s">
        <v>354</v>
      </c>
      <c r="C1231" s="1170"/>
      <c r="D1231" s="1171"/>
      <c r="E1231" s="1227"/>
      <c r="F1231" s="1227"/>
      <c r="G1231" s="1226"/>
    </row>
    <row r="1232" spans="1:7" x14ac:dyDescent="0.25">
      <c r="A1232" s="1214"/>
      <c r="B1232" s="1231" t="s">
        <v>1326</v>
      </c>
      <c r="C1232" s="1184">
        <v>50</v>
      </c>
      <c r="D1232" s="1208" t="s">
        <v>565</v>
      </c>
      <c r="E1232" s="1185">
        <v>15000</v>
      </c>
      <c r="F1232" s="1185">
        <f>E1232*C1232</f>
        <v>750000</v>
      </c>
      <c r="G1232" s="1226"/>
    </row>
    <row r="1233" spans="1:7" x14ac:dyDescent="0.25">
      <c r="A1233" s="1210"/>
      <c r="B1233" s="1231"/>
      <c r="C1233" s="1184"/>
      <c r="D1233" s="1208"/>
      <c r="E1233" s="1185"/>
      <c r="F1233" s="1233"/>
      <c r="G1233" s="1226"/>
    </row>
    <row r="1234" spans="1:7" x14ac:dyDescent="0.25">
      <c r="A1234" s="1206" t="s">
        <v>1325</v>
      </c>
      <c r="B1234" s="1231" t="s">
        <v>1324</v>
      </c>
      <c r="C1234" s="1184"/>
      <c r="D1234" s="1208"/>
      <c r="E1234" s="1185"/>
      <c r="F1234" s="1185"/>
      <c r="G1234" s="1231"/>
    </row>
    <row r="1235" spans="1:7" x14ac:dyDescent="0.25">
      <c r="A1235" s="1214"/>
      <c r="B1235" s="1231" t="s">
        <v>1323</v>
      </c>
      <c r="C1235" s="1184">
        <v>1</v>
      </c>
      <c r="D1235" s="1208" t="s">
        <v>123</v>
      </c>
      <c r="E1235" s="1185">
        <v>150000</v>
      </c>
      <c r="F1235" s="1185">
        <f>E1235*C1235</f>
        <v>150000</v>
      </c>
      <c r="G1235" s="1226"/>
    </row>
    <row r="1236" spans="1:7" x14ac:dyDescent="0.25">
      <c r="A1236" s="1210"/>
      <c r="B1236" s="1231"/>
      <c r="C1236" s="1184"/>
      <c r="D1236" s="1208"/>
      <c r="E1236" s="1185"/>
      <c r="F1236" s="1185"/>
      <c r="G1236" s="1226"/>
    </row>
    <row r="1237" spans="1:7" x14ac:dyDescent="0.25">
      <c r="A1237" s="1206" t="s">
        <v>1322</v>
      </c>
      <c r="B1237" s="1231" t="s">
        <v>495</v>
      </c>
      <c r="C1237" s="1184"/>
      <c r="D1237" s="1178"/>
      <c r="E1237" s="1185"/>
      <c r="F1237" s="1180"/>
      <c r="G1237" s="1226"/>
    </row>
    <row r="1238" spans="1:7" x14ac:dyDescent="0.25">
      <c r="A1238" s="1231"/>
      <c r="B1238" s="1231" t="s">
        <v>496</v>
      </c>
      <c r="C1238" s="1184">
        <v>1</v>
      </c>
      <c r="D1238" s="1208" t="s">
        <v>102</v>
      </c>
      <c r="E1238" s="1185">
        <v>100000</v>
      </c>
      <c r="F1238" s="1180">
        <f>E1238*C1238</f>
        <v>100000</v>
      </c>
      <c r="G1238" s="1183"/>
    </row>
    <row r="1239" spans="1:7" x14ac:dyDescent="0.25">
      <c r="A1239" s="1231"/>
      <c r="B1239" s="1231" t="s">
        <v>321</v>
      </c>
      <c r="C1239" s="1184">
        <v>5</v>
      </c>
      <c r="D1239" s="1208" t="s">
        <v>186</v>
      </c>
      <c r="E1239" s="1185">
        <v>3000</v>
      </c>
      <c r="F1239" s="1180">
        <f>E1239*C1239</f>
        <v>15000</v>
      </c>
      <c r="G1239" s="1234"/>
    </row>
    <row r="1240" spans="1:7" x14ac:dyDescent="0.25">
      <c r="A1240" s="1231"/>
      <c r="B1240" s="1231" t="s">
        <v>335</v>
      </c>
      <c r="C1240" s="1184">
        <v>1</v>
      </c>
      <c r="D1240" s="1208" t="s">
        <v>336</v>
      </c>
      <c r="E1240" s="1185">
        <v>10000</v>
      </c>
      <c r="F1240" s="1180">
        <f>E1240*C1240</f>
        <v>10000</v>
      </c>
      <c r="G1240" s="1234"/>
    </row>
    <row r="1241" spans="1:7" x14ac:dyDescent="0.25">
      <c r="A1241" s="1211"/>
      <c r="B1241" s="1231"/>
      <c r="C1241" s="1184"/>
      <c r="D1241" s="1208"/>
      <c r="E1241" s="1185"/>
      <c r="F1241" s="1180"/>
      <c r="G1241" s="1235"/>
    </row>
    <row r="1242" spans="1:7" x14ac:dyDescent="0.25">
      <c r="A1242" s="1206" t="s">
        <v>1321</v>
      </c>
      <c r="B1242" s="1231" t="s">
        <v>340</v>
      </c>
      <c r="C1242" s="1184"/>
      <c r="D1242" s="1208"/>
      <c r="E1242" s="1185"/>
      <c r="F1242" s="1185"/>
      <c r="G1242" s="1226"/>
    </row>
    <row r="1243" spans="1:7" ht="36.75" x14ac:dyDescent="0.25">
      <c r="A1243" s="1206" t="s">
        <v>1320</v>
      </c>
      <c r="B1243" s="1183" t="s">
        <v>575</v>
      </c>
      <c r="C1243" s="1184"/>
      <c r="D1243" s="1208"/>
      <c r="E1243" s="1185"/>
      <c r="F1243" s="1185"/>
      <c r="G1243" s="1226"/>
    </row>
    <row r="1244" spans="1:7" x14ac:dyDescent="0.25">
      <c r="A1244" s="1206"/>
      <c r="B1244" s="1231" t="s">
        <v>214</v>
      </c>
      <c r="C1244" s="1184">
        <v>1</v>
      </c>
      <c r="D1244" s="1208" t="s">
        <v>315</v>
      </c>
      <c r="E1244" s="1185">
        <v>300000</v>
      </c>
      <c r="F1244" s="1185">
        <f>E1244*C1244</f>
        <v>300000</v>
      </c>
      <c r="G1244" s="1226"/>
    </row>
    <row r="1245" spans="1:7" x14ac:dyDescent="0.25">
      <c r="A1245" s="1206"/>
      <c r="B1245" s="1231" t="s">
        <v>391</v>
      </c>
      <c r="C1245" s="1184">
        <v>2</v>
      </c>
      <c r="D1245" s="1208" t="s">
        <v>315</v>
      </c>
      <c r="E1245" s="1185">
        <v>200000</v>
      </c>
      <c r="F1245" s="1185">
        <f>E1245*C1245</f>
        <v>400000</v>
      </c>
      <c r="G1245" s="1226"/>
    </row>
    <row r="1246" spans="1:7" x14ac:dyDescent="0.25">
      <c r="A1246" s="1206"/>
      <c r="B1246" s="1231"/>
      <c r="C1246" s="1184"/>
      <c r="D1246" s="1208"/>
      <c r="E1246" s="1185"/>
      <c r="F1246" s="1185"/>
      <c r="G1246" s="1226"/>
    </row>
    <row r="1247" spans="1:7" ht="36.75" x14ac:dyDescent="0.25">
      <c r="A1247" s="1206" t="s">
        <v>1319</v>
      </c>
      <c r="B1247" s="1183" t="s">
        <v>1105</v>
      </c>
      <c r="C1247" s="1184"/>
      <c r="D1247" s="1208"/>
      <c r="E1247" s="1230"/>
      <c r="F1247" s="1230"/>
      <c r="G1247" s="1231"/>
    </row>
    <row r="1248" spans="1:7" x14ac:dyDescent="0.25">
      <c r="A1248" s="1214"/>
      <c r="B1248" s="1231" t="s">
        <v>1318</v>
      </c>
      <c r="C1248" s="1184">
        <v>2</v>
      </c>
      <c r="D1248" s="1208" t="s">
        <v>461</v>
      </c>
      <c r="E1248" s="1230">
        <v>200000</v>
      </c>
      <c r="F1248" s="1230">
        <f>E1248*C1248</f>
        <v>400000</v>
      </c>
      <c r="G1248" s="1226"/>
    </row>
    <row r="1249" spans="1:7" x14ac:dyDescent="0.25">
      <c r="A1249" s="1210"/>
      <c r="B1249" s="1231"/>
      <c r="C1249" s="1184"/>
      <c r="D1249" s="1208"/>
      <c r="E1249" s="1230"/>
      <c r="F1249" s="1230"/>
      <c r="G1249" s="1226"/>
    </row>
    <row r="1250" spans="1:7" ht="36.75" x14ac:dyDescent="0.25">
      <c r="A1250" s="1206" t="s">
        <v>1317</v>
      </c>
      <c r="B1250" s="1183" t="s">
        <v>1316</v>
      </c>
      <c r="C1250" s="1184"/>
      <c r="D1250" s="1208"/>
      <c r="E1250" s="1230"/>
      <c r="F1250" s="1230"/>
      <c r="G1250" s="1226"/>
    </row>
    <row r="1251" spans="1:7" ht="24.75" x14ac:dyDescent="0.25">
      <c r="A1251" s="1206" t="s">
        <v>1315</v>
      </c>
      <c r="B1251" s="1183" t="s">
        <v>1314</v>
      </c>
      <c r="C1251" s="1184"/>
      <c r="D1251" s="1208"/>
      <c r="E1251" s="1185"/>
      <c r="F1251" s="1185"/>
      <c r="G1251" s="1231"/>
    </row>
    <row r="1252" spans="1:7" x14ac:dyDescent="0.25">
      <c r="A1252" s="1214"/>
      <c r="B1252" s="1231" t="s">
        <v>1209</v>
      </c>
      <c r="C1252" s="1184">
        <v>1</v>
      </c>
      <c r="D1252" s="1208" t="s">
        <v>252</v>
      </c>
      <c r="E1252" s="1185">
        <v>2500000</v>
      </c>
      <c r="F1252" s="1185">
        <f>C1252*E1252</f>
        <v>2500000</v>
      </c>
      <c r="G1252" s="1226"/>
    </row>
    <row r="1253" spans="1:7" x14ac:dyDescent="0.25">
      <c r="A1253" s="1214"/>
      <c r="B1253" s="1231" t="s">
        <v>1210</v>
      </c>
      <c r="C1253" s="1184">
        <v>1</v>
      </c>
      <c r="D1253" s="1208" t="s">
        <v>252</v>
      </c>
      <c r="E1253" s="1185">
        <v>2000000</v>
      </c>
      <c r="F1253" s="1185">
        <f>C1253*E1253</f>
        <v>2000000</v>
      </c>
      <c r="G1253" s="1226"/>
    </row>
    <row r="1254" spans="1:7" x14ac:dyDescent="0.25">
      <c r="A1254" s="1214"/>
      <c r="B1254" s="1231" t="s">
        <v>1211</v>
      </c>
      <c r="C1254" s="1184">
        <v>1</v>
      </c>
      <c r="D1254" s="1208" t="s">
        <v>252</v>
      </c>
      <c r="E1254" s="1185">
        <v>1500000</v>
      </c>
      <c r="F1254" s="1185">
        <f>C1254*E1254</f>
        <v>1500000</v>
      </c>
      <c r="G1254" s="1226"/>
    </row>
    <row r="1255" spans="1:7" x14ac:dyDescent="0.25">
      <c r="A1255" s="1214"/>
      <c r="B1255" s="1231"/>
      <c r="C1255" s="1184"/>
      <c r="D1255" s="1208"/>
      <c r="E1255" s="1185"/>
      <c r="F1255" s="1185"/>
      <c r="G1255" s="1226"/>
    </row>
    <row r="1256" spans="1:7" x14ac:dyDescent="0.25">
      <c r="A1256" s="1231"/>
      <c r="B1256" s="1231"/>
      <c r="C1256" s="1184"/>
      <c r="D1256" s="1208"/>
      <c r="E1256" s="1185"/>
      <c r="F1256" s="1233"/>
      <c r="G1256" s="1234"/>
    </row>
    <row r="1257" spans="1:7" x14ac:dyDescent="0.25">
      <c r="A1257" s="1231"/>
      <c r="B1257" s="1229" t="s">
        <v>27</v>
      </c>
      <c r="C1257" s="1236"/>
      <c r="D1257" s="1237"/>
      <c r="E1257" s="1229"/>
      <c r="F1257" s="1238">
        <f>SUM(F1217:F1254)</f>
        <v>13205000</v>
      </c>
      <c r="G1257" s="1239"/>
    </row>
    <row r="1258" spans="1:7" x14ac:dyDescent="0.25">
      <c r="A1258" s="1840" t="s">
        <v>614</v>
      </c>
      <c r="B1258" s="1840"/>
      <c r="C1258" s="1161" t="s">
        <v>28</v>
      </c>
      <c r="D1258" s="1842" t="s">
        <v>1700</v>
      </c>
      <c r="E1258" s="1842"/>
      <c r="F1258" s="1842"/>
      <c r="G1258" s="1161"/>
    </row>
    <row r="1259" spans="1:7" x14ac:dyDescent="0.25">
      <c r="A1259" s="1840" t="s">
        <v>29</v>
      </c>
      <c r="B1259" s="1840"/>
      <c r="C1259" s="1161"/>
      <c r="D1259" s="1844" t="s">
        <v>1699</v>
      </c>
      <c r="E1259" s="1844"/>
      <c r="F1259" s="1844"/>
      <c r="G1259" s="1161"/>
    </row>
    <row r="1260" spans="1:7" x14ac:dyDescent="0.25">
      <c r="A1260" s="1188"/>
      <c r="B1260" s="1189"/>
      <c r="C1260" s="1161"/>
      <c r="D1260" s="1187"/>
      <c r="E1260" s="1162"/>
      <c r="F1260" s="1162"/>
      <c r="G1260" s="1161"/>
    </row>
    <row r="1261" spans="1:7" x14ac:dyDescent="0.25">
      <c r="A1261" s="1188"/>
      <c r="B1261" s="1189"/>
      <c r="C1261" s="1161"/>
      <c r="D1261" s="1187"/>
      <c r="E1261" s="1162"/>
      <c r="F1261" s="1162"/>
      <c r="G1261" s="1161"/>
    </row>
    <row r="1262" spans="1:7" x14ac:dyDescent="0.25">
      <c r="A1262" s="1840"/>
      <c r="B1262" s="1840"/>
      <c r="C1262" s="1161"/>
      <c r="D1262" s="1187"/>
      <c r="E1262" s="1840"/>
      <c r="F1262" s="1840"/>
      <c r="G1262" s="1161"/>
    </row>
    <row r="1263" spans="1:7" x14ac:dyDescent="0.25">
      <c r="A1263" s="1840" t="s">
        <v>30</v>
      </c>
      <c r="B1263" s="1840"/>
      <c r="C1263" s="1161"/>
      <c r="D1263" s="1840" t="s">
        <v>615</v>
      </c>
      <c r="E1263" s="1840"/>
      <c r="F1263" s="1840"/>
      <c r="G1263" s="1161"/>
    </row>
    <row r="1264" spans="1:7" x14ac:dyDescent="0.25">
      <c r="A1264" s="1800" t="s">
        <v>0</v>
      </c>
      <c r="B1264" s="1800"/>
      <c r="C1264" s="1800"/>
      <c r="D1264" s="1800"/>
      <c r="E1264" s="1800"/>
      <c r="F1264" s="1800"/>
      <c r="G1264" s="162"/>
    </row>
    <row r="1265" spans="1:7" x14ac:dyDescent="0.25">
      <c r="A1265" s="1800" t="s">
        <v>1</v>
      </c>
      <c r="B1265" s="1800"/>
      <c r="C1265" s="1800"/>
      <c r="D1265" s="1800"/>
      <c r="E1265" s="1800"/>
      <c r="F1265" s="1800"/>
      <c r="G1265" s="162"/>
    </row>
    <row r="1266" spans="1:7" x14ac:dyDescent="0.25">
      <c r="A1266" s="1800" t="s">
        <v>1697</v>
      </c>
      <c r="B1266" s="1800"/>
      <c r="C1266" s="1800"/>
      <c r="D1266" s="1800"/>
      <c r="E1266" s="1800"/>
      <c r="F1266" s="1800"/>
      <c r="G1266" s="162"/>
    </row>
    <row r="1267" spans="1:7" x14ac:dyDescent="0.25">
      <c r="A1267" s="138"/>
      <c r="B1267" s="138"/>
      <c r="C1267" s="138"/>
      <c r="D1267" s="138"/>
      <c r="E1267" s="138"/>
      <c r="F1267" s="138"/>
      <c r="G1267" s="162"/>
    </row>
    <row r="1268" spans="1:7" x14ac:dyDescent="0.25">
      <c r="A1268" s="162" t="s">
        <v>928</v>
      </c>
      <c r="B1268" s="162" t="s">
        <v>786</v>
      </c>
      <c r="C1268" s="162"/>
      <c r="D1268" s="162"/>
      <c r="E1268" s="8" t="s">
        <v>6</v>
      </c>
      <c r="F1268" s="8"/>
      <c r="G1268" s="162"/>
    </row>
    <row r="1269" spans="1:7" x14ac:dyDescent="0.25">
      <c r="A1269" s="68" t="s">
        <v>277</v>
      </c>
      <c r="B1269" s="68" t="s">
        <v>785</v>
      </c>
      <c r="C1269" s="68"/>
      <c r="D1269" s="138"/>
      <c r="E1269" s="67" t="s">
        <v>573</v>
      </c>
      <c r="F1269" s="67"/>
      <c r="G1269" s="162"/>
    </row>
    <row r="1270" spans="1:7" x14ac:dyDescent="0.25">
      <c r="A1270" s="202" t="s">
        <v>927</v>
      </c>
      <c r="B1270" s="255" t="s">
        <v>926</v>
      </c>
      <c r="C1270" s="68"/>
      <c r="D1270" s="138"/>
      <c r="E1270" s="240"/>
      <c r="F1270" s="240"/>
      <c r="G1270" s="162"/>
    </row>
    <row r="1271" spans="1:7" x14ac:dyDescent="0.25">
      <c r="A1271" s="162" t="s">
        <v>579</v>
      </c>
      <c r="B1271" s="162" t="s">
        <v>611</v>
      </c>
      <c r="C1271" s="162"/>
      <c r="D1271" s="162"/>
      <c r="E1271" s="162"/>
      <c r="F1271" s="162"/>
      <c r="G1271" s="162"/>
    </row>
    <row r="1272" spans="1:7" x14ac:dyDescent="0.25">
      <c r="A1272" s="1904" t="s">
        <v>561</v>
      </c>
      <c r="B1272" s="1904"/>
      <c r="C1272" s="162"/>
      <c r="D1272" s="138"/>
      <c r="E1272" s="76"/>
      <c r="F1272" s="162"/>
      <c r="G1272" s="162"/>
    </row>
    <row r="1273" spans="1:7" x14ac:dyDescent="0.25">
      <c r="A1273" s="68"/>
      <c r="B1273" s="68"/>
      <c r="C1273" s="162"/>
      <c r="D1273" s="138"/>
      <c r="E1273" s="76"/>
      <c r="F1273" s="162"/>
      <c r="G1273" s="162"/>
    </row>
    <row r="1274" spans="1:7" ht="24" x14ac:dyDescent="0.25">
      <c r="A1274" s="176" t="s">
        <v>31</v>
      </c>
      <c r="B1274" s="176" t="s">
        <v>12</v>
      </c>
      <c r="C1274" s="1955" t="s">
        <v>13</v>
      </c>
      <c r="D1274" s="1956"/>
      <c r="E1274" s="78" t="s">
        <v>14</v>
      </c>
      <c r="F1274" s="176" t="s">
        <v>15</v>
      </c>
      <c r="G1274" s="145" t="s">
        <v>35</v>
      </c>
    </row>
    <row r="1275" spans="1:7" x14ac:dyDescent="0.25">
      <c r="A1275" s="145">
        <v>1</v>
      </c>
      <c r="B1275" s="145">
        <v>2</v>
      </c>
      <c r="C1275" s="1803">
        <v>3</v>
      </c>
      <c r="D1275" s="1803"/>
      <c r="E1275" s="18">
        <v>4</v>
      </c>
      <c r="F1275" s="145">
        <v>5</v>
      </c>
      <c r="G1275" s="147">
        <v>6</v>
      </c>
    </row>
    <row r="1276" spans="1:7" x14ac:dyDescent="0.25">
      <c r="A1276" s="145"/>
      <c r="B1276" s="178"/>
      <c r="C1276" s="142"/>
      <c r="D1276" s="143"/>
      <c r="E1276" s="18"/>
      <c r="F1276" s="145"/>
      <c r="G1276" s="20"/>
    </row>
    <row r="1277" spans="1:7" x14ac:dyDescent="0.25">
      <c r="A1277" s="178" t="s">
        <v>925</v>
      </c>
      <c r="B1277" s="178" t="s">
        <v>855</v>
      </c>
      <c r="C1277" s="142"/>
      <c r="D1277" s="143"/>
      <c r="E1277" s="18"/>
      <c r="F1277" s="145"/>
      <c r="G1277" s="20"/>
    </row>
    <row r="1278" spans="1:7" x14ac:dyDescent="0.25">
      <c r="A1278" s="178" t="s">
        <v>924</v>
      </c>
      <c r="B1278" s="178" t="s">
        <v>854</v>
      </c>
      <c r="C1278" s="142"/>
      <c r="D1278" s="143"/>
      <c r="E1278" s="18"/>
      <c r="F1278" s="145"/>
      <c r="G1278" s="20"/>
    </row>
    <row r="1279" spans="1:7" ht="36.75" x14ac:dyDescent="0.25">
      <c r="A1279" s="178" t="s">
        <v>1745</v>
      </c>
      <c r="B1279" s="179" t="s">
        <v>1718</v>
      </c>
      <c r="C1279" s="142"/>
      <c r="D1279" s="143"/>
      <c r="E1279" s="18"/>
      <c r="F1279" s="145"/>
      <c r="G1279" s="20"/>
    </row>
    <row r="1280" spans="1:7" x14ac:dyDescent="0.25">
      <c r="A1280" s="20"/>
      <c r="B1280" s="182"/>
      <c r="C1280" s="167"/>
      <c r="D1280" s="168"/>
      <c r="E1280" s="30"/>
      <c r="F1280" s="30"/>
      <c r="G1280" s="20"/>
    </row>
    <row r="1281" spans="1:7" ht="24.75" x14ac:dyDescent="0.25">
      <c r="A1281" s="178" t="s">
        <v>923</v>
      </c>
      <c r="B1281" s="4" t="s">
        <v>922</v>
      </c>
      <c r="C1281" s="6"/>
      <c r="D1281" s="25"/>
      <c r="E1281" s="12"/>
      <c r="F1281" s="30"/>
      <c r="G1281" s="20"/>
    </row>
    <row r="1282" spans="1:7" x14ac:dyDescent="0.25">
      <c r="A1282" s="180"/>
      <c r="B1282" s="16" t="s">
        <v>1746</v>
      </c>
      <c r="C1282" s="6">
        <f>20*3</f>
        <v>60</v>
      </c>
      <c r="D1282" s="25" t="s">
        <v>921</v>
      </c>
      <c r="E1282" s="12">
        <v>15000</v>
      </c>
      <c r="F1282" s="30">
        <f>E1282*C1282</f>
        <v>900000</v>
      </c>
      <c r="G1282" s="20"/>
    </row>
    <row r="1283" spans="1:7" x14ac:dyDescent="0.25">
      <c r="A1283" s="180"/>
      <c r="B1283" s="16"/>
      <c r="C1283" s="6"/>
      <c r="D1283" s="25"/>
      <c r="E1283" s="12"/>
      <c r="F1283" s="30"/>
      <c r="G1283" s="20"/>
    </row>
    <row r="1284" spans="1:7" x14ac:dyDescent="0.25">
      <c r="A1284" s="178" t="s">
        <v>920</v>
      </c>
      <c r="B1284" s="16" t="s">
        <v>458</v>
      </c>
      <c r="C1284" s="6"/>
      <c r="D1284" s="25"/>
      <c r="E1284" s="22"/>
      <c r="F1284" s="30"/>
      <c r="G1284" s="20"/>
    </row>
    <row r="1285" spans="1:7" x14ac:dyDescent="0.25">
      <c r="A1285" s="207"/>
      <c r="B1285" s="16" t="s">
        <v>1747</v>
      </c>
      <c r="C1285" s="6">
        <v>400</v>
      </c>
      <c r="D1285" s="25" t="s">
        <v>917</v>
      </c>
      <c r="E1285" s="22">
        <v>10000</v>
      </c>
      <c r="F1285" s="30">
        <f t="shared" ref="F1285:F1290" si="24">E1285*C1285</f>
        <v>4000000</v>
      </c>
      <c r="G1285" s="20"/>
    </row>
    <row r="1286" spans="1:7" x14ac:dyDescent="0.25">
      <c r="A1286" s="180"/>
      <c r="B1286" s="16" t="s">
        <v>919</v>
      </c>
      <c r="C1286" s="6">
        <v>800</v>
      </c>
      <c r="D1286" s="25" t="s">
        <v>917</v>
      </c>
      <c r="E1286" s="12">
        <v>18300</v>
      </c>
      <c r="F1286" s="30">
        <f t="shared" si="24"/>
        <v>14640000</v>
      </c>
      <c r="G1286" s="20"/>
    </row>
    <row r="1287" spans="1:7" x14ac:dyDescent="0.25">
      <c r="A1287" s="180"/>
      <c r="B1287" s="16" t="s">
        <v>918</v>
      </c>
      <c r="C1287" s="6">
        <v>25</v>
      </c>
      <c r="D1287" s="25" t="s">
        <v>917</v>
      </c>
      <c r="E1287" s="12">
        <v>500000</v>
      </c>
      <c r="F1287" s="30">
        <f t="shared" si="24"/>
        <v>12500000</v>
      </c>
      <c r="G1287" s="20"/>
    </row>
    <row r="1288" spans="1:7" x14ac:dyDescent="0.25">
      <c r="A1288" s="180"/>
      <c r="B1288" s="16" t="s">
        <v>359</v>
      </c>
      <c r="C1288" s="6">
        <v>3</v>
      </c>
      <c r="D1288" s="25" t="s">
        <v>526</v>
      </c>
      <c r="E1288" s="12">
        <v>150000</v>
      </c>
      <c r="F1288" s="30">
        <f t="shared" si="24"/>
        <v>450000</v>
      </c>
      <c r="G1288" s="20"/>
    </row>
    <row r="1289" spans="1:7" x14ac:dyDescent="0.25">
      <c r="A1289" s="180"/>
      <c r="B1289" s="16" t="s">
        <v>916</v>
      </c>
      <c r="C1289" s="6">
        <v>20</v>
      </c>
      <c r="D1289" s="25" t="s">
        <v>123</v>
      </c>
      <c r="E1289" s="12">
        <v>32000</v>
      </c>
      <c r="F1289" s="30">
        <f t="shared" si="24"/>
        <v>640000</v>
      </c>
      <c r="G1289" s="20"/>
    </row>
    <row r="1290" spans="1:7" x14ac:dyDescent="0.25">
      <c r="A1290" s="180"/>
      <c r="B1290" s="16" t="s">
        <v>915</v>
      </c>
      <c r="C1290" s="6">
        <v>10</v>
      </c>
      <c r="D1290" s="25" t="s">
        <v>123</v>
      </c>
      <c r="E1290" s="12">
        <v>8000</v>
      </c>
      <c r="F1290" s="30">
        <f t="shared" si="24"/>
        <v>80000</v>
      </c>
      <c r="G1290" s="20"/>
    </row>
    <row r="1291" spans="1:7" x14ac:dyDescent="0.25">
      <c r="A1291" s="20" t="s">
        <v>914</v>
      </c>
      <c r="B1291" s="4" t="s">
        <v>340</v>
      </c>
      <c r="C1291" s="6"/>
      <c r="D1291" s="183"/>
      <c r="E1291" s="103"/>
      <c r="F1291" s="30"/>
      <c r="G1291" s="20"/>
    </row>
    <row r="1292" spans="1:7" ht="36.75" x14ac:dyDescent="0.25">
      <c r="A1292" s="20" t="s">
        <v>913</v>
      </c>
      <c r="B1292" s="4" t="s">
        <v>912</v>
      </c>
      <c r="C1292" s="6"/>
      <c r="D1292" s="183"/>
      <c r="E1292" s="103"/>
      <c r="F1292" s="30"/>
      <c r="G1292" s="20"/>
    </row>
    <row r="1293" spans="1:7" x14ac:dyDescent="0.25">
      <c r="A1293" s="20"/>
      <c r="B1293" s="4" t="s">
        <v>471</v>
      </c>
      <c r="C1293" s="6">
        <v>1</v>
      </c>
      <c r="D1293" s="183"/>
      <c r="E1293" s="103">
        <v>300000</v>
      </c>
      <c r="F1293" s="30">
        <f>E1293*C1293</f>
        <v>300000</v>
      </c>
      <c r="G1293" s="20"/>
    </row>
    <row r="1294" spans="1:7" x14ac:dyDescent="0.25">
      <c r="A1294" s="20"/>
      <c r="B1294" s="4" t="s">
        <v>596</v>
      </c>
      <c r="C1294" s="6">
        <v>1</v>
      </c>
      <c r="D1294" s="183"/>
      <c r="E1294" s="103">
        <v>250000</v>
      </c>
      <c r="F1294" s="30">
        <f>E1294*C1294</f>
        <v>250000</v>
      </c>
      <c r="G1294" s="20"/>
    </row>
    <row r="1295" spans="1:7" x14ac:dyDescent="0.25">
      <c r="A1295" s="20"/>
      <c r="B1295" s="16" t="s">
        <v>576</v>
      </c>
      <c r="C1295" s="6">
        <v>3</v>
      </c>
      <c r="D1295" s="183"/>
      <c r="E1295" s="103">
        <v>200000</v>
      </c>
      <c r="F1295" s="30">
        <f>E1295*C1295</f>
        <v>600000</v>
      </c>
      <c r="G1295" s="20"/>
    </row>
    <row r="1296" spans="1:7" x14ac:dyDescent="0.25">
      <c r="A1296" s="20"/>
      <c r="B1296" s="208"/>
      <c r="C1296" s="6"/>
      <c r="D1296" s="183"/>
      <c r="E1296" s="12"/>
      <c r="F1296" s="30"/>
      <c r="G1296" s="20"/>
    </row>
    <row r="1297" spans="1:21" x14ac:dyDescent="0.25">
      <c r="A1297" s="20" t="s">
        <v>911</v>
      </c>
      <c r="B1297" s="208" t="s">
        <v>393</v>
      </c>
      <c r="C1297" s="259"/>
      <c r="D1297" s="260"/>
      <c r="E1297" s="241"/>
      <c r="F1297" s="241"/>
      <c r="G1297" s="20"/>
    </row>
    <row r="1298" spans="1:21" x14ac:dyDescent="0.25">
      <c r="A1298" s="20"/>
      <c r="B1298" s="208" t="s">
        <v>2961</v>
      </c>
      <c r="C1298" s="6">
        <v>30</v>
      </c>
      <c r="D1298" s="183" t="s">
        <v>315</v>
      </c>
      <c r="E1298" s="12">
        <v>100000</v>
      </c>
      <c r="F1298" s="30">
        <f>E1298*C1298</f>
        <v>3000000</v>
      </c>
      <c r="G1298" s="20"/>
      <c r="H1298" s="175"/>
    </row>
    <row r="1299" spans="1:21" x14ac:dyDescent="0.25">
      <c r="A1299" s="20"/>
      <c r="B1299" s="208"/>
      <c r="C1299" s="6"/>
      <c r="D1299" s="183"/>
      <c r="E1299" s="12"/>
      <c r="F1299" s="30"/>
      <c r="G1299" s="20"/>
    </row>
    <row r="1300" spans="1:21" x14ac:dyDescent="0.25">
      <c r="A1300" s="20" t="s">
        <v>910</v>
      </c>
      <c r="B1300" s="208" t="s">
        <v>909</v>
      </c>
      <c r="C1300" s="6"/>
      <c r="D1300" s="183"/>
      <c r="E1300" s="103"/>
      <c r="F1300" s="30"/>
      <c r="G1300" s="20"/>
    </row>
    <row r="1301" spans="1:21" x14ac:dyDescent="0.25">
      <c r="A1301" s="20" t="s">
        <v>908</v>
      </c>
      <c r="B1301" s="261" t="s">
        <v>907</v>
      </c>
      <c r="C1301" s="6">
        <v>10</v>
      </c>
      <c r="D1301" s="183" t="s">
        <v>129</v>
      </c>
      <c r="E1301" s="12">
        <v>500000</v>
      </c>
      <c r="F1301" s="187">
        <f>E1301*C1301</f>
        <v>5000000</v>
      </c>
      <c r="G1301" s="20"/>
    </row>
    <row r="1302" spans="1:21" x14ac:dyDescent="0.25">
      <c r="A1302" s="20"/>
      <c r="B1302" s="16"/>
      <c r="C1302" s="6"/>
      <c r="D1302" s="25"/>
      <c r="E1302" s="12"/>
      <c r="F1302" s="189"/>
      <c r="G1302" s="20"/>
    </row>
    <row r="1303" spans="1:21" x14ac:dyDescent="0.25">
      <c r="A1303" s="184"/>
      <c r="B1303" s="1850" t="s">
        <v>27</v>
      </c>
      <c r="C1303" s="1908"/>
      <c r="D1303" s="1908"/>
      <c r="E1303" s="1908"/>
      <c r="F1303" s="187">
        <f>SUM(F1276:F1302)</f>
        <v>42360000</v>
      </c>
      <c r="G1303" s="20" t="s">
        <v>1682</v>
      </c>
      <c r="K1303" s="175">
        <f>F1303</f>
        <v>42360000</v>
      </c>
      <c r="U1303" s="175"/>
    </row>
    <row r="1304" spans="1:21" x14ac:dyDescent="0.25">
      <c r="A1304" s="1807" t="s">
        <v>614</v>
      </c>
      <c r="B1304" s="1807"/>
      <c r="C1304" s="5" t="s">
        <v>28</v>
      </c>
      <c r="D1304" s="1808" t="s">
        <v>1700</v>
      </c>
      <c r="E1304" s="1808"/>
      <c r="F1304" s="1808"/>
      <c r="G1304" s="5"/>
    </row>
    <row r="1305" spans="1:21" x14ac:dyDescent="0.25">
      <c r="A1305" s="1807" t="s">
        <v>29</v>
      </c>
      <c r="B1305" s="1807"/>
      <c r="C1305" s="5"/>
      <c r="D1305" s="1809" t="s">
        <v>2996</v>
      </c>
      <c r="E1305" s="1809"/>
      <c r="F1305" s="1809"/>
      <c r="G1305" s="5"/>
    </row>
    <row r="1306" spans="1:21" x14ac:dyDescent="0.25">
      <c r="A1306" s="1"/>
      <c r="B1306" s="3"/>
      <c r="C1306" s="5"/>
      <c r="D1306" s="7"/>
      <c r="E1306" s="17"/>
      <c r="F1306" s="17"/>
      <c r="G1306" s="5"/>
    </row>
    <row r="1307" spans="1:21" x14ac:dyDescent="0.25">
      <c r="A1307" s="1"/>
      <c r="B1307" s="3"/>
      <c r="C1307" s="5"/>
      <c r="D1307" s="7"/>
      <c r="E1307" s="17"/>
      <c r="F1307" s="17"/>
      <c r="G1307" s="5"/>
    </row>
    <row r="1308" spans="1:21" x14ac:dyDescent="0.25">
      <c r="A1308" s="1807"/>
      <c r="B1308" s="1807"/>
      <c r="C1308" s="5"/>
      <c r="D1308" s="7"/>
      <c r="E1308" s="1807"/>
      <c r="F1308" s="1807"/>
      <c r="G1308" s="5"/>
    </row>
    <row r="1309" spans="1:21" x14ac:dyDescent="0.25">
      <c r="A1309" s="1807" t="s">
        <v>30</v>
      </c>
      <c r="B1309" s="1807"/>
      <c r="C1309" s="5"/>
      <c r="D1309" s="1807" t="s">
        <v>2993</v>
      </c>
      <c r="E1309" s="1807"/>
      <c r="F1309" s="1807"/>
      <c r="G1309" s="5"/>
    </row>
    <row r="1310" spans="1:21" x14ac:dyDescent="0.25">
      <c r="A1310" s="1965" t="s">
        <v>0</v>
      </c>
      <c r="B1310" s="1965"/>
      <c r="C1310" s="1965"/>
      <c r="D1310" s="1965"/>
      <c r="E1310" s="1965"/>
      <c r="F1310" s="1965"/>
      <c r="G1310" s="1965"/>
    </row>
    <row r="1311" spans="1:21" x14ac:dyDescent="0.25">
      <c r="A1311" s="1965" t="s">
        <v>1</v>
      </c>
      <c r="B1311" s="1965"/>
      <c r="C1311" s="1965"/>
      <c r="D1311" s="1965"/>
      <c r="E1311" s="1965"/>
      <c r="F1311" s="1965"/>
      <c r="G1311" s="1965"/>
    </row>
    <row r="1312" spans="1:21" x14ac:dyDescent="0.25">
      <c r="A1312" s="1965" t="s">
        <v>1697</v>
      </c>
      <c r="B1312" s="1965"/>
      <c r="C1312" s="1965"/>
      <c r="D1312" s="1965"/>
      <c r="E1312" s="1965"/>
      <c r="F1312" s="1965"/>
      <c r="G1312" s="1965"/>
    </row>
    <row r="1313" spans="1:7" x14ac:dyDescent="0.25">
      <c r="A1313" s="39"/>
      <c r="B1313" s="39"/>
      <c r="C1313" s="39"/>
      <c r="D1313" s="39"/>
      <c r="E1313" s="39"/>
      <c r="F1313" s="39"/>
      <c r="G1313" s="39"/>
    </row>
    <row r="1314" spans="1:7" x14ac:dyDescent="0.25">
      <c r="A1314" s="579" t="s">
        <v>296</v>
      </c>
      <c r="B1314" s="579" t="s">
        <v>960</v>
      </c>
      <c r="C1314" s="579"/>
      <c r="D1314" s="579"/>
      <c r="E1314" s="8" t="s">
        <v>6</v>
      </c>
      <c r="F1314" s="8"/>
    </row>
    <row r="1315" spans="1:7" x14ac:dyDescent="0.25">
      <c r="A1315" s="579" t="s">
        <v>297</v>
      </c>
      <c r="B1315" s="579" t="s">
        <v>785</v>
      </c>
      <c r="C1315" s="579"/>
      <c r="D1315" s="579"/>
      <c r="E1315" s="67" t="s">
        <v>573</v>
      </c>
      <c r="F1315" s="67"/>
    </row>
    <row r="1316" spans="1:7" ht="25.5" customHeight="1" x14ac:dyDescent="0.25">
      <c r="A1316" s="580" t="s">
        <v>298</v>
      </c>
      <c r="B1316" s="580" t="s">
        <v>959</v>
      </c>
      <c r="C1316" s="580"/>
      <c r="D1316" s="581"/>
      <c r="E1316" s="581"/>
      <c r="F1316" s="264"/>
    </row>
    <row r="1317" spans="1:7" x14ac:dyDescent="0.25">
      <c r="A1317" s="579" t="s">
        <v>38</v>
      </c>
      <c r="B1317" s="579" t="s">
        <v>63</v>
      </c>
      <c r="C1317" s="579"/>
      <c r="D1317" s="579"/>
      <c r="E1317" s="579"/>
      <c r="F1317" s="579"/>
    </row>
    <row r="1318" spans="1:7" x14ac:dyDescent="0.25">
      <c r="A1318" s="579" t="s">
        <v>64</v>
      </c>
      <c r="B1318" s="579" t="s">
        <v>65</v>
      </c>
      <c r="C1318" s="579"/>
      <c r="D1318" s="582"/>
      <c r="E1318" s="583"/>
      <c r="F1318" s="579"/>
    </row>
    <row r="1319" spans="1:7" x14ac:dyDescent="0.25">
      <c r="A1319" s="3"/>
      <c r="B1319" s="3"/>
      <c r="C1319" s="3"/>
      <c r="D1319" s="3"/>
      <c r="E1319" s="3"/>
      <c r="F1319" s="3"/>
    </row>
    <row r="1320" spans="1:7" ht="24" x14ac:dyDescent="0.25">
      <c r="A1320" s="144" t="s">
        <v>300</v>
      </c>
      <c r="B1320" s="144" t="s">
        <v>12</v>
      </c>
      <c r="C1320" s="1804" t="s">
        <v>13</v>
      </c>
      <c r="D1320" s="1804"/>
      <c r="E1320" s="11" t="s">
        <v>14</v>
      </c>
      <c r="F1320" s="165" t="s">
        <v>15</v>
      </c>
      <c r="G1320" s="267" t="s">
        <v>301</v>
      </c>
    </row>
    <row r="1321" spans="1:7" x14ac:dyDescent="0.25">
      <c r="A1321" s="144">
        <v>1</v>
      </c>
      <c r="B1321" s="144">
        <v>2</v>
      </c>
      <c r="C1321" s="1811">
        <v>3</v>
      </c>
      <c r="D1321" s="1812"/>
      <c r="E1321" s="33">
        <v>4</v>
      </c>
      <c r="F1321" s="165">
        <v>5</v>
      </c>
      <c r="G1321" s="268">
        <v>6</v>
      </c>
    </row>
    <row r="1322" spans="1:7" x14ac:dyDescent="0.25">
      <c r="A1322" s="48"/>
      <c r="B1322" s="584" t="s">
        <v>958</v>
      </c>
      <c r="C1322" s="585"/>
      <c r="D1322" s="43"/>
      <c r="E1322" s="95"/>
      <c r="F1322" s="64"/>
      <c r="G1322" s="32"/>
    </row>
    <row r="1323" spans="1:7" x14ac:dyDescent="0.25">
      <c r="A1323" s="48"/>
      <c r="B1323" s="64"/>
      <c r="C1323" s="585"/>
      <c r="D1323" s="43"/>
      <c r="E1323" s="95"/>
      <c r="F1323" s="64"/>
      <c r="G1323" s="32"/>
    </row>
    <row r="1324" spans="1:7" x14ac:dyDescent="0.25">
      <c r="A1324" s="48" t="s">
        <v>953</v>
      </c>
      <c r="B1324" s="48" t="s">
        <v>855</v>
      </c>
      <c r="C1324" s="585"/>
      <c r="D1324" s="43"/>
      <c r="E1324" s="95"/>
      <c r="F1324" s="64"/>
      <c r="G1324" s="32"/>
    </row>
    <row r="1325" spans="1:7" x14ac:dyDescent="0.25">
      <c r="A1325" s="48" t="s">
        <v>952</v>
      </c>
      <c r="B1325" s="48" t="s">
        <v>854</v>
      </c>
      <c r="C1325" s="585"/>
      <c r="D1325" s="43"/>
      <c r="E1325" s="95"/>
      <c r="F1325" s="64"/>
      <c r="G1325" s="32"/>
    </row>
    <row r="1326" spans="1:7" ht="36.75" x14ac:dyDescent="0.25">
      <c r="A1326" s="48" t="s">
        <v>1748</v>
      </c>
      <c r="B1326" s="62" t="s">
        <v>1718</v>
      </c>
      <c r="C1326" s="585"/>
      <c r="D1326" s="43"/>
      <c r="E1326" s="95"/>
      <c r="F1326" s="64"/>
      <c r="G1326" s="32"/>
    </row>
    <row r="1327" spans="1:7" x14ac:dyDescent="0.25">
      <c r="A1327" s="64"/>
      <c r="B1327" s="48" t="s">
        <v>308</v>
      </c>
      <c r="C1327" s="585">
        <v>1</v>
      </c>
      <c r="D1327" s="586" t="s">
        <v>91</v>
      </c>
      <c r="E1327" s="587">
        <v>68000</v>
      </c>
      <c r="F1327" s="50">
        <f>E1327*C1327</f>
        <v>68000</v>
      </c>
      <c r="G1327" s="32"/>
    </row>
    <row r="1328" spans="1:7" x14ac:dyDescent="0.25">
      <c r="A1328" s="65"/>
      <c r="B1328" s="48" t="s">
        <v>306</v>
      </c>
      <c r="C1328" s="585">
        <v>10</v>
      </c>
      <c r="D1328" s="586" t="s">
        <v>102</v>
      </c>
      <c r="E1328" s="587">
        <v>4500</v>
      </c>
      <c r="F1328" s="50">
        <f>E1328*C1328</f>
        <v>45000</v>
      </c>
      <c r="G1328" s="32"/>
    </row>
    <row r="1329" spans="1:7" x14ac:dyDescent="0.25">
      <c r="A1329" s="65"/>
      <c r="B1329" s="48" t="s">
        <v>1530</v>
      </c>
      <c r="C1329" s="585">
        <v>300</v>
      </c>
      <c r="D1329" s="586" t="s">
        <v>312</v>
      </c>
      <c r="E1329" s="587">
        <v>250</v>
      </c>
      <c r="F1329" s="50">
        <f>E1329*C1329</f>
        <v>75000</v>
      </c>
      <c r="G1329" s="32"/>
    </row>
    <row r="1330" spans="1:7" x14ac:dyDescent="0.25">
      <c r="A1330" s="65"/>
      <c r="B1330" s="40"/>
      <c r="C1330" s="588"/>
      <c r="D1330" s="89"/>
      <c r="E1330" s="570"/>
      <c r="F1330" s="50"/>
      <c r="G1330" s="32"/>
    </row>
    <row r="1331" spans="1:7" ht="24.75" x14ac:dyDescent="0.25">
      <c r="A1331" s="65" t="s">
        <v>951</v>
      </c>
      <c r="B1331" s="60" t="s">
        <v>354</v>
      </c>
      <c r="C1331" s="588"/>
      <c r="D1331" s="89"/>
      <c r="E1331" s="59"/>
      <c r="F1331" s="50"/>
      <c r="G1331" s="32"/>
    </row>
    <row r="1332" spans="1:7" x14ac:dyDescent="0.25">
      <c r="A1332" s="65"/>
      <c r="B1332" s="269" t="s">
        <v>957</v>
      </c>
      <c r="C1332" s="589">
        <v>45</v>
      </c>
      <c r="D1332" s="590" t="s">
        <v>315</v>
      </c>
      <c r="E1332" s="59">
        <v>15000</v>
      </c>
      <c r="F1332" s="50">
        <f>E1332*C1332</f>
        <v>675000</v>
      </c>
      <c r="G1332" s="32"/>
    </row>
    <row r="1333" spans="1:7" ht="30.75" customHeight="1" x14ac:dyDescent="0.25">
      <c r="A1333" s="65"/>
      <c r="B1333" s="4" t="s">
        <v>956</v>
      </c>
      <c r="C1333" s="591">
        <v>1300</v>
      </c>
      <c r="D1333" s="522" t="s">
        <v>315</v>
      </c>
      <c r="E1333" s="399">
        <v>15000</v>
      </c>
      <c r="F1333" s="592">
        <f>E1333*C1333</f>
        <v>19500000</v>
      </c>
      <c r="G1333" s="32"/>
    </row>
    <row r="1334" spans="1:7" x14ac:dyDescent="0.25">
      <c r="A1334" s="65"/>
      <c r="B1334" s="40"/>
      <c r="C1334" s="588"/>
      <c r="D1334" s="89"/>
      <c r="E1334" s="59"/>
      <c r="F1334" s="50"/>
      <c r="G1334" s="32"/>
    </row>
    <row r="1335" spans="1:7" ht="33" customHeight="1" x14ac:dyDescent="0.25">
      <c r="A1335" s="65" t="s">
        <v>948</v>
      </c>
      <c r="B1335" s="60" t="s">
        <v>376</v>
      </c>
      <c r="C1335" s="588"/>
      <c r="D1335" s="89"/>
      <c r="E1335" s="59"/>
      <c r="F1335" s="50"/>
      <c r="G1335" s="32"/>
    </row>
    <row r="1336" spans="1:7" x14ac:dyDescent="0.25">
      <c r="A1336" s="65"/>
      <c r="B1336" s="40" t="s">
        <v>377</v>
      </c>
      <c r="C1336" s="588">
        <v>13</v>
      </c>
      <c r="D1336" s="89" t="s">
        <v>102</v>
      </c>
      <c r="E1336" s="59">
        <v>90000</v>
      </c>
      <c r="F1336" s="50">
        <f>E1336*C1336</f>
        <v>1170000</v>
      </c>
      <c r="G1336" s="32"/>
    </row>
    <row r="1337" spans="1:7" x14ac:dyDescent="0.25">
      <c r="A1337" s="65"/>
      <c r="B1337" s="40" t="s">
        <v>955</v>
      </c>
      <c r="C1337" s="588">
        <v>1</v>
      </c>
      <c r="D1337" s="89" t="s">
        <v>152</v>
      </c>
      <c r="E1337" s="59">
        <v>3000000</v>
      </c>
      <c r="F1337" s="50">
        <f>E1337*C1337</f>
        <v>3000000</v>
      </c>
      <c r="G1337" s="32"/>
    </row>
    <row r="1338" spans="1:7" x14ac:dyDescent="0.25">
      <c r="A1338" s="65"/>
      <c r="B1338" s="40"/>
      <c r="C1338" s="588"/>
      <c r="D1338" s="89"/>
      <c r="E1338" s="59"/>
      <c r="F1338" s="50"/>
      <c r="G1338" s="32"/>
    </row>
    <row r="1339" spans="1:7" x14ac:dyDescent="0.25">
      <c r="A1339" s="48"/>
      <c r="B1339" s="584" t="s">
        <v>954</v>
      </c>
      <c r="C1339" s="588"/>
      <c r="D1339" s="89"/>
      <c r="E1339" s="59"/>
      <c r="F1339" s="50"/>
      <c r="G1339" s="32"/>
    </row>
    <row r="1340" spans="1:7" x14ac:dyDescent="0.25">
      <c r="A1340" s="48"/>
      <c r="B1340" s="48"/>
      <c r="C1340" s="588"/>
      <c r="D1340" s="89"/>
      <c r="E1340" s="59"/>
      <c r="F1340" s="50"/>
      <c r="G1340" s="32"/>
    </row>
    <row r="1341" spans="1:7" x14ac:dyDescent="0.25">
      <c r="A1341" s="48" t="s">
        <v>953</v>
      </c>
      <c r="B1341" s="48" t="s">
        <v>855</v>
      </c>
      <c r="C1341" s="588"/>
      <c r="D1341" s="89"/>
      <c r="E1341" s="59"/>
      <c r="F1341" s="50"/>
      <c r="G1341" s="32"/>
    </row>
    <row r="1342" spans="1:7" x14ac:dyDescent="0.25">
      <c r="A1342" s="48" t="s">
        <v>952</v>
      </c>
      <c r="B1342" s="48" t="s">
        <v>854</v>
      </c>
      <c r="C1342" s="588"/>
      <c r="D1342" s="89"/>
      <c r="E1342" s="59"/>
      <c r="F1342" s="50"/>
      <c r="G1342" s="32"/>
    </row>
    <row r="1343" spans="1:7" ht="30" customHeight="1" x14ac:dyDescent="0.25">
      <c r="A1343" s="65" t="s">
        <v>951</v>
      </c>
      <c r="B1343" s="60" t="s">
        <v>354</v>
      </c>
      <c r="C1343" s="588"/>
      <c r="D1343" s="89"/>
      <c r="E1343" s="59"/>
      <c r="F1343" s="50"/>
      <c r="G1343" s="32"/>
    </row>
    <row r="1344" spans="1:7" x14ac:dyDescent="0.25">
      <c r="A1344" s="65"/>
      <c r="B1344" s="40" t="s">
        <v>950</v>
      </c>
      <c r="C1344" s="588">
        <f>13*4</f>
        <v>52</v>
      </c>
      <c r="D1344" s="89" t="s">
        <v>315</v>
      </c>
      <c r="E1344" s="59">
        <v>15000</v>
      </c>
      <c r="F1344" s="50">
        <f>E1344*C1344</f>
        <v>780000</v>
      </c>
      <c r="G1344" s="32"/>
    </row>
    <row r="1345" spans="1:7" ht="34.5" customHeight="1" x14ac:dyDescent="0.25">
      <c r="A1345" s="65"/>
      <c r="B1345" s="261" t="s">
        <v>949</v>
      </c>
      <c r="C1345" s="239">
        <f>12*4</f>
        <v>48</v>
      </c>
      <c r="D1345" s="183" t="s">
        <v>315</v>
      </c>
      <c r="E1345" s="12">
        <v>15000</v>
      </c>
      <c r="F1345" s="187">
        <f>E1345*C1345</f>
        <v>720000</v>
      </c>
      <c r="G1345" s="32"/>
    </row>
    <row r="1346" spans="1:7" x14ac:dyDescent="0.25">
      <c r="A1346" s="65"/>
      <c r="B1346" s="593"/>
      <c r="C1346" s="588"/>
      <c r="D1346" s="89"/>
      <c r="E1346" s="59"/>
      <c r="F1346" s="50"/>
      <c r="G1346" s="32"/>
    </row>
    <row r="1347" spans="1:7" ht="30" customHeight="1" x14ac:dyDescent="0.25">
      <c r="A1347" s="65" t="s">
        <v>948</v>
      </c>
      <c r="B1347" s="60" t="s">
        <v>376</v>
      </c>
      <c r="C1347" s="588"/>
      <c r="D1347" s="89"/>
      <c r="E1347" s="59"/>
      <c r="F1347" s="50"/>
      <c r="G1347" s="32"/>
    </row>
    <row r="1348" spans="1:7" x14ac:dyDescent="0.25">
      <c r="A1348" s="20"/>
      <c r="B1348" s="40" t="s">
        <v>377</v>
      </c>
      <c r="C1348" s="588">
        <v>13</v>
      </c>
      <c r="D1348" s="89" t="s">
        <v>102</v>
      </c>
      <c r="E1348" s="59">
        <v>90000</v>
      </c>
      <c r="F1348" s="50">
        <f>E1348*C1348</f>
        <v>1170000</v>
      </c>
      <c r="G1348" s="32"/>
    </row>
    <row r="1349" spans="1:7" x14ac:dyDescent="0.25">
      <c r="A1349" s="20"/>
      <c r="B1349" s="593"/>
      <c r="C1349" s="588"/>
      <c r="D1349" s="89"/>
      <c r="E1349" s="59"/>
      <c r="F1349" s="50"/>
      <c r="G1349" s="32"/>
    </row>
    <row r="1350" spans="1:7" ht="30.75" customHeight="1" x14ac:dyDescent="0.25">
      <c r="A1350" s="20" t="s">
        <v>947</v>
      </c>
      <c r="B1350" s="4" t="s">
        <v>946</v>
      </c>
      <c r="C1350" s="239"/>
      <c r="D1350" s="183"/>
      <c r="E1350" s="12"/>
      <c r="F1350" s="189"/>
      <c r="G1350" s="32"/>
    </row>
    <row r="1351" spans="1:7" x14ac:dyDescent="0.25">
      <c r="A1351" s="20"/>
      <c r="B1351" s="16" t="s">
        <v>945</v>
      </c>
      <c r="C1351" s="239">
        <v>4</v>
      </c>
      <c r="D1351" s="183" t="s">
        <v>102</v>
      </c>
      <c r="E1351" s="12">
        <v>160000</v>
      </c>
      <c r="F1351" s="189">
        <f>E1351*C1351</f>
        <v>640000</v>
      </c>
      <c r="G1351" s="32"/>
    </row>
    <row r="1352" spans="1:7" x14ac:dyDescent="0.25">
      <c r="A1352" s="20"/>
      <c r="B1352" s="16" t="s">
        <v>944</v>
      </c>
      <c r="C1352" s="239">
        <v>4</v>
      </c>
      <c r="D1352" s="183" t="s">
        <v>102</v>
      </c>
      <c r="E1352" s="12">
        <v>160000</v>
      </c>
      <c r="F1352" s="189">
        <f>E1352*C1352</f>
        <v>640000</v>
      </c>
      <c r="G1352" s="32"/>
    </row>
    <row r="1353" spans="1:7" x14ac:dyDescent="0.25">
      <c r="A1353" s="20"/>
      <c r="B1353" s="16" t="s">
        <v>943</v>
      </c>
      <c r="C1353" s="239">
        <v>4</v>
      </c>
      <c r="D1353" s="183" t="s">
        <v>102</v>
      </c>
      <c r="E1353" s="12">
        <v>80000</v>
      </c>
      <c r="F1353" s="189">
        <f>E1353*C1353</f>
        <v>320000</v>
      </c>
      <c r="G1353" s="32"/>
    </row>
    <row r="1354" spans="1:7" x14ac:dyDescent="0.25">
      <c r="A1354" s="65"/>
      <c r="B1354" s="16" t="s">
        <v>942</v>
      </c>
      <c r="C1354" s="239">
        <v>4</v>
      </c>
      <c r="D1354" s="183" t="s">
        <v>102</v>
      </c>
      <c r="E1354" s="12">
        <v>300000</v>
      </c>
      <c r="F1354" s="189">
        <f>E1354*C1354</f>
        <v>1200000</v>
      </c>
      <c r="G1354" s="32"/>
    </row>
    <row r="1355" spans="1:7" x14ac:dyDescent="0.25">
      <c r="A1355" s="65"/>
      <c r="B1355" s="16" t="s">
        <v>941</v>
      </c>
      <c r="C1355" s="239">
        <v>4</v>
      </c>
      <c r="D1355" s="183" t="s">
        <v>102</v>
      </c>
      <c r="E1355" s="12">
        <v>180000</v>
      </c>
      <c r="F1355" s="189">
        <f>E1355*C1355</f>
        <v>720000</v>
      </c>
      <c r="G1355" s="32"/>
    </row>
    <row r="1356" spans="1:7" x14ac:dyDescent="0.25">
      <c r="A1356" s="40"/>
      <c r="B1356" s="593"/>
      <c r="C1356" s="588"/>
      <c r="D1356" s="89"/>
      <c r="E1356" s="59"/>
      <c r="F1356" s="50"/>
      <c r="G1356" s="32"/>
    </row>
    <row r="1357" spans="1:7" x14ac:dyDescent="0.25">
      <c r="A1357" s="65" t="s">
        <v>940</v>
      </c>
      <c r="B1357" s="593" t="s">
        <v>939</v>
      </c>
      <c r="C1357" s="588"/>
      <c r="D1357" s="89"/>
      <c r="E1357" s="49"/>
      <c r="F1357" s="50"/>
      <c r="G1357" s="32"/>
    </row>
    <row r="1358" spans="1:7" ht="32.25" customHeight="1" x14ac:dyDescent="0.25">
      <c r="A1358" s="40" t="s">
        <v>938</v>
      </c>
      <c r="B1358" s="60" t="s">
        <v>888</v>
      </c>
      <c r="C1358" s="41"/>
      <c r="D1358" s="89"/>
      <c r="E1358" s="59"/>
      <c r="F1358" s="463"/>
      <c r="G1358" s="32"/>
    </row>
    <row r="1359" spans="1:7" x14ac:dyDescent="0.25">
      <c r="A1359" s="65"/>
      <c r="B1359" s="40" t="s">
        <v>214</v>
      </c>
      <c r="C1359" s="588">
        <v>1</v>
      </c>
      <c r="D1359" s="89" t="s">
        <v>897</v>
      </c>
      <c r="E1359" s="59">
        <v>300000</v>
      </c>
      <c r="F1359" s="463">
        <f>E1359*C1359</f>
        <v>300000</v>
      </c>
      <c r="G1359" s="32"/>
    </row>
    <row r="1360" spans="1:7" x14ac:dyDescent="0.25">
      <c r="A1360" s="65"/>
      <c r="B1360" s="40" t="s">
        <v>391</v>
      </c>
      <c r="C1360" s="588">
        <v>2</v>
      </c>
      <c r="D1360" s="89" t="s">
        <v>897</v>
      </c>
      <c r="E1360" s="59">
        <v>200000</v>
      </c>
      <c r="F1360" s="463">
        <f>E1360*C1360</f>
        <v>400000</v>
      </c>
      <c r="G1360" s="32"/>
    </row>
    <row r="1361" spans="1:12" x14ac:dyDescent="0.25">
      <c r="A1361" s="65"/>
      <c r="B1361" s="40"/>
      <c r="C1361" s="41"/>
      <c r="D1361" s="89"/>
      <c r="E1361" s="49"/>
      <c r="F1361" s="463"/>
      <c r="G1361" s="32"/>
    </row>
    <row r="1362" spans="1:12" ht="33.75" customHeight="1" x14ac:dyDescent="0.25">
      <c r="A1362" s="65" t="s">
        <v>937</v>
      </c>
      <c r="B1362" s="60" t="s">
        <v>809</v>
      </c>
      <c r="C1362" s="588"/>
      <c r="D1362" s="89"/>
      <c r="E1362" s="49"/>
      <c r="F1362" s="463"/>
      <c r="G1362" s="32"/>
    </row>
    <row r="1363" spans="1:12" x14ac:dyDescent="0.25">
      <c r="A1363" s="65"/>
      <c r="B1363" s="40" t="s">
        <v>936</v>
      </c>
      <c r="C1363" s="588">
        <f>4*3</f>
        <v>12</v>
      </c>
      <c r="D1363" s="89" t="s">
        <v>315</v>
      </c>
      <c r="E1363" s="49">
        <v>350000</v>
      </c>
      <c r="F1363" s="463">
        <f>E1363*C1363</f>
        <v>4200000</v>
      </c>
      <c r="G1363" s="32"/>
    </row>
    <row r="1364" spans="1:12" x14ac:dyDescent="0.25">
      <c r="A1364" s="65"/>
      <c r="B1364" s="593"/>
      <c r="C1364" s="588"/>
      <c r="D1364" s="89"/>
      <c r="E1364" s="59"/>
      <c r="F1364" s="50"/>
      <c r="G1364" s="32"/>
    </row>
    <row r="1365" spans="1:12" ht="29.25" customHeight="1" x14ac:dyDescent="0.25">
      <c r="A1365" s="65" t="s">
        <v>935</v>
      </c>
      <c r="B1365" s="594" t="s">
        <v>934</v>
      </c>
      <c r="C1365" s="588"/>
      <c r="D1365" s="89"/>
      <c r="E1365" s="59"/>
      <c r="F1365" s="50"/>
      <c r="G1365" s="32"/>
    </row>
    <row r="1366" spans="1:12" x14ac:dyDescent="0.25">
      <c r="A1366" s="65" t="s">
        <v>933</v>
      </c>
      <c r="B1366" s="40" t="s">
        <v>932</v>
      </c>
      <c r="C1366" s="588"/>
      <c r="D1366" s="89"/>
      <c r="E1366" s="59"/>
      <c r="F1366" s="463"/>
      <c r="G1366" s="32"/>
    </row>
    <row r="1367" spans="1:12" x14ac:dyDescent="0.25">
      <c r="A1367" s="65"/>
      <c r="B1367" s="40" t="s">
        <v>931</v>
      </c>
      <c r="C1367" s="588">
        <v>1</v>
      </c>
      <c r="D1367" s="89" t="s">
        <v>152</v>
      </c>
      <c r="E1367" s="59">
        <v>5000000</v>
      </c>
      <c r="F1367" s="463">
        <f>E1367*C1367</f>
        <v>5000000</v>
      </c>
      <c r="G1367" s="32"/>
    </row>
    <row r="1368" spans="1:12" x14ac:dyDescent="0.25">
      <c r="A1368" s="65"/>
      <c r="B1368" s="40" t="s">
        <v>930</v>
      </c>
      <c r="C1368" s="588">
        <v>1</v>
      </c>
      <c r="D1368" s="89" t="s">
        <v>152</v>
      </c>
      <c r="E1368" s="59">
        <v>3000000</v>
      </c>
      <c r="F1368" s="463">
        <f>E1368*C1368</f>
        <v>3000000</v>
      </c>
      <c r="G1368" s="32"/>
    </row>
    <row r="1369" spans="1:12" x14ac:dyDescent="0.25">
      <c r="A1369" s="65"/>
      <c r="B1369" s="40" t="s">
        <v>929</v>
      </c>
      <c r="C1369" s="588">
        <v>1</v>
      </c>
      <c r="D1369" s="89" t="s">
        <v>152</v>
      </c>
      <c r="E1369" s="59">
        <v>1500000</v>
      </c>
      <c r="F1369" s="463">
        <f>E1369*C1369</f>
        <v>1500000</v>
      </c>
      <c r="G1369" s="32"/>
    </row>
    <row r="1370" spans="1:12" x14ac:dyDescent="0.25">
      <c r="A1370" s="595"/>
      <c r="B1370" s="40"/>
      <c r="C1370" s="1973"/>
      <c r="D1370" s="1973"/>
      <c r="E1370" s="59"/>
      <c r="F1370" s="463"/>
      <c r="G1370" s="32"/>
    </row>
    <row r="1371" spans="1:12" x14ac:dyDescent="0.25">
      <c r="A1371" s="464"/>
      <c r="B1371" s="1918" t="s">
        <v>27</v>
      </c>
      <c r="C1371" s="1919"/>
      <c r="D1371" s="1919"/>
      <c r="E1371" s="1919"/>
      <c r="F1371" s="50">
        <f>SUM(F1322:F1369)</f>
        <v>45123000</v>
      </c>
      <c r="G1371" s="32" t="s">
        <v>2620</v>
      </c>
      <c r="L1371" s="175">
        <f>F1371</f>
        <v>45123000</v>
      </c>
    </row>
    <row r="1372" spans="1:12" x14ac:dyDescent="0.25">
      <c r="A1372" s="1807" t="s">
        <v>614</v>
      </c>
      <c r="B1372" s="1807"/>
      <c r="C1372" s="5" t="s">
        <v>28</v>
      </c>
      <c r="D1372" s="1808" t="s">
        <v>1700</v>
      </c>
      <c r="E1372" s="1808"/>
      <c r="F1372" s="1808"/>
      <c r="G1372" s="5"/>
    </row>
    <row r="1373" spans="1:12" x14ac:dyDescent="0.25">
      <c r="A1373" s="1807" t="s">
        <v>29</v>
      </c>
      <c r="B1373" s="1807"/>
      <c r="C1373" s="5"/>
      <c r="D1373" s="1809" t="s">
        <v>2996</v>
      </c>
      <c r="E1373" s="1809"/>
      <c r="F1373" s="1809"/>
      <c r="G1373" s="5"/>
    </row>
    <row r="1374" spans="1:12" x14ac:dyDescent="0.25">
      <c r="A1374" s="1"/>
      <c r="B1374" s="3"/>
      <c r="C1374" s="5"/>
      <c r="D1374" s="7"/>
      <c r="E1374" s="17"/>
      <c r="F1374" s="17"/>
      <c r="G1374" s="5"/>
    </row>
    <row r="1375" spans="1:12" x14ac:dyDescent="0.25">
      <c r="A1375" s="1"/>
      <c r="B1375" s="3"/>
      <c r="C1375" s="5"/>
      <c r="D1375" s="7"/>
      <c r="E1375" s="17"/>
      <c r="F1375" s="17"/>
      <c r="G1375" s="5"/>
    </row>
    <row r="1376" spans="1:12" x14ac:dyDescent="0.25">
      <c r="A1376" s="1807"/>
      <c r="B1376" s="1807"/>
      <c r="C1376" s="5"/>
      <c r="D1376" s="7"/>
      <c r="E1376" s="1807"/>
      <c r="F1376" s="1807"/>
      <c r="G1376" s="5"/>
    </row>
    <row r="1377" spans="1:7" x14ac:dyDescent="0.25">
      <c r="A1377" s="1807" t="s">
        <v>30</v>
      </c>
      <c r="B1377" s="1807"/>
      <c r="C1377" s="5"/>
      <c r="D1377" s="1807" t="s">
        <v>2993</v>
      </c>
      <c r="E1377" s="1807"/>
      <c r="F1377" s="1807"/>
      <c r="G1377" s="5"/>
    </row>
    <row r="1378" spans="1:7" x14ac:dyDescent="0.25">
      <c r="A1378" s="1800" t="s">
        <v>0</v>
      </c>
      <c r="B1378" s="1800"/>
      <c r="C1378" s="1800"/>
      <c r="D1378" s="1800"/>
      <c r="E1378" s="1800"/>
      <c r="F1378" s="1800"/>
    </row>
    <row r="1379" spans="1:7" x14ac:dyDescent="0.25">
      <c r="A1379" s="1800" t="s">
        <v>1</v>
      </c>
      <c r="B1379" s="1800"/>
      <c r="C1379" s="1800"/>
      <c r="D1379" s="1800"/>
      <c r="E1379" s="1800"/>
      <c r="F1379" s="1800"/>
    </row>
    <row r="1380" spans="1:7" x14ac:dyDescent="0.25">
      <c r="A1380" s="1800" t="s">
        <v>1697</v>
      </c>
      <c r="B1380" s="1800"/>
      <c r="C1380" s="1800"/>
      <c r="D1380" s="1800"/>
      <c r="E1380" s="1800"/>
      <c r="F1380" s="1800"/>
    </row>
    <row r="1381" spans="1:7" x14ac:dyDescent="0.25">
      <c r="A1381" s="138"/>
      <c r="B1381" s="138"/>
      <c r="C1381" s="162"/>
      <c r="D1381" s="162"/>
      <c r="E1381" s="162"/>
      <c r="F1381" s="162"/>
    </row>
    <row r="1382" spans="1:7" x14ac:dyDescent="0.25">
      <c r="A1382" s="162" t="s">
        <v>787</v>
      </c>
      <c r="B1382" s="162" t="s">
        <v>786</v>
      </c>
      <c r="C1382" s="162"/>
      <c r="D1382" s="162"/>
      <c r="E1382" s="96" t="s">
        <v>6</v>
      </c>
      <c r="F1382" s="454"/>
    </row>
    <row r="1383" spans="1:7" x14ac:dyDescent="0.25">
      <c r="A1383" s="68" t="s">
        <v>277</v>
      </c>
      <c r="B1383" s="68" t="s">
        <v>785</v>
      </c>
      <c r="C1383" s="162"/>
      <c r="D1383" s="162"/>
      <c r="E1383" s="97" t="s">
        <v>573</v>
      </c>
      <c r="F1383" s="97"/>
    </row>
    <row r="1384" spans="1:7" ht="20.25" customHeight="1" x14ac:dyDescent="0.25">
      <c r="A1384" s="68" t="s">
        <v>784</v>
      </c>
      <c r="B1384" s="17" t="s">
        <v>1749</v>
      </c>
      <c r="C1384" s="162"/>
      <c r="D1384" s="162"/>
      <c r="E1384" s="162"/>
      <c r="F1384" s="162"/>
    </row>
    <row r="1385" spans="1:7" x14ac:dyDescent="0.25">
      <c r="A1385" s="162" t="s">
        <v>579</v>
      </c>
      <c r="B1385" s="162" t="s">
        <v>611</v>
      </c>
      <c r="C1385" s="162"/>
      <c r="D1385" s="162"/>
      <c r="E1385" s="162"/>
      <c r="F1385" s="162"/>
    </row>
    <row r="1386" spans="1:7" x14ac:dyDescent="0.25">
      <c r="A1386" s="1904" t="s">
        <v>561</v>
      </c>
      <c r="B1386" s="1904"/>
      <c r="C1386" s="162"/>
      <c r="D1386" s="162"/>
      <c r="E1386" s="162"/>
      <c r="F1386" s="162"/>
    </row>
    <row r="1387" spans="1:7" ht="24" x14ac:dyDescent="0.25">
      <c r="A1387" s="144" t="s">
        <v>300</v>
      </c>
      <c r="B1387" s="144" t="s">
        <v>12</v>
      </c>
      <c r="C1387" s="1804" t="s">
        <v>13</v>
      </c>
      <c r="D1387" s="1804"/>
      <c r="E1387" s="11" t="s">
        <v>14</v>
      </c>
      <c r="F1387" s="165" t="s">
        <v>15</v>
      </c>
      <c r="G1387" s="267" t="s">
        <v>301</v>
      </c>
    </row>
    <row r="1388" spans="1:7" x14ac:dyDescent="0.25">
      <c r="A1388" s="144">
        <v>1</v>
      </c>
      <c r="B1388" s="144">
        <v>2</v>
      </c>
      <c r="C1388" s="1811">
        <v>3</v>
      </c>
      <c r="D1388" s="1812"/>
      <c r="E1388" s="33">
        <v>4</v>
      </c>
      <c r="F1388" s="165">
        <v>5</v>
      </c>
      <c r="G1388" s="268">
        <v>6</v>
      </c>
    </row>
    <row r="1389" spans="1:7" ht="26.25" customHeight="1" x14ac:dyDescent="0.25">
      <c r="A1389" s="148" t="s">
        <v>974</v>
      </c>
      <c r="B1389" s="257" t="s">
        <v>86</v>
      </c>
      <c r="C1389" s="167"/>
      <c r="D1389" s="168"/>
      <c r="E1389" s="256"/>
      <c r="F1389" s="146"/>
      <c r="G1389" s="32"/>
    </row>
    <row r="1390" spans="1:7" ht="21.75" customHeight="1" x14ac:dyDescent="0.25">
      <c r="A1390" s="148" t="s">
        <v>973</v>
      </c>
      <c r="B1390" s="4" t="s">
        <v>88</v>
      </c>
      <c r="C1390" s="6"/>
      <c r="D1390" s="168"/>
      <c r="E1390" s="16"/>
      <c r="F1390" s="16"/>
      <c r="G1390" s="32"/>
    </row>
    <row r="1391" spans="1:7" ht="23.25" customHeight="1" x14ac:dyDescent="0.25">
      <c r="A1391" s="148" t="s">
        <v>972</v>
      </c>
      <c r="B1391" s="271" t="s">
        <v>90</v>
      </c>
      <c r="C1391" s="6"/>
      <c r="D1391" s="168"/>
      <c r="E1391" s="16"/>
      <c r="F1391" s="16"/>
      <c r="G1391" s="32"/>
    </row>
    <row r="1392" spans="1:7" ht="19.5" customHeight="1" x14ac:dyDescent="0.25">
      <c r="A1392" s="2"/>
      <c r="B1392" s="4" t="s">
        <v>971</v>
      </c>
      <c r="C1392" s="6">
        <v>5</v>
      </c>
      <c r="D1392" s="168" t="s">
        <v>91</v>
      </c>
      <c r="E1392" s="12">
        <v>68000</v>
      </c>
      <c r="F1392" s="12">
        <f t="shared" ref="F1392:F1397" si="25">E1392*C1392</f>
        <v>340000</v>
      </c>
      <c r="G1392" s="32"/>
    </row>
    <row r="1393" spans="1:7" x14ac:dyDescent="0.25">
      <c r="A1393" s="2"/>
      <c r="B1393" s="4" t="s">
        <v>970</v>
      </c>
      <c r="C1393" s="6">
        <v>2</v>
      </c>
      <c r="D1393" s="168" t="s">
        <v>123</v>
      </c>
      <c r="E1393" s="12">
        <v>40000</v>
      </c>
      <c r="F1393" s="12">
        <f t="shared" si="25"/>
        <v>80000</v>
      </c>
      <c r="G1393" s="32"/>
    </row>
    <row r="1394" spans="1:7" ht="18.75" customHeight="1" x14ac:dyDescent="0.25">
      <c r="A1394" s="2"/>
      <c r="B1394" s="4" t="s">
        <v>1750</v>
      </c>
      <c r="C1394" s="6">
        <v>2</v>
      </c>
      <c r="D1394" s="168" t="s">
        <v>102</v>
      </c>
      <c r="E1394" s="12">
        <v>13000</v>
      </c>
      <c r="F1394" s="12">
        <f t="shared" si="25"/>
        <v>26000</v>
      </c>
      <c r="G1394" s="32"/>
    </row>
    <row r="1395" spans="1:7" x14ac:dyDescent="0.25">
      <c r="A1395" s="2"/>
      <c r="B1395" s="4" t="s">
        <v>969</v>
      </c>
      <c r="C1395" s="6">
        <v>5</v>
      </c>
      <c r="D1395" s="168" t="s">
        <v>102</v>
      </c>
      <c r="E1395" s="93">
        <v>4500</v>
      </c>
      <c r="F1395" s="12">
        <f t="shared" si="25"/>
        <v>22500</v>
      </c>
      <c r="G1395" s="32"/>
    </row>
    <row r="1396" spans="1:7" ht="20.25" customHeight="1" x14ac:dyDescent="0.25">
      <c r="A1396" s="2"/>
      <c r="B1396" s="4" t="s">
        <v>1751</v>
      </c>
      <c r="C1396" s="6">
        <v>5</v>
      </c>
      <c r="D1396" s="168" t="s">
        <v>102</v>
      </c>
      <c r="E1396" s="93">
        <v>8000</v>
      </c>
      <c r="F1396" s="12">
        <f t="shared" si="25"/>
        <v>40000</v>
      </c>
      <c r="G1396" s="32"/>
    </row>
    <row r="1397" spans="1:7" x14ac:dyDescent="0.25">
      <c r="A1397" s="148"/>
      <c r="B1397" s="4" t="s">
        <v>124</v>
      </c>
      <c r="C1397" s="6">
        <v>20</v>
      </c>
      <c r="D1397" s="168" t="s">
        <v>102</v>
      </c>
      <c r="E1397" s="12">
        <v>10000</v>
      </c>
      <c r="F1397" s="93">
        <f t="shared" si="25"/>
        <v>200000</v>
      </c>
      <c r="G1397" s="32"/>
    </row>
    <row r="1398" spans="1:7" ht="24.75" customHeight="1" x14ac:dyDescent="0.25">
      <c r="A1398" s="2"/>
      <c r="B1398" s="4" t="s">
        <v>968</v>
      </c>
      <c r="C1398" s="6">
        <v>4</v>
      </c>
      <c r="D1398" s="168" t="s">
        <v>112</v>
      </c>
      <c r="E1398" s="12">
        <v>160000</v>
      </c>
      <c r="F1398" s="93">
        <f>C1398*E1398</f>
        <v>640000</v>
      </c>
      <c r="G1398" s="32"/>
    </row>
    <row r="1399" spans="1:7" x14ac:dyDescent="0.25">
      <c r="A1399" s="148"/>
      <c r="B1399" s="4" t="s">
        <v>1752</v>
      </c>
      <c r="C1399" s="6">
        <v>1</v>
      </c>
      <c r="D1399" s="168" t="s">
        <v>102</v>
      </c>
      <c r="E1399" s="12">
        <v>160000</v>
      </c>
      <c r="F1399" s="93">
        <f>C1399*E1399</f>
        <v>160000</v>
      </c>
      <c r="G1399" s="32"/>
    </row>
    <row r="1400" spans="1:7" x14ac:dyDescent="0.25">
      <c r="A1400" s="148"/>
      <c r="B1400" s="4"/>
      <c r="C1400" s="6"/>
      <c r="D1400" s="168"/>
      <c r="E1400" s="93"/>
      <c r="F1400" s="93"/>
      <c r="G1400" s="32"/>
    </row>
    <row r="1401" spans="1:7" ht="39" customHeight="1" x14ac:dyDescent="0.25">
      <c r="A1401" s="148" t="s">
        <v>967</v>
      </c>
      <c r="B1401" s="4" t="s">
        <v>154</v>
      </c>
      <c r="C1401" s="6"/>
      <c r="D1401" s="168"/>
      <c r="E1401" s="93"/>
      <c r="F1401" s="12"/>
      <c r="G1401" s="32"/>
    </row>
    <row r="1402" spans="1:7" x14ac:dyDescent="0.25">
      <c r="A1402" s="148"/>
      <c r="B1402" s="4"/>
      <c r="C1402" s="6"/>
      <c r="D1402" s="168"/>
      <c r="E1402" s="93"/>
      <c r="F1402" s="12"/>
      <c r="G1402" s="32"/>
    </row>
    <row r="1403" spans="1:7" ht="39.75" customHeight="1" x14ac:dyDescent="0.25">
      <c r="A1403" s="148" t="s">
        <v>966</v>
      </c>
      <c r="B1403" s="271" t="s">
        <v>172</v>
      </c>
      <c r="C1403" s="6"/>
      <c r="D1403" s="168"/>
      <c r="E1403" s="93"/>
      <c r="F1403" s="12"/>
      <c r="G1403" s="32"/>
    </row>
    <row r="1404" spans="1:7" ht="27.75" customHeight="1" x14ac:dyDescent="0.25">
      <c r="A1404" s="148"/>
      <c r="B1404" s="4" t="s">
        <v>965</v>
      </c>
      <c r="C1404" s="6">
        <v>100</v>
      </c>
      <c r="D1404" s="168" t="s">
        <v>315</v>
      </c>
      <c r="E1404" s="93">
        <v>30000</v>
      </c>
      <c r="F1404" s="12">
        <f>E1404*C1404</f>
        <v>3000000</v>
      </c>
      <c r="G1404" s="32"/>
    </row>
    <row r="1405" spans="1:7" x14ac:dyDescent="0.25">
      <c r="A1405" s="148"/>
      <c r="B1405" s="4"/>
      <c r="C1405" s="6"/>
      <c r="D1405" s="168"/>
      <c r="E1405" s="93"/>
      <c r="F1405" s="93"/>
      <c r="G1405" s="32"/>
    </row>
    <row r="1406" spans="1:7" x14ac:dyDescent="0.25">
      <c r="A1406" s="148" t="s">
        <v>964</v>
      </c>
      <c r="B1406" s="4"/>
      <c r="C1406" s="6"/>
      <c r="D1406" s="168"/>
      <c r="E1406" s="93"/>
      <c r="F1406" s="12"/>
      <c r="G1406" s="32"/>
    </row>
    <row r="1407" spans="1:7" ht="24" customHeight="1" x14ac:dyDescent="0.25">
      <c r="A1407" s="148" t="s">
        <v>1753</v>
      </c>
      <c r="B1407" s="4" t="s">
        <v>340</v>
      </c>
      <c r="C1407" s="6"/>
      <c r="D1407" s="168"/>
      <c r="E1407" s="93"/>
      <c r="F1407" s="12"/>
      <c r="G1407" s="32"/>
    </row>
    <row r="1408" spans="1:7" x14ac:dyDescent="0.25">
      <c r="A1408" s="208"/>
      <c r="B1408" s="16"/>
      <c r="C1408" s="6"/>
      <c r="D1408" s="183"/>
      <c r="E1408" s="12"/>
      <c r="F1408" s="189"/>
      <c r="G1408" s="32"/>
    </row>
    <row r="1409" spans="1:19" ht="27.75" customHeight="1" x14ac:dyDescent="0.25">
      <c r="A1409" s="208" t="s">
        <v>963</v>
      </c>
      <c r="B1409" s="4" t="s">
        <v>962</v>
      </c>
      <c r="C1409" s="6"/>
      <c r="D1409" s="183"/>
      <c r="E1409" s="12"/>
      <c r="F1409" s="189"/>
      <c r="G1409" s="32"/>
    </row>
    <row r="1410" spans="1:19" x14ac:dyDescent="0.25">
      <c r="A1410" s="208" t="s">
        <v>961</v>
      </c>
      <c r="B1410" s="16" t="s">
        <v>425</v>
      </c>
      <c r="C1410" s="6"/>
      <c r="D1410" s="183"/>
      <c r="E1410" s="12"/>
      <c r="F1410" s="189"/>
      <c r="G1410" s="32"/>
    </row>
    <row r="1411" spans="1:19" ht="19.5" customHeight="1" x14ac:dyDescent="0.25">
      <c r="A1411" s="2"/>
      <c r="B1411" s="4" t="s">
        <v>1754</v>
      </c>
      <c r="C1411" s="6">
        <v>16</v>
      </c>
      <c r="D1411" s="168" t="s">
        <v>22</v>
      </c>
      <c r="E1411" s="93">
        <v>100000</v>
      </c>
      <c r="F1411" s="93">
        <f>E1411*C1411</f>
        <v>1600000</v>
      </c>
      <c r="G1411" s="32"/>
    </row>
    <row r="1412" spans="1:19" x14ac:dyDescent="0.25">
      <c r="A1412" s="2"/>
      <c r="B1412" s="4"/>
      <c r="C1412" s="6"/>
      <c r="D1412" s="168"/>
      <c r="E1412" s="93"/>
      <c r="F1412" s="93"/>
      <c r="G1412" s="32"/>
    </row>
    <row r="1413" spans="1:19" x14ac:dyDescent="0.25">
      <c r="A1413" s="1861" t="s">
        <v>27</v>
      </c>
      <c r="B1413" s="1805"/>
      <c r="C1413" s="237"/>
      <c r="D1413" s="219"/>
      <c r="E1413" s="4"/>
      <c r="F1413" s="596">
        <f>SUM(F1389:F1412)</f>
        <v>6108500</v>
      </c>
      <c r="G1413" s="32" t="s">
        <v>2625</v>
      </c>
      <c r="J1413" s="1190"/>
      <c r="S1413" s="1190">
        <f>F1413</f>
        <v>6108500</v>
      </c>
    </row>
    <row r="1414" spans="1:19" x14ac:dyDescent="0.25">
      <c r="A1414" s="1807" t="s">
        <v>614</v>
      </c>
      <c r="B1414" s="1807"/>
      <c r="C1414" s="5" t="s">
        <v>28</v>
      </c>
      <c r="D1414" s="1808" t="s">
        <v>1698</v>
      </c>
      <c r="E1414" s="1808"/>
      <c r="F1414" s="1808"/>
      <c r="G1414" s="5"/>
    </row>
    <row r="1415" spans="1:19" x14ac:dyDescent="0.25">
      <c r="A1415" s="1807" t="s">
        <v>29</v>
      </c>
      <c r="B1415" s="1807"/>
      <c r="C1415" s="5"/>
      <c r="D1415" s="1809" t="s">
        <v>2990</v>
      </c>
      <c r="E1415" s="1809"/>
      <c r="F1415" s="1809"/>
      <c r="G1415" s="5"/>
    </row>
    <row r="1416" spans="1:19" x14ac:dyDescent="0.25">
      <c r="A1416" s="1"/>
      <c r="B1416" s="3"/>
      <c r="C1416" s="5"/>
      <c r="D1416" s="7"/>
      <c r="E1416" s="17"/>
      <c r="F1416" s="17"/>
      <c r="G1416" s="5"/>
    </row>
    <row r="1417" spans="1:19" x14ac:dyDescent="0.25">
      <c r="A1417" s="1"/>
      <c r="B1417" s="3"/>
      <c r="C1417" s="5"/>
      <c r="D1417" s="7"/>
      <c r="E1417" s="17"/>
      <c r="F1417" s="17"/>
      <c r="G1417" s="5"/>
    </row>
    <row r="1418" spans="1:19" x14ac:dyDescent="0.25">
      <c r="A1418" s="1807"/>
      <c r="B1418" s="1807"/>
      <c r="C1418" s="5"/>
      <c r="D1418" s="7"/>
      <c r="E1418" s="1807"/>
      <c r="F1418" s="1807"/>
      <c r="G1418" s="5"/>
    </row>
    <row r="1419" spans="1:19" x14ac:dyDescent="0.25">
      <c r="A1419" s="1807" t="s">
        <v>30</v>
      </c>
      <c r="B1419" s="1807"/>
      <c r="C1419" s="5"/>
      <c r="D1419" s="1807" t="s">
        <v>2991</v>
      </c>
      <c r="E1419" s="1807"/>
      <c r="F1419" s="1807"/>
      <c r="G1419" s="5"/>
    </row>
    <row r="1420" spans="1:19" x14ac:dyDescent="0.25">
      <c r="A1420" s="1870" t="s">
        <v>0</v>
      </c>
      <c r="B1420" s="1870"/>
      <c r="C1420" s="1870"/>
      <c r="D1420" s="1870"/>
      <c r="E1420" s="1870"/>
      <c r="F1420" s="1870"/>
      <c r="G1420" s="442"/>
    </row>
    <row r="1421" spans="1:19" x14ac:dyDescent="0.25">
      <c r="A1421" s="1870" t="s">
        <v>1</v>
      </c>
      <c r="B1421" s="1870"/>
      <c r="C1421" s="1870"/>
      <c r="D1421" s="1870"/>
      <c r="E1421" s="1870"/>
      <c r="F1421" s="1870"/>
      <c r="G1421" s="442"/>
    </row>
    <row r="1422" spans="1:19" x14ac:dyDescent="0.25">
      <c r="A1422" s="1870" t="s">
        <v>1697</v>
      </c>
      <c r="B1422" s="1870"/>
      <c r="C1422" s="1870"/>
      <c r="D1422" s="1870"/>
      <c r="E1422" s="1870"/>
      <c r="F1422" s="1870"/>
      <c r="G1422" s="442"/>
    </row>
    <row r="1423" spans="1:19" x14ac:dyDescent="0.25">
      <c r="A1423" s="442" t="s">
        <v>787</v>
      </c>
      <c r="B1423" s="442" t="s">
        <v>786</v>
      </c>
      <c r="C1423" s="442"/>
      <c r="D1423" s="442"/>
      <c r="E1423" s="535" t="s">
        <v>6</v>
      </c>
      <c r="F1423" s="535"/>
      <c r="G1423" s="442"/>
    </row>
    <row r="1424" spans="1:19" x14ac:dyDescent="0.25">
      <c r="A1424" s="536" t="s">
        <v>277</v>
      </c>
      <c r="B1424" s="536" t="s">
        <v>785</v>
      </c>
      <c r="C1424" s="536"/>
      <c r="D1424" s="534"/>
      <c r="E1424" s="537" t="s">
        <v>573</v>
      </c>
      <c r="F1424" s="537"/>
      <c r="G1424" s="442"/>
    </row>
    <row r="1425" spans="1:7" ht="23.25" customHeight="1" x14ac:dyDescent="0.25">
      <c r="A1425" s="574" t="s">
        <v>784</v>
      </c>
      <c r="B1425" s="538" t="s">
        <v>2179</v>
      </c>
      <c r="C1425" s="536"/>
      <c r="D1425" s="534"/>
      <c r="E1425" s="1030"/>
      <c r="F1425" s="536"/>
      <c r="G1425" s="442"/>
    </row>
    <row r="1426" spans="1:7" ht="24" x14ac:dyDescent="0.25">
      <c r="A1426" s="553" t="s">
        <v>612</v>
      </c>
      <c r="B1426" s="553" t="s">
        <v>12</v>
      </c>
      <c r="C1426" s="1921" t="s">
        <v>13</v>
      </c>
      <c r="D1426" s="1922"/>
      <c r="E1426" s="556" t="s">
        <v>14</v>
      </c>
      <c r="F1426" s="554" t="s">
        <v>15</v>
      </c>
      <c r="G1426" s="557" t="s">
        <v>301</v>
      </c>
    </row>
    <row r="1427" spans="1:7" x14ac:dyDescent="0.25">
      <c r="A1427" s="558">
        <v>1</v>
      </c>
      <c r="B1427" s="558">
        <v>2</v>
      </c>
      <c r="C1427" s="1923">
        <v>3</v>
      </c>
      <c r="D1427" s="1924"/>
      <c r="E1427" s="560">
        <v>4</v>
      </c>
      <c r="F1427" s="559">
        <v>5</v>
      </c>
      <c r="G1427" s="557">
        <v>6</v>
      </c>
    </row>
    <row r="1428" spans="1:7" x14ac:dyDescent="0.25">
      <c r="A1428" s="541" t="s">
        <v>974</v>
      </c>
      <c r="B1428" s="1031" t="s">
        <v>323</v>
      </c>
      <c r="C1428" s="1032"/>
      <c r="D1428" s="1033"/>
      <c r="E1428" s="1034"/>
      <c r="F1428" s="531"/>
      <c r="G1428" s="532"/>
    </row>
    <row r="1429" spans="1:7" ht="17.25" customHeight="1" x14ac:dyDescent="0.25">
      <c r="A1429" s="541" t="s">
        <v>973</v>
      </c>
      <c r="B1429" s="1031" t="s">
        <v>88</v>
      </c>
      <c r="C1429" s="1032"/>
      <c r="D1429" s="1033"/>
      <c r="E1429" s="1034"/>
      <c r="F1429" s="531"/>
      <c r="G1429" s="532"/>
    </row>
    <row r="1430" spans="1:7" ht="27" customHeight="1" x14ac:dyDescent="0.25">
      <c r="A1430" s="541" t="s">
        <v>972</v>
      </c>
      <c r="B1430" s="1031" t="s">
        <v>845</v>
      </c>
      <c r="C1430" s="1032"/>
      <c r="D1430" s="1033"/>
      <c r="E1430" s="1034"/>
      <c r="F1430" s="531"/>
      <c r="G1430" s="532"/>
    </row>
    <row r="1431" spans="1:7" x14ac:dyDescent="0.25">
      <c r="A1431" s="532"/>
      <c r="B1431" s="395" t="s">
        <v>2180</v>
      </c>
      <c r="C1431" s="397">
        <v>1</v>
      </c>
      <c r="D1431" s="522" t="s">
        <v>91</v>
      </c>
      <c r="E1431" s="399">
        <v>68000</v>
      </c>
      <c r="F1431" s="531">
        <f>E1431*C1431</f>
        <v>68000</v>
      </c>
      <c r="G1431" s="532"/>
    </row>
    <row r="1432" spans="1:7" x14ac:dyDescent="0.25">
      <c r="A1432" s="532"/>
      <c r="B1432" s="395" t="s">
        <v>1530</v>
      </c>
      <c r="C1432" s="397">
        <v>300</v>
      </c>
      <c r="D1432" s="522" t="s">
        <v>312</v>
      </c>
      <c r="E1432" s="399">
        <v>250</v>
      </c>
      <c r="F1432" s="531">
        <f>E1432*C1432</f>
        <v>75000</v>
      </c>
      <c r="G1432" s="532"/>
    </row>
    <row r="1433" spans="1:7" x14ac:dyDescent="0.25">
      <c r="A1433" s="532"/>
      <c r="B1433" s="395" t="s">
        <v>306</v>
      </c>
      <c r="C1433" s="397">
        <v>26</v>
      </c>
      <c r="D1433" s="522" t="s">
        <v>102</v>
      </c>
      <c r="E1433" s="399">
        <v>4500</v>
      </c>
      <c r="F1433" s="531">
        <f>E1433*C1433</f>
        <v>117000</v>
      </c>
      <c r="G1433" s="532"/>
    </row>
    <row r="1434" spans="1:7" x14ac:dyDescent="0.25">
      <c r="A1434" s="532"/>
      <c r="B1434" s="395" t="s">
        <v>122</v>
      </c>
      <c r="C1434" s="397">
        <v>26</v>
      </c>
      <c r="D1434" s="522" t="s">
        <v>102</v>
      </c>
      <c r="E1434" s="399">
        <v>10000</v>
      </c>
      <c r="F1434" s="531">
        <f>E1434*C1434</f>
        <v>260000</v>
      </c>
      <c r="G1434" s="532"/>
    </row>
    <row r="1435" spans="1:7" x14ac:dyDescent="0.25">
      <c r="A1435" s="532"/>
      <c r="B1435" s="395"/>
      <c r="C1435" s="397"/>
      <c r="D1435" s="522"/>
      <c r="E1435" s="399"/>
      <c r="F1435" s="531"/>
      <c r="G1435" s="532"/>
    </row>
    <row r="1436" spans="1:7" ht="29.25" customHeight="1" x14ac:dyDescent="0.25">
      <c r="A1436" s="541" t="s">
        <v>966</v>
      </c>
      <c r="B1436" s="396" t="s">
        <v>354</v>
      </c>
      <c r="C1436" s="397"/>
      <c r="D1436" s="522"/>
      <c r="E1436" s="399"/>
      <c r="F1436" s="531"/>
      <c r="G1436" s="532"/>
    </row>
    <row r="1437" spans="1:7" x14ac:dyDescent="0.25">
      <c r="A1437" s="532"/>
      <c r="B1437" s="395" t="s">
        <v>2181</v>
      </c>
      <c r="C1437" s="397">
        <v>30</v>
      </c>
      <c r="D1437" s="522" t="s">
        <v>565</v>
      </c>
      <c r="E1437" s="399">
        <v>30000</v>
      </c>
      <c r="F1437" s="531">
        <f>E1437*C1437</f>
        <v>900000</v>
      </c>
      <c r="G1437" s="532"/>
    </row>
    <row r="1438" spans="1:7" x14ac:dyDescent="0.25">
      <c r="A1438" s="1032"/>
      <c r="B1438" s="395"/>
      <c r="C1438" s="397"/>
      <c r="D1438" s="522"/>
      <c r="E1438" s="399"/>
      <c r="F1438" s="531"/>
      <c r="G1438" s="532"/>
    </row>
    <row r="1439" spans="1:7" ht="24.75" customHeight="1" x14ac:dyDescent="0.25">
      <c r="A1439" s="541" t="s">
        <v>2184</v>
      </c>
      <c r="B1439" s="396" t="s">
        <v>376</v>
      </c>
      <c r="C1439" s="397"/>
      <c r="D1439" s="522"/>
      <c r="E1439" s="399"/>
      <c r="F1439" s="531"/>
      <c r="G1439" s="532"/>
    </row>
    <row r="1440" spans="1:7" x14ac:dyDescent="0.25">
      <c r="A1440" s="1032"/>
      <c r="B1440" s="395" t="s">
        <v>377</v>
      </c>
      <c r="C1440" s="397">
        <v>1</v>
      </c>
      <c r="D1440" s="522" t="s">
        <v>102</v>
      </c>
      <c r="E1440" s="399">
        <v>90000</v>
      </c>
      <c r="F1440" s="531">
        <f>E1440*C1440</f>
        <v>90000</v>
      </c>
      <c r="G1440" s="532"/>
    </row>
    <row r="1441" spans="1:19" x14ac:dyDescent="0.25">
      <c r="A1441" s="1032"/>
      <c r="B1441" s="395"/>
      <c r="C1441" s="397"/>
      <c r="D1441" s="522"/>
      <c r="E1441" s="399"/>
      <c r="F1441" s="531"/>
      <c r="G1441" s="532"/>
    </row>
    <row r="1442" spans="1:19" ht="21.75" customHeight="1" x14ac:dyDescent="0.25">
      <c r="A1442" s="541" t="s">
        <v>1753</v>
      </c>
      <c r="B1442" s="1031" t="s">
        <v>340</v>
      </c>
      <c r="C1442" s="397"/>
      <c r="D1442" s="522"/>
      <c r="E1442" s="399"/>
      <c r="F1442" s="531"/>
      <c r="G1442" s="532"/>
    </row>
    <row r="1443" spans="1:19" ht="36.75" x14ac:dyDescent="0.25">
      <c r="A1443" s="541" t="s">
        <v>2185</v>
      </c>
      <c r="B1443" s="396" t="s">
        <v>822</v>
      </c>
      <c r="C1443" s="397"/>
      <c r="D1443" s="522"/>
      <c r="E1443" s="399"/>
      <c r="F1443" s="531"/>
      <c r="G1443" s="532"/>
    </row>
    <row r="1444" spans="1:19" x14ac:dyDescent="0.25">
      <c r="A1444" s="1032"/>
      <c r="B1444" s="396" t="s">
        <v>471</v>
      </c>
      <c r="C1444" s="397">
        <v>1</v>
      </c>
      <c r="D1444" s="522" t="s">
        <v>315</v>
      </c>
      <c r="E1444" s="399">
        <v>300000</v>
      </c>
      <c r="F1444" s="531">
        <f>E1444*C1444</f>
        <v>300000</v>
      </c>
      <c r="G1444" s="532"/>
    </row>
    <row r="1445" spans="1:19" x14ac:dyDescent="0.25">
      <c r="A1445" s="1032"/>
      <c r="B1445" s="396" t="s">
        <v>596</v>
      </c>
      <c r="C1445" s="397">
        <v>1</v>
      </c>
      <c r="D1445" s="522" t="s">
        <v>315</v>
      </c>
      <c r="E1445" s="399">
        <v>250000</v>
      </c>
      <c r="F1445" s="531">
        <f>E1445*C1445</f>
        <v>250000</v>
      </c>
      <c r="G1445" s="532"/>
    </row>
    <row r="1446" spans="1:19" x14ac:dyDescent="0.25">
      <c r="A1446" s="1032"/>
      <c r="B1446" s="396" t="s">
        <v>576</v>
      </c>
      <c r="C1446" s="397">
        <v>3</v>
      </c>
      <c r="D1446" s="522" t="s">
        <v>315</v>
      </c>
      <c r="E1446" s="399">
        <v>200000</v>
      </c>
      <c r="F1446" s="531">
        <f>E1446*C1446</f>
        <v>600000</v>
      </c>
      <c r="G1446" s="532"/>
    </row>
    <row r="1447" spans="1:19" x14ac:dyDescent="0.25">
      <c r="A1447" s="1032"/>
      <c r="B1447" s="396"/>
      <c r="C1447" s="397"/>
      <c r="D1447" s="522"/>
      <c r="E1447" s="399"/>
      <c r="F1447" s="531"/>
      <c r="G1447" s="532"/>
    </row>
    <row r="1448" spans="1:19" ht="48.75" x14ac:dyDescent="0.25">
      <c r="A1448" s="541" t="s">
        <v>2186</v>
      </c>
      <c r="B1448" s="396" t="s">
        <v>809</v>
      </c>
      <c r="C1448" s="397"/>
      <c r="D1448" s="522"/>
      <c r="E1448" s="399"/>
      <c r="F1448" s="531"/>
      <c r="G1448" s="532"/>
    </row>
    <row r="1449" spans="1:19" x14ac:dyDescent="0.25">
      <c r="A1449" s="532"/>
      <c r="B1449" s="395" t="s">
        <v>2182</v>
      </c>
      <c r="C1449" s="397">
        <v>1</v>
      </c>
      <c r="D1449" s="522" t="s">
        <v>315</v>
      </c>
      <c r="E1449" s="399">
        <v>300000</v>
      </c>
      <c r="F1449" s="531">
        <f>E1449*C1449</f>
        <v>300000</v>
      </c>
      <c r="G1449" s="532"/>
    </row>
    <row r="1450" spans="1:19" x14ac:dyDescent="0.25">
      <c r="A1450" s="1032"/>
      <c r="B1450" s="395" t="s">
        <v>2183</v>
      </c>
      <c r="C1450" s="397">
        <v>1</v>
      </c>
      <c r="D1450" s="522" t="s">
        <v>315</v>
      </c>
      <c r="E1450" s="399">
        <v>200000</v>
      </c>
      <c r="F1450" s="531">
        <v>200000</v>
      </c>
      <c r="G1450" s="532"/>
    </row>
    <row r="1451" spans="1:19" x14ac:dyDescent="0.25">
      <c r="A1451" s="1032"/>
      <c r="B1451" s="395"/>
      <c r="C1451" s="397"/>
      <c r="D1451" s="522"/>
      <c r="E1451" s="399"/>
      <c r="F1451" s="531"/>
      <c r="G1451" s="532"/>
    </row>
    <row r="1452" spans="1:19" x14ac:dyDescent="0.25">
      <c r="A1452" s="532"/>
      <c r="B1452" s="1035"/>
      <c r="C1452" s="448"/>
      <c r="D1452" s="824"/>
      <c r="E1452" s="817"/>
      <c r="F1452" s="1036"/>
      <c r="G1452" s="532"/>
    </row>
    <row r="1453" spans="1:19" x14ac:dyDescent="0.25">
      <c r="A1453" s="532"/>
      <c r="B1453" s="1972" t="s">
        <v>27</v>
      </c>
      <c r="C1453" s="1972"/>
      <c r="D1453" s="1972"/>
      <c r="E1453" s="1972"/>
      <c r="F1453" s="104">
        <f>SUM(F1429:F1452)</f>
        <v>3160000</v>
      </c>
      <c r="G1453" s="532" t="s">
        <v>2625</v>
      </c>
      <c r="J1453" s="175"/>
      <c r="S1453" s="175">
        <f>F1453</f>
        <v>3160000</v>
      </c>
    </row>
    <row r="1454" spans="1:19" x14ac:dyDescent="0.25">
      <c r="A1454" s="1807" t="s">
        <v>614</v>
      </c>
      <c r="B1454" s="1807"/>
      <c r="C1454" s="5" t="s">
        <v>28</v>
      </c>
      <c r="D1454" s="1808" t="s">
        <v>1698</v>
      </c>
      <c r="E1454" s="1808"/>
      <c r="F1454" s="1808"/>
      <c r="G1454" s="5"/>
    </row>
    <row r="1455" spans="1:19" x14ac:dyDescent="0.25">
      <c r="A1455" s="1807" t="s">
        <v>29</v>
      </c>
      <c r="B1455" s="1807"/>
      <c r="C1455" s="5"/>
      <c r="D1455" s="1809" t="s">
        <v>2990</v>
      </c>
      <c r="E1455" s="1809"/>
      <c r="F1455" s="1809"/>
      <c r="G1455" s="5"/>
    </row>
    <row r="1456" spans="1:19" x14ac:dyDescent="0.25">
      <c r="A1456" s="1"/>
      <c r="B1456" s="3"/>
      <c r="C1456" s="5"/>
      <c r="D1456" s="7"/>
      <c r="E1456" s="17"/>
      <c r="F1456" s="17"/>
      <c r="G1456" s="5"/>
    </row>
    <row r="1457" spans="1:19" x14ac:dyDescent="0.25">
      <c r="A1457" s="1"/>
      <c r="B1457" s="3"/>
      <c r="C1457" s="5"/>
      <c r="D1457" s="7"/>
      <c r="E1457" s="17"/>
      <c r="F1457" s="17"/>
      <c r="G1457" s="5"/>
    </row>
    <row r="1458" spans="1:19" x14ac:dyDescent="0.25">
      <c r="A1458" s="1807"/>
      <c r="B1458" s="1807"/>
      <c r="C1458" s="5"/>
      <c r="D1458" s="7"/>
      <c r="E1458" s="1807"/>
      <c r="F1458" s="1807"/>
      <c r="G1458" s="5"/>
    </row>
    <row r="1459" spans="1:19" x14ac:dyDescent="0.25">
      <c r="A1459" s="1807" t="s">
        <v>30</v>
      </c>
      <c r="B1459" s="1807"/>
      <c r="C1459" s="5"/>
      <c r="D1459" s="1807" t="s">
        <v>2991</v>
      </c>
      <c r="E1459" s="1807"/>
      <c r="F1459" s="1807"/>
      <c r="G1459" s="5"/>
    </row>
    <row r="1460" spans="1:19" x14ac:dyDescent="0.25">
      <c r="A1460" s="1609"/>
      <c r="B1460" s="1610"/>
      <c r="C1460" s="1610"/>
      <c r="D1460" s="1610"/>
      <c r="E1460" s="1610"/>
      <c r="F1460" s="1611"/>
      <c r="G1460" s="1609"/>
      <c r="J1460" s="175"/>
      <c r="S1460" s="175"/>
    </row>
    <row r="1461" spans="1:19" x14ac:dyDescent="0.25">
      <c r="A1461" s="1609"/>
      <c r="B1461" s="1610"/>
      <c r="C1461" s="1610"/>
      <c r="D1461" s="1610"/>
      <c r="E1461" s="1610"/>
      <c r="F1461" s="1611"/>
      <c r="G1461" s="1609"/>
      <c r="J1461" s="175"/>
      <c r="S1461" s="175"/>
    </row>
    <row r="1462" spans="1:19" x14ac:dyDescent="0.25">
      <c r="A1462" s="1965" t="s">
        <v>0</v>
      </c>
      <c r="B1462" s="1965"/>
      <c r="C1462" s="1965"/>
      <c r="D1462" s="1965"/>
      <c r="E1462" s="1965"/>
      <c r="F1462" s="1965"/>
      <c r="G1462" s="61"/>
    </row>
    <row r="1463" spans="1:19" x14ac:dyDescent="0.25">
      <c r="A1463" s="1965" t="s">
        <v>1</v>
      </c>
      <c r="B1463" s="1965"/>
      <c r="C1463" s="1965"/>
      <c r="D1463" s="1965"/>
      <c r="E1463" s="1965"/>
      <c r="F1463" s="1965"/>
      <c r="G1463" s="61"/>
    </row>
    <row r="1464" spans="1:19" x14ac:dyDescent="0.25">
      <c r="A1464" s="1965" t="s">
        <v>1697</v>
      </c>
      <c r="B1464" s="1965"/>
      <c r="C1464" s="1965"/>
      <c r="D1464" s="1965"/>
      <c r="E1464" s="1965"/>
      <c r="F1464" s="1965"/>
      <c r="G1464" s="61"/>
    </row>
    <row r="1465" spans="1:19" x14ac:dyDescent="0.25">
      <c r="A1465" s="61" t="s">
        <v>787</v>
      </c>
      <c r="B1465" s="61" t="s">
        <v>786</v>
      </c>
      <c r="C1465" s="61"/>
      <c r="D1465" s="61"/>
      <c r="E1465" s="1023" t="s">
        <v>6</v>
      </c>
      <c r="F1465" s="1024" t="s">
        <v>2171</v>
      </c>
      <c r="G1465" s="61"/>
    </row>
    <row r="1466" spans="1:19" x14ac:dyDescent="0.25">
      <c r="A1466" s="63" t="s">
        <v>277</v>
      </c>
      <c r="B1466" s="63" t="s">
        <v>785</v>
      </c>
      <c r="C1466" s="63"/>
      <c r="D1466" s="39"/>
      <c r="E1466" s="1025" t="s">
        <v>2172</v>
      </c>
      <c r="F1466" s="1025" t="s">
        <v>1742</v>
      </c>
      <c r="G1466" s="61"/>
    </row>
    <row r="1467" spans="1:19" x14ac:dyDescent="0.25">
      <c r="A1467" s="63" t="s">
        <v>784</v>
      </c>
      <c r="B1467" s="63" t="s">
        <v>2173</v>
      </c>
      <c r="C1467" s="63"/>
      <c r="D1467" s="39"/>
      <c r="E1467" s="1026"/>
      <c r="F1467" s="63"/>
      <c r="G1467" s="61"/>
    </row>
    <row r="1468" spans="1:19" x14ac:dyDescent="0.25">
      <c r="A1468" s="61" t="s">
        <v>579</v>
      </c>
      <c r="B1468" s="61" t="s">
        <v>611</v>
      </c>
      <c r="C1468" s="61"/>
      <c r="D1468" s="61"/>
      <c r="E1468" s="61"/>
      <c r="F1468" s="61"/>
      <c r="G1468" s="61"/>
    </row>
    <row r="1469" spans="1:19" x14ac:dyDescent="0.25">
      <c r="A1469" s="1966" t="s">
        <v>561</v>
      </c>
      <c r="B1469" s="1966"/>
      <c r="C1469" s="61"/>
      <c r="D1469" s="63"/>
      <c r="E1469" s="1027"/>
      <c r="F1469" s="61"/>
      <c r="G1469" s="61"/>
    </row>
    <row r="1470" spans="1:19" x14ac:dyDescent="0.25">
      <c r="A1470" s="63"/>
      <c r="B1470" s="63"/>
      <c r="C1470" s="61"/>
      <c r="D1470" s="63"/>
      <c r="E1470" s="1027"/>
      <c r="F1470" s="61"/>
      <c r="G1470" s="61"/>
    </row>
    <row r="1471" spans="1:19" ht="24" x14ac:dyDescent="0.25">
      <c r="A1471" s="91" t="s">
        <v>31</v>
      </c>
      <c r="B1471" s="91" t="s">
        <v>12</v>
      </c>
      <c r="C1471" s="1905" t="s">
        <v>13</v>
      </c>
      <c r="D1471" s="1906"/>
      <c r="E1471" s="94" t="s">
        <v>14</v>
      </c>
      <c r="F1471" s="91" t="s">
        <v>15</v>
      </c>
      <c r="G1471" s="64" t="s">
        <v>35</v>
      </c>
    </row>
    <row r="1472" spans="1:19" x14ac:dyDescent="0.25">
      <c r="A1472" s="64">
        <v>1</v>
      </c>
      <c r="B1472" s="64">
        <v>2</v>
      </c>
      <c r="C1472" s="1967">
        <v>3</v>
      </c>
      <c r="D1472" s="1968"/>
      <c r="E1472" s="95">
        <v>4</v>
      </c>
      <c r="F1472" s="64">
        <v>5</v>
      </c>
      <c r="G1472" s="64">
        <v>6</v>
      </c>
    </row>
    <row r="1473" spans="1:7" x14ac:dyDescent="0.25">
      <c r="A1473" s="48" t="s">
        <v>782</v>
      </c>
      <c r="B1473" s="48" t="s">
        <v>351</v>
      </c>
      <c r="C1473" s="42"/>
      <c r="D1473" s="43"/>
      <c r="E1473" s="95"/>
      <c r="F1473" s="64"/>
      <c r="G1473" s="65"/>
    </row>
    <row r="1474" spans="1:7" x14ac:dyDescent="0.25">
      <c r="A1474" s="48" t="s">
        <v>781</v>
      </c>
      <c r="B1474" s="48" t="s">
        <v>780</v>
      </c>
      <c r="C1474" s="42"/>
      <c r="D1474" s="43"/>
      <c r="E1474" s="95"/>
      <c r="F1474" s="64"/>
      <c r="G1474" s="87"/>
    </row>
    <row r="1475" spans="1:7" ht="24.75" x14ac:dyDescent="0.25">
      <c r="A1475" s="48" t="s">
        <v>779</v>
      </c>
      <c r="B1475" s="87" t="s">
        <v>778</v>
      </c>
      <c r="C1475" s="42"/>
      <c r="D1475" s="43"/>
      <c r="E1475" s="95"/>
      <c r="F1475" s="64"/>
      <c r="G1475" s="87"/>
    </row>
    <row r="1476" spans="1:7" x14ac:dyDescent="0.25">
      <c r="A1476" s="48"/>
      <c r="B1476" s="87" t="s">
        <v>308</v>
      </c>
      <c r="C1476" s="42">
        <v>3</v>
      </c>
      <c r="D1476" s="43" t="s">
        <v>91</v>
      </c>
      <c r="E1476" s="587">
        <v>68000</v>
      </c>
      <c r="F1476" s="88">
        <f>E1476*C1476</f>
        <v>204000</v>
      </c>
      <c r="G1476" s="87"/>
    </row>
    <row r="1477" spans="1:7" x14ac:dyDescent="0.25">
      <c r="A1477" s="458"/>
      <c r="B1477" s="87" t="s">
        <v>777</v>
      </c>
      <c r="C1477" s="42">
        <v>4</v>
      </c>
      <c r="D1477" s="43" t="s">
        <v>123</v>
      </c>
      <c r="E1477" s="587">
        <v>15000</v>
      </c>
      <c r="F1477" s="88">
        <f>E1477*C1477</f>
        <v>60000</v>
      </c>
      <c r="G1477" s="87"/>
    </row>
    <row r="1478" spans="1:7" x14ac:dyDescent="0.25">
      <c r="A1478" s="64"/>
      <c r="B1478" s="90" t="s">
        <v>306</v>
      </c>
      <c r="C1478" s="57">
        <v>5</v>
      </c>
      <c r="D1478" s="58" t="s">
        <v>123</v>
      </c>
      <c r="E1478" s="379">
        <v>4500</v>
      </c>
      <c r="F1478" s="88">
        <f>E1478*C1478</f>
        <v>22500</v>
      </c>
      <c r="G1478" s="87"/>
    </row>
    <row r="1479" spans="1:7" ht="24.75" x14ac:dyDescent="0.25">
      <c r="A1479" s="64"/>
      <c r="B1479" s="1028" t="s">
        <v>2174</v>
      </c>
      <c r="C1479" s="41">
        <v>5</v>
      </c>
      <c r="D1479" s="679" t="s">
        <v>123</v>
      </c>
      <c r="E1479" s="570">
        <v>200000</v>
      </c>
      <c r="F1479" s="59">
        <f>C1479*E1479</f>
        <v>1000000</v>
      </c>
      <c r="G1479" s="65"/>
    </row>
    <row r="1480" spans="1:7" x14ac:dyDescent="0.25">
      <c r="A1480" s="64"/>
      <c r="B1480" s="737" t="s">
        <v>2175</v>
      </c>
      <c r="C1480" s="41">
        <v>10</v>
      </c>
      <c r="D1480" s="679" t="s">
        <v>460</v>
      </c>
      <c r="E1480" s="59">
        <v>100000</v>
      </c>
      <c r="F1480" s="59">
        <f>E1480*C1480</f>
        <v>1000000</v>
      </c>
      <c r="G1480" s="65"/>
    </row>
    <row r="1481" spans="1:7" x14ac:dyDescent="0.25">
      <c r="A1481" s="64"/>
      <c r="B1481" s="90"/>
      <c r="C1481" s="57"/>
      <c r="D1481" s="58"/>
      <c r="E1481" s="379"/>
      <c r="F1481" s="88"/>
      <c r="G1481" s="87"/>
    </row>
    <row r="1482" spans="1:7" ht="24" x14ac:dyDescent="0.25">
      <c r="A1482" s="48" t="s">
        <v>776</v>
      </c>
      <c r="B1482" s="90" t="s">
        <v>354</v>
      </c>
      <c r="C1482" s="57"/>
      <c r="D1482" s="58"/>
      <c r="E1482" s="379"/>
      <c r="F1482" s="88"/>
      <c r="G1482" s="87"/>
    </row>
    <row r="1483" spans="1:7" x14ac:dyDescent="0.25">
      <c r="A1483" s="65"/>
      <c r="B1483" s="40" t="s">
        <v>775</v>
      </c>
      <c r="C1483" s="41"/>
      <c r="D1483" s="89"/>
      <c r="E1483" s="570"/>
      <c r="F1483" s="88"/>
      <c r="G1483" s="87"/>
    </row>
    <row r="1484" spans="1:7" x14ac:dyDescent="0.25">
      <c r="A1484" s="65"/>
      <c r="B1484" s="40" t="s">
        <v>2176</v>
      </c>
      <c r="C1484" s="41">
        <v>15</v>
      </c>
      <c r="D1484" s="89" t="s">
        <v>315</v>
      </c>
      <c r="E1484" s="59">
        <v>30000</v>
      </c>
      <c r="F1484" s="88">
        <f>E1484*C1484</f>
        <v>450000</v>
      </c>
      <c r="G1484" s="87"/>
    </row>
    <row r="1485" spans="1:7" x14ac:dyDescent="0.25">
      <c r="A1485" s="65"/>
      <c r="B1485" s="40"/>
      <c r="C1485" s="41"/>
      <c r="D1485" s="89"/>
      <c r="E1485" s="59"/>
      <c r="F1485" s="88"/>
      <c r="G1485" s="87"/>
    </row>
    <row r="1486" spans="1:7" ht="24.75" x14ac:dyDescent="0.25">
      <c r="A1486" s="65" t="s">
        <v>774</v>
      </c>
      <c r="B1486" s="60" t="s">
        <v>773</v>
      </c>
      <c r="C1486" s="464"/>
      <c r="D1486" s="1029"/>
      <c r="E1486" s="65"/>
      <c r="F1486" s="88"/>
      <c r="G1486" s="87"/>
    </row>
    <row r="1487" spans="1:7" x14ac:dyDescent="0.25">
      <c r="A1487" s="65"/>
      <c r="B1487" s="40" t="s">
        <v>459</v>
      </c>
      <c r="C1487" s="41">
        <v>1</v>
      </c>
      <c r="D1487" s="89" t="s">
        <v>460</v>
      </c>
      <c r="E1487" s="59">
        <v>90000</v>
      </c>
      <c r="F1487" s="88">
        <f>E1487*C1487</f>
        <v>90000</v>
      </c>
      <c r="G1487" s="87"/>
    </row>
    <row r="1488" spans="1:7" x14ac:dyDescent="0.25">
      <c r="A1488" s="65"/>
      <c r="B1488" s="40"/>
      <c r="C1488" s="41"/>
      <c r="D1488" s="89"/>
      <c r="E1488" s="49"/>
      <c r="F1488" s="88"/>
      <c r="G1488" s="87"/>
    </row>
    <row r="1489" spans="1:19" x14ac:dyDescent="0.25">
      <c r="A1489" s="40" t="s">
        <v>2177</v>
      </c>
      <c r="B1489" s="40" t="s">
        <v>569</v>
      </c>
      <c r="C1489" s="41"/>
      <c r="D1489" s="89"/>
      <c r="E1489" s="49"/>
      <c r="F1489" s="88"/>
      <c r="G1489" s="87"/>
    </row>
    <row r="1490" spans="1:19" x14ac:dyDescent="0.25">
      <c r="A1490" s="774" t="s">
        <v>766</v>
      </c>
      <c r="B1490" s="40" t="s">
        <v>2178</v>
      </c>
      <c r="C1490" s="41">
        <v>2</v>
      </c>
      <c r="D1490" s="89" t="s">
        <v>461</v>
      </c>
      <c r="E1490" s="49">
        <v>350000</v>
      </c>
      <c r="F1490" s="88">
        <f>E1490*C1490</f>
        <v>700000</v>
      </c>
      <c r="G1490" s="87"/>
    </row>
    <row r="1491" spans="1:19" x14ac:dyDescent="0.25">
      <c r="A1491" s="40"/>
      <c r="B1491" s="40"/>
      <c r="C1491" s="41"/>
      <c r="D1491" s="89"/>
      <c r="E1491" s="49"/>
      <c r="F1491" s="88"/>
      <c r="G1491" s="87"/>
    </row>
    <row r="1492" spans="1:19" x14ac:dyDescent="0.25">
      <c r="A1492" s="65"/>
      <c r="B1492" s="40"/>
      <c r="C1492" s="41"/>
      <c r="D1492" s="89"/>
      <c r="E1492" s="49"/>
      <c r="F1492" s="88"/>
      <c r="G1492" s="87"/>
    </row>
    <row r="1493" spans="1:19" x14ac:dyDescent="0.25">
      <c r="A1493" s="464"/>
      <c r="B1493" s="1969" t="s">
        <v>27</v>
      </c>
      <c r="C1493" s="1970"/>
      <c r="D1493" s="1970"/>
      <c r="E1493" s="1971"/>
      <c r="F1493" s="50">
        <f>SUM(F1476:F1492)</f>
        <v>3526500</v>
      </c>
      <c r="G1493" s="65" t="s">
        <v>2625</v>
      </c>
      <c r="J1493" s="175"/>
      <c r="M1493" s="175"/>
      <c r="S1493" s="175">
        <f>F1493</f>
        <v>3526500</v>
      </c>
    </row>
    <row r="1494" spans="1:19" x14ac:dyDescent="0.25">
      <c r="A1494" s="1807" t="s">
        <v>614</v>
      </c>
      <c r="B1494" s="1807"/>
      <c r="C1494" s="5" t="s">
        <v>28</v>
      </c>
      <c r="D1494" s="1808" t="s">
        <v>1698</v>
      </c>
      <c r="E1494" s="1808"/>
      <c r="F1494" s="1808"/>
      <c r="G1494" s="5"/>
    </row>
    <row r="1495" spans="1:19" x14ac:dyDescent="0.25">
      <c r="A1495" s="1807" t="s">
        <v>29</v>
      </c>
      <c r="B1495" s="1807"/>
      <c r="C1495" s="5"/>
      <c r="D1495" s="1809" t="s">
        <v>2990</v>
      </c>
      <c r="E1495" s="1809"/>
      <c r="F1495" s="1809"/>
      <c r="G1495" s="5"/>
    </row>
    <row r="1496" spans="1:19" x14ac:dyDescent="0.25">
      <c r="A1496" s="1"/>
      <c r="B1496" s="3"/>
      <c r="C1496" s="5"/>
      <c r="D1496" s="7"/>
      <c r="E1496" s="17"/>
      <c r="F1496" s="17"/>
      <c r="G1496" s="5"/>
    </row>
    <row r="1497" spans="1:19" x14ac:dyDescent="0.25">
      <c r="A1497" s="1"/>
      <c r="B1497" s="3"/>
      <c r="C1497" s="5"/>
      <c r="D1497" s="7"/>
      <c r="E1497" s="17"/>
      <c r="F1497" s="17"/>
      <c r="G1497" s="5"/>
    </row>
    <row r="1498" spans="1:19" x14ac:dyDescent="0.25">
      <c r="A1498" s="1807"/>
      <c r="B1498" s="1807"/>
      <c r="C1498" s="5"/>
      <c r="D1498" s="7"/>
      <c r="E1498" s="1807"/>
      <c r="F1498" s="1807"/>
      <c r="G1498" s="5"/>
    </row>
    <row r="1499" spans="1:19" x14ac:dyDescent="0.25">
      <c r="A1499" s="1807" t="s">
        <v>30</v>
      </c>
      <c r="B1499" s="1807"/>
      <c r="C1499" s="5"/>
      <c r="D1499" s="1807" t="s">
        <v>2991</v>
      </c>
      <c r="E1499" s="1807"/>
      <c r="F1499" s="1807"/>
      <c r="G1499" s="5"/>
    </row>
    <row r="1500" spans="1:19" x14ac:dyDescent="0.25">
      <c r="A1500" s="1800" t="s">
        <v>0</v>
      </c>
      <c r="B1500" s="1800"/>
      <c r="C1500" s="1800"/>
      <c r="D1500" s="1800"/>
      <c r="E1500" s="1800"/>
      <c r="F1500" s="1800"/>
      <c r="G1500" s="162"/>
    </row>
    <row r="1501" spans="1:19" x14ac:dyDescent="0.25">
      <c r="A1501" s="1800" t="s">
        <v>1</v>
      </c>
      <c r="B1501" s="1800"/>
      <c r="C1501" s="1800"/>
      <c r="D1501" s="1800"/>
      <c r="E1501" s="1800"/>
      <c r="F1501" s="1800"/>
      <c r="G1501" s="162"/>
    </row>
    <row r="1502" spans="1:19" x14ac:dyDescent="0.25">
      <c r="A1502" s="1800" t="s">
        <v>1697</v>
      </c>
      <c r="B1502" s="1800"/>
      <c r="C1502" s="1800"/>
      <c r="D1502" s="1800"/>
      <c r="E1502" s="1800"/>
      <c r="F1502" s="1800"/>
      <c r="G1502" s="162"/>
    </row>
    <row r="1503" spans="1:19" x14ac:dyDescent="0.25">
      <c r="A1503" s="162" t="s">
        <v>812</v>
      </c>
      <c r="B1503" s="162" t="s">
        <v>813</v>
      </c>
      <c r="C1503" s="162"/>
      <c r="D1503" s="162"/>
      <c r="E1503" s="96" t="s">
        <v>6</v>
      </c>
      <c r="F1503" s="96" t="s">
        <v>1755</v>
      </c>
      <c r="G1503" s="162"/>
    </row>
    <row r="1504" spans="1:19" x14ac:dyDescent="0.25">
      <c r="A1504" s="68" t="s">
        <v>814</v>
      </c>
      <c r="B1504" s="68" t="s">
        <v>815</v>
      </c>
      <c r="C1504" s="68"/>
      <c r="D1504" s="138"/>
      <c r="E1504" s="568" t="s">
        <v>573</v>
      </c>
      <c r="F1504" s="569" t="s">
        <v>1756</v>
      </c>
      <c r="G1504" s="162"/>
    </row>
    <row r="1505" spans="1:7" ht="24.75" x14ac:dyDescent="0.25">
      <c r="A1505" s="202" t="s">
        <v>784</v>
      </c>
      <c r="B1505" s="77" t="s">
        <v>1757</v>
      </c>
      <c r="C1505" s="68"/>
      <c r="D1505" s="138"/>
      <c r="E1505" s="456"/>
      <c r="F1505" s="68"/>
      <c r="G1505" s="162"/>
    </row>
    <row r="1506" spans="1:7" x14ac:dyDescent="0.25">
      <c r="A1506" s="162" t="s">
        <v>62</v>
      </c>
      <c r="B1506" s="162" t="s">
        <v>63</v>
      </c>
      <c r="C1506" s="162"/>
      <c r="D1506" s="162"/>
      <c r="E1506" s="162"/>
      <c r="F1506" s="162"/>
      <c r="G1506" s="162"/>
    </row>
    <row r="1507" spans="1:7" x14ac:dyDescent="0.25">
      <c r="A1507" s="1904" t="s">
        <v>561</v>
      </c>
      <c r="B1507" s="1904"/>
      <c r="C1507" s="162"/>
      <c r="D1507" s="68"/>
      <c r="E1507" s="457"/>
      <c r="F1507" s="162"/>
      <c r="G1507" s="162"/>
    </row>
    <row r="1508" spans="1:7" ht="24" x14ac:dyDescent="0.25">
      <c r="A1508" s="91" t="s">
        <v>31</v>
      </c>
      <c r="B1508" s="91" t="s">
        <v>12</v>
      </c>
      <c r="C1508" s="1905" t="s">
        <v>13</v>
      </c>
      <c r="D1508" s="1906"/>
      <c r="E1508" s="94" t="s">
        <v>14</v>
      </c>
      <c r="F1508" s="91" t="s">
        <v>15</v>
      </c>
      <c r="G1508" s="64" t="s">
        <v>35</v>
      </c>
    </row>
    <row r="1509" spans="1:7" x14ac:dyDescent="0.25">
      <c r="A1509" s="64">
        <v>1</v>
      </c>
      <c r="B1509" s="64">
        <v>2</v>
      </c>
      <c r="C1509" s="1907">
        <v>3</v>
      </c>
      <c r="D1509" s="1907"/>
      <c r="E1509" s="95">
        <v>4</v>
      </c>
      <c r="F1509" s="64">
        <v>5</v>
      </c>
      <c r="G1509" s="64">
        <v>6</v>
      </c>
    </row>
    <row r="1510" spans="1:7" x14ac:dyDescent="0.25">
      <c r="A1510" s="178" t="s">
        <v>894</v>
      </c>
      <c r="B1510" s="87" t="s">
        <v>323</v>
      </c>
      <c r="C1510" s="42"/>
      <c r="D1510" s="43"/>
      <c r="E1510" s="95"/>
      <c r="F1510" s="64"/>
      <c r="G1510" s="65"/>
    </row>
    <row r="1511" spans="1:7" ht="24.75" x14ac:dyDescent="0.25">
      <c r="A1511" s="178" t="s">
        <v>893</v>
      </c>
      <c r="B1511" s="87" t="s">
        <v>88</v>
      </c>
      <c r="C1511" s="42"/>
      <c r="D1511" s="43"/>
      <c r="E1511" s="95"/>
      <c r="F1511" s="64"/>
      <c r="G1511" s="65"/>
    </row>
    <row r="1512" spans="1:7" ht="24.75" x14ac:dyDescent="0.25">
      <c r="A1512" s="180" t="s">
        <v>901</v>
      </c>
      <c r="B1512" s="87" t="s">
        <v>845</v>
      </c>
      <c r="C1512" s="42"/>
      <c r="D1512" s="43"/>
      <c r="E1512" s="95"/>
      <c r="F1512" s="64"/>
      <c r="G1512" s="65"/>
    </row>
    <row r="1513" spans="1:7" ht="24" x14ac:dyDescent="0.25">
      <c r="A1513" s="64"/>
      <c r="B1513" s="90" t="s">
        <v>1758</v>
      </c>
      <c r="C1513" s="57">
        <v>5</v>
      </c>
      <c r="D1513" s="58" t="s">
        <v>123</v>
      </c>
      <c r="E1513" s="379">
        <v>200000</v>
      </c>
      <c r="F1513" s="379">
        <f>C1513*E1513</f>
        <v>1000000</v>
      </c>
      <c r="G1513" s="87"/>
    </row>
    <row r="1514" spans="1:7" x14ac:dyDescent="0.25">
      <c r="A1514" s="64"/>
      <c r="B1514" s="90" t="s">
        <v>309</v>
      </c>
      <c r="C1514" s="57">
        <v>14</v>
      </c>
      <c r="D1514" s="58" t="s">
        <v>307</v>
      </c>
      <c r="E1514" s="379">
        <v>100000</v>
      </c>
      <c r="F1514" s="379">
        <f>C1514*E1514</f>
        <v>1400000</v>
      </c>
      <c r="G1514" s="87"/>
    </row>
    <row r="1515" spans="1:7" x14ac:dyDescent="0.25">
      <c r="A1515" s="65"/>
      <c r="B1515" s="90" t="s">
        <v>788</v>
      </c>
      <c r="C1515" s="57">
        <v>10</v>
      </c>
      <c r="D1515" s="58" t="s">
        <v>307</v>
      </c>
      <c r="E1515" s="379">
        <v>8000</v>
      </c>
      <c r="F1515" s="379">
        <f>C1515*E1515</f>
        <v>80000</v>
      </c>
      <c r="G1515" s="87"/>
    </row>
    <row r="1516" spans="1:7" x14ac:dyDescent="0.25">
      <c r="A1516" s="65"/>
      <c r="B1516" s="40"/>
      <c r="C1516" s="41"/>
      <c r="D1516" s="89"/>
      <c r="E1516" s="570"/>
      <c r="F1516" s="50"/>
      <c r="G1516" s="87"/>
    </row>
    <row r="1517" spans="1:7" ht="24.75" x14ac:dyDescent="0.25">
      <c r="A1517" s="180" t="s">
        <v>892</v>
      </c>
      <c r="B1517" s="60" t="s">
        <v>354</v>
      </c>
      <c r="C1517" s="41"/>
      <c r="D1517" s="89"/>
      <c r="E1517" s="59"/>
      <c r="F1517" s="50"/>
      <c r="G1517" s="87"/>
    </row>
    <row r="1518" spans="1:7" x14ac:dyDescent="0.25">
      <c r="A1518" s="65"/>
      <c r="B1518" s="40" t="s">
        <v>775</v>
      </c>
      <c r="C1518" s="41"/>
      <c r="D1518" s="89"/>
      <c r="E1518" s="570"/>
      <c r="F1518" s="88"/>
      <c r="G1518" s="87"/>
    </row>
    <row r="1519" spans="1:7" x14ac:dyDescent="0.25">
      <c r="A1519" s="65"/>
      <c r="B1519" s="40" t="s">
        <v>1759</v>
      </c>
      <c r="C1519" s="41">
        <v>180</v>
      </c>
      <c r="D1519" s="89" t="s">
        <v>315</v>
      </c>
      <c r="E1519" s="59">
        <v>15000</v>
      </c>
      <c r="F1519" s="88">
        <f>E1519*C1519</f>
        <v>2700000</v>
      </c>
      <c r="G1519" s="87"/>
    </row>
    <row r="1520" spans="1:7" x14ac:dyDescent="0.25">
      <c r="A1520" s="65"/>
      <c r="B1520" s="40" t="s">
        <v>1760</v>
      </c>
      <c r="C1520" s="41">
        <v>700</v>
      </c>
      <c r="D1520" s="89" t="s">
        <v>315</v>
      </c>
      <c r="E1520" s="49">
        <v>10000</v>
      </c>
      <c r="F1520" s="88">
        <f>C1520*E1520</f>
        <v>7000000</v>
      </c>
      <c r="G1520" s="87"/>
    </row>
    <row r="1521" spans="1:19" x14ac:dyDescent="0.25">
      <c r="A1521" s="65"/>
      <c r="B1521" s="40"/>
      <c r="C1521" s="41"/>
      <c r="D1521" s="89"/>
      <c r="E1521" s="49"/>
      <c r="F1521" s="88"/>
      <c r="G1521" s="87"/>
    </row>
    <row r="1522" spans="1:19" x14ac:dyDescent="0.25">
      <c r="A1522" s="65" t="s">
        <v>772</v>
      </c>
      <c r="B1522" s="40" t="s">
        <v>771</v>
      </c>
      <c r="C1522" s="41"/>
      <c r="D1522" s="89"/>
      <c r="E1522" s="49"/>
      <c r="F1522" s="88"/>
      <c r="G1522" s="87"/>
    </row>
    <row r="1523" spans="1:19" x14ac:dyDescent="0.25">
      <c r="A1523" s="65"/>
      <c r="B1523" s="40" t="s">
        <v>770</v>
      </c>
      <c r="C1523" s="41">
        <v>1</v>
      </c>
      <c r="D1523" s="89" t="s">
        <v>460</v>
      </c>
      <c r="E1523" s="49">
        <v>950000</v>
      </c>
      <c r="F1523" s="88">
        <f>C1523*E1523</f>
        <v>950000</v>
      </c>
      <c r="G1523" s="87"/>
    </row>
    <row r="1524" spans="1:19" x14ac:dyDescent="0.25">
      <c r="A1524" s="65"/>
      <c r="B1524" s="40" t="s">
        <v>769</v>
      </c>
      <c r="C1524" s="41">
        <v>1</v>
      </c>
      <c r="D1524" s="89" t="s">
        <v>361</v>
      </c>
      <c r="E1524" s="49">
        <v>2600000</v>
      </c>
      <c r="F1524" s="88">
        <f>C1524*E1524</f>
        <v>2600000</v>
      </c>
      <c r="G1524" s="87"/>
    </row>
    <row r="1525" spans="1:19" x14ac:dyDescent="0.25">
      <c r="A1525" s="65"/>
      <c r="B1525" s="40" t="s">
        <v>768</v>
      </c>
      <c r="C1525" s="41">
        <v>1</v>
      </c>
      <c r="D1525" s="89" t="s">
        <v>460</v>
      </c>
      <c r="E1525" s="49">
        <v>1800000</v>
      </c>
      <c r="F1525" s="88">
        <f>C1525*E1525</f>
        <v>1800000</v>
      </c>
      <c r="G1525" s="87"/>
    </row>
    <row r="1526" spans="1:19" x14ac:dyDescent="0.25">
      <c r="A1526" s="65"/>
      <c r="B1526" s="40"/>
      <c r="C1526" s="41"/>
      <c r="D1526" s="89"/>
      <c r="E1526" s="49"/>
      <c r="F1526" s="88"/>
      <c r="G1526" s="87"/>
    </row>
    <row r="1527" spans="1:19" x14ac:dyDescent="0.25">
      <c r="A1527" s="180" t="s">
        <v>889</v>
      </c>
      <c r="B1527" s="40" t="s">
        <v>340</v>
      </c>
      <c r="C1527" s="41"/>
      <c r="D1527" s="89"/>
      <c r="E1527" s="49"/>
      <c r="F1527" s="88"/>
      <c r="G1527" s="87"/>
    </row>
    <row r="1528" spans="1:19" ht="24.75" x14ac:dyDescent="0.25">
      <c r="A1528" s="180" t="s">
        <v>898</v>
      </c>
      <c r="B1528" s="60" t="s">
        <v>393</v>
      </c>
      <c r="C1528" s="41"/>
      <c r="D1528" s="89"/>
      <c r="E1528" s="49"/>
      <c r="F1528" s="463"/>
      <c r="G1528" s="87"/>
    </row>
    <row r="1529" spans="1:19" ht="36.75" x14ac:dyDescent="0.25">
      <c r="A1529" s="571"/>
      <c r="B1529" s="572" t="s">
        <v>1761</v>
      </c>
      <c r="C1529" s="460">
        <v>180</v>
      </c>
      <c r="D1529" s="461" t="s">
        <v>315</v>
      </c>
      <c r="E1529" s="49">
        <v>100000</v>
      </c>
      <c r="F1529" s="573">
        <f>E1529*C1529</f>
        <v>18000000</v>
      </c>
      <c r="G1529" s="87"/>
    </row>
    <row r="1530" spans="1:19" x14ac:dyDescent="0.25">
      <c r="A1530" s="65"/>
      <c r="B1530" s="40"/>
      <c r="C1530" s="41"/>
      <c r="D1530" s="89"/>
      <c r="E1530" s="59"/>
      <c r="F1530" s="50"/>
      <c r="G1530" s="87"/>
    </row>
    <row r="1531" spans="1:19" x14ac:dyDescent="0.25">
      <c r="A1531" s="464"/>
      <c r="B1531" s="1918" t="s">
        <v>27</v>
      </c>
      <c r="C1531" s="1919"/>
      <c r="D1531" s="1919"/>
      <c r="E1531" s="1919"/>
      <c r="F1531" s="50">
        <f>SUM(F1513:F1530)</f>
        <v>35530000</v>
      </c>
      <c r="G1531" s="87" t="s">
        <v>2644</v>
      </c>
      <c r="J1531" s="175"/>
      <c r="S1531" s="175">
        <f>F1531</f>
        <v>35530000</v>
      </c>
    </row>
    <row r="1532" spans="1:19" x14ac:dyDescent="0.25">
      <c r="A1532" s="1807" t="s">
        <v>614</v>
      </c>
      <c r="B1532" s="1807"/>
      <c r="C1532" s="5" t="s">
        <v>28</v>
      </c>
      <c r="D1532" s="1808" t="s">
        <v>1698</v>
      </c>
      <c r="E1532" s="1808"/>
      <c r="F1532" s="1808"/>
      <c r="G1532" s="5"/>
    </row>
    <row r="1533" spans="1:19" x14ac:dyDescent="0.25">
      <c r="A1533" s="1807" t="s">
        <v>29</v>
      </c>
      <c r="B1533" s="1807"/>
      <c r="C1533" s="5"/>
      <c r="D1533" s="1809" t="s">
        <v>2990</v>
      </c>
      <c r="E1533" s="1809"/>
      <c r="F1533" s="1809"/>
      <c r="G1533" s="5"/>
    </row>
    <row r="1534" spans="1:19" x14ac:dyDescent="0.25">
      <c r="A1534" s="1"/>
      <c r="B1534" s="3"/>
      <c r="C1534" s="5"/>
      <c r="D1534" s="7"/>
      <c r="E1534" s="17"/>
      <c r="F1534" s="17"/>
      <c r="G1534" s="5"/>
    </row>
    <row r="1535" spans="1:19" x14ac:dyDescent="0.25">
      <c r="A1535" s="1"/>
      <c r="B1535" s="3"/>
      <c r="C1535" s="5"/>
      <c r="D1535" s="7"/>
      <c r="E1535" s="17"/>
      <c r="F1535" s="17"/>
      <c r="G1535" s="5"/>
    </row>
    <row r="1536" spans="1:19" x14ac:dyDescent="0.25">
      <c r="A1536" s="1807"/>
      <c r="B1536" s="1807"/>
      <c r="C1536" s="5"/>
      <c r="D1536" s="7"/>
      <c r="E1536" s="1807"/>
      <c r="F1536" s="1807"/>
      <c r="G1536" s="5"/>
    </row>
    <row r="1537" spans="1:7" x14ac:dyDescent="0.25">
      <c r="A1537" s="1807" t="s">
        <v>30</v>
      </c>
      <c r="B1537" s="1807"/>
      <c r="C1537" s="5"/>
      <c r="D1537" s="1807" t="s">
        <v>2991</v>
      </c>
      <c r="E1537" s="1807"/>
      <c r="F1537" s="1807"/>
      <c r="G1537" s="5"/>
    </row>
    <row r="1539" spans="1:7" x14ac:dyDescent="0.25">
      <c r="A1539" s="1911" t="s">
        <v>1968</v>
      </c>
      <c r="B1539" s="1911"/>
      <c r="C1539" s="1911"/>
      <c r="D1539" s="1911"/>
      <c r="E1539" s="1911"/>
      <c r="F1539" s="1911"/>
      <c r="G1539" s="1911"/>
    </row>
    <row r="1540" spans="1:7" x14ac:dyDescent="0.25">
      <c r="A1540" s="1911" t="s">
        <v>1</v>
      </c>
      <c r="B1540" s="1911"/>
      <c r="C1540" s="1911"/>
      <c r="D1540" s="1911"/>
      <c r="E1540" s="1911"/>
      <c r="F1540" s="1911"/>
      <c r="G1540" s="1911"/>
    </row>
    <row r="1541" spans="1:7" x14ac:dyDescent="0.25">
      <c r="A1541" s="1911" t="s">
        <v>1697</v>
      </c>
      <c r="B1541" s="1911"/>
      <c r="C1541" s="1911"/>
      <c r="D1541" s="1911"/>
      <c r="E1541" s="1911"/>
      <c r="F1541" s="1911"/>
      <c r="G1541" s="1911"/>
    </row>
    <row r="1542" spans="1:7" x14ac:dyDescent="0.25">
      <c r="A1542" s="1441"/>
      <c r="B1542" s="1442"/>
      <c r="C1542" s="1443"/>
      <c r="D1542" s="1443"/>
      <c r="E1542" s="1444"/>
      <c r="F1542" s="1444"/>
      <c r="G1542" s="1444"/>
    </row>
    <row r="1543" spans="1:7" x14ac:dyDescent="0.25">
      <c r="A1543" s="1444" t="s">
        <v>1913</v>
      </c>
      <c r="B1543" s="1445"/>
      <c r="C1543" s="1446"/>
      <c r="D1543" s="1446"/>
      <c r="E1543" s="1447"/>
      <c r="F1543" s="1447"/>
      <c r="G1543" s="1444"/>
    </row>
    <row r="1544" spans="1:7" ht="24.75" x14ac:dyDescent="0.25">
      <c r="A1544" s="1511" t="s">
        <v>814</v>
      </c>
      <c r="B1544" s="1512" t="s">
        <v>1959</v>
      </c>
      <c r="C1544" s="1446"/>
      <c r="D1544" s="1446"/>
      <c r="E1544" s="1447" t="s">
        <v>1915</v>
      </c>
      <c r="F1544" s="1447"/>
      <c r="G1544" s="1444"/>
    </row>
    <row r="1545" spans="1:7" ht="60" x14ac:dyDescent="0.25">
      <c r="A1545" s="1513" t="s">
        <v>858</v>
      </c>
      <c r="B1545" s="1514" t="s">
        <v>1960</v>
      </c>
      <c r="C1545" s="1446"/>
      <c r="D1545" s="1446"/>
      <c r="E1545" s="1447" t="s">
        <v>1917</v>
      </c>
      <c r="F1545" s="1447"/>
      <c r="G1545" s="1511"/>
    </row>
    <row r="1546" spans="1:7" ht="30" x14ac:dyDescent="0.25">
      <c r="A1546" s="1513" t="s">
        <v>1918</v>
      </c>
      <c r="B1546" s="1514" t="s">
        <v>1919</v>
      </c>
      <c r="C1546" s="1446"/>
      <c r="D1546" s="1446"/>
      <c r="E1546" s="1447"/>
      <c r="F1546" s="1447"/>
      <c r="G1546" s="1511"/>
    </row>
    <row r="1547" spans="1:7" x14ac:dyDescent="0.25">
      <c r="A1547" s="1444" t="s">
        <v>1920</v>
      </c>
      <c r="B1547" s="1445" t="s">
        <v>63</v>
      </c>
      <c r="C1547" s="1446"/>
      <c r="D1547" s="1446"/>
      <c r="E1547" s="1444"/>
      <c r="F1547" s="1444"/>
      <c r="G1547" s="1444"/>
    </row>
    <row r="1548" spans="1:7" x14ac:dyDescent="0.25">
      <c r="A1548" s="1511" t="s">
        <v>64</v>
      </c>
      <c r="B1548" s="1512" t="s">
        <v>65</v>
      </c>
      <c r="C1548" s="1446"/>
      <c r="D1548" s="1446"/>
      <c r="E1548" s="1511"/>
      <c r="F1548" s="1511"/>
      <c r="G1548" s="1511"/>
    </row>
    <row r="1549" spans="1:7" x14ac:dyDescent="0.25">
      <c r="A1549" s="536"/>
      <c r="B1549" s="538"/>
      <c r="C1549" s="1515"/>
      <c r="D1549" s="1515"/>
      <c r="E1549" s="536"/>
      <c r="F1549" s="536"/>
      <c r="G1549" s="536"/>
    </row>
    <row r="1550" spans="1:7" ht="24" x14ac:dyDescent="0.25">
      <c r="A1550" s="802" t="s">
        <v>31</v>
      </c>
      <c r="B1550" s="802" t="s">
        <v>12</v>
      </c>
      <c r="C1550" s="1960" t="s">
        <v>13</v>
      </c>
      <c r="D1550" s="1961"/>
      <c r="E1550" s="1516" t="s">
        <v>14</v>
      </c>
      <c r="F1550" s="786" t="s">
        <v>15</v>
      </c>
      <c r="G1550" s="1517" t="s">
        <v>301</v>
      </c>
    </row>
    <row r="1551" spans="1:7" x14ac:dyDescent="0.25">
      <c r="A1551" s="446">
        <v>1</v>
      </c>
      <c r="B1551" s="443">
        <v>2</v>
      </c>
      <c r="C1551" s="1838">
        <v>3</v>
      </c>
      <c r="D1551" s="1839"/>
      <c r="E1551" s="710">
        <v>4</v>
      </c>
      <c r="F1551" s="392">
        <v>5</v>
      </c>
      <c r="G1551" s="447">
        <v>7</v>
      </c>
    </row>
    <row r="1552" spans="1:7" x14ac:dyDescent="0.25">
      <c r="A1552" s="541" t="s">
        <v>1961</v>
      </c>
      <c r="B1552" s="1518" t="s">
        <v>1962</v>
      </c>
      <c r="C1552" s="1519"/>
      <c r="D1552" s="1520"/>
      <c r="E1552" s="1521"/>
      <c r="F1552" s="1522"/>
      <c r="G1552" s="447"/>
    </row>
    <row r="1553" spans="1:8" x14ac:dyDescent="0.25">
      <c r="A1553" s="541" t="s">
        <v>1963</v>
      </c>
      <c r="B1553" s="1518" t="s">
        <v>1964</v>
      </c>
      <c r="C1553" s="1519"/>
      <c r="D1553" s="1520"/>
      <c r="E1553" s="1521"/>
      <c r="F1553" s="1522"/>
      <c r="G1553" s="447"/>
    </row>
    <row r="1554" spans="1:8" ht="24" x14ac:dyDescent="0.25">
      <c r="A1554" s="541" t="s">
        <v>1965</v>
      </c>
      <c r="B1554" s="1518" t="s">
        <v>1952</v>
      </c>
      <c r="C1554" s="559"/>
      <c r="D1554" s="1520"/>
      <c r="E1554" s="1521"/>
      <c r="F1554" s="1522"/>
      <c r="G1554" s="447"/>
    </row>
    <row r="1555" spans="1:8" ht="15.75" thickBot="1" x14ac:dyDescent="0.3">
      <c r="A1555" s="544"/>
      <c r="B1555" s="1523" t="s">
        <v>2815</v>
      </c>
      <c r="C1555" s="559">
        <v>1</v>
      </c>
      <c r="D1555" s="1520" t="s">
        <v>2816</v>
      </c>
      <c r="E1555" s="1522">
        <v>1670000</v>
      </c>
      <c r="F1555" s="1522">
        <f>E1555*C1555</f>
        <v>1670000</v>
      </c>
      <c r="G1555" s="447"/>
    </row>
    <row r="1556" spans="1:8" ht="15.75" thickBot="1" x14ac:dyDescent="0.3">
      <c r="A1556" s="576"/>
      <c r="B1556" s="1912" t="s">
        <v>613</v>
      </c>
      <c r="C1556" s="1913"/>
      <c r="D1556" s="1913"/>
      <c r="E1556" s="1914"/>
      <c r="F1556" s="1525">
        <f>SUM(F1555:F1555)</f>
        <v>1670000</v>
      </c>
      <c r="G1556" s="447"/>
    </row>
    <row r="1557" spans="1:8" x14ac:dyDescent="0.25">
      <c r="A1557" s="541" t="s">
        <v>1966</v>
      </c>
      <c r="B1557" s="1527" t="s">
        <v>1927</v>
      </c>
      <c r="C1557" s="1524"/>
      <c r="D1557" s="1528"/>
      <c r="E1557" s="576"/>
      <c r="F1557" s="1529"/>
      <c r="G1557" s="447"/>
    </row>
    <row r="1558" spans="1:8" x14ac:dyDescent="0.25">
      <c r="A1558" s="1297"/>
      <c r="B1558" s="1793" t="s">
        <v>1928</v>
      </c>
      <c r="C1558" s="1295">
        <v>32</v>
      </c>
      <c r="D1558" s="1771" t="s">
        <v>461</v>
      </c>
      <c r="E1558" s="1794">
        <v>143000</v>
      </c>
      <c r="F1558" s="1302">
        <f>E1558*C1558</f>
        <v>4576000</v>
      </c>
      <c r="G1558" s="1275"/>
    </row>
    <row r="1559" spans="1:8" ht="15.75" thickBot="1" x14ac:dyDescent="0.3">
      <c r="A1559" s="1297"/>
      <c r="B1559" s="1717" t="s">
        <v>1929</v>
      </c>
      <c r="C1559" s="1718">
        <f>C1558*2</f>
        <v>64</v>
      </c>
      <c r="D1559" s="1719" t="s">
        <v>461</v>
      </c>
      <c r="E1559" s="1720">
        <v>130000</v>
      </c>
      <c r="F1559" s="1274">
        <f>E1559*C1559</f>
        <v>8320000</v>
      </c>
      <c r="G1559" s="1275"/>
    </row>
    <row r="1560" spans="1:8" ht="15.75" thickBot="1" x14ac:dyDescent="0.3">
      <c r="A1560" s="1534"/>
      <c r="B1560" s="1915" t="s">
        <v>613</v>
      </c>
      <c r="C1560" s="1916"/>
      <c r="D1560" s="1916"/>
      <c r="E1560" s="1917"/>
      <c r="F1560" s="1525">
        <f>SUM(F1558:F1559)</f>
        <v>12896000</v>
      </c>
      <c r="G1560" s="1526"/>
      <c r="H1560" s="175"/>
    </row>
    <row r="1561" spans="1:8" x14ac:dyDescent="0.25">
      <c r="A1561" s="541" t="s">
        <v>1967</v>
      </c>
      <c r="B1561" s="1535" t="s">
        <v>1930</v>
      </c>
      <c r="C1561" s="1524"/>
      <c r="D1561" s="1528"/>
      <c r="E1561" s="576"/>
      <c r="F1561" s="1529"/>
      <c r="G1561" s="447"/>
      <c r="H1561" s="175"/>
    </row>
    <row r="1562" spans="1:8" x14ac:dyDescent="0.25">
      <c r="A1562" s="1789"/>
      <c r="B1562" s="1709" t="s">
        <v>1956</v>
      </c>
      <c r="C1562" s="1295">
        <v>306</v>
      </c>
      <c r="D1562" s="1771" t="s">
        <v>1940</v>
      </c>
      <c r="E1562" s="1620">
        <v>159000</v>
      </c>
      <c r="F1562" s="1302">
        <f t="shared" ref="F1562:F1567" si="26">E1562*C1562</f>
        <v>48654000</v>
      </c>
      <c r="G1562" s="1275"/>
      <c r="H1562" s="451"/>
    </row>
    <row r="1563" spans="1:8" x14ac:dyDescent="0.25">
      <c r="A1563" s="576"/>
      <c r="B1563" s="396" t="s">
        <v>1954</v>
      </c>
      <c r="C1563" s="392">
        <v>33</v>
      </c>
      <c r="D1563" s="393" t="s">
        <v>984</v>
      </c>
      <c r="E1563" s="399">
        <v>534000</v>
      </c>
      <c r="F1563" s="1522">
        <f t="shared" si="26"/>
        <v>17622000</v>
      </c>
      <c r="G1563" s="447"/>
      <c r="H1563" s="175"/>
    </row>
    <row r="1564" spans="1:8" x14ac:dyDescent="0.25">
      <c r="A1564" s="1789"/>
      <c r="B1564" s="1790" t="s">
        <v>1937</v>
      </c>
      <c r="C1564" s="1791">
        <v>508</v>
      </c>
      <c r="D1564" s="1300" t="s">
        <v>180</v>
      </c>
      <c r="E1564" s="1301">
        <v>3000</v>
      </c>
      <c r="F1564" s="1302">
        <f t="shared" si="26"/>
        <v>1524000</v>
      </c>
      <c r="G1564" s="1275"/>
      <c r="H1564" s="451"/>
    </row>
    <row r="1565" spans="1:8" x14ac:dyDescent="0.25">
      <c r="A1565" s="541"/>
      <c r="B1565" s="1523" t="s">
        <v>1958</v>
      </c>
      <c r="C1565" s="559">
        <v>20</v>
      </c>
      <c r="D1565" s="1520" t="s">
        <v>123</v>
      </c>
      <c r="E1565" s="1521">
        <v>105000</v>
      </c>
      <c r="F1565" s="1522">
        <f t="shared" si="26"/>
        <v>2100000</v>
      </c>
      <c r="G1565" s="447"/>
    </row>
    <row r="1566" spans="1:8" x14ac:dyDescent="0.25">
      <c r="A1566" s="1792"/>
      <c r="B1566" s="1270" t="s">
        <v>1943</v>
      </c>
      <c r="C1566" s="1271">
        <v>1</v>
      </c>
      <c r="D1566" s="1272" t="s">
        <v>123</v>
      </c>
      <c r="E1566" s="1273">
        <v>252000</v>
      </c>
      <c r="F1566" s="1274">
        <f t="shared" si="26"/>
        <v>252000</v>
      </c>
      <c r="G1566" s="1275"/>
    </row>
    <row r="1567" spans="1:8" ht="15.75" thickBot="1" x14ac:dyDescent="0.3">
      <c r="A1567" s="544"/>
      <c r="B1567" s="1536" t="s">
        <v>1944</v>
      </c>
      <c r="C1567" s="1537">
        <v>1</v>
      </c>
      <c r="D1567" s="1538" t="s">
        <v>123</v>
      </c>
      <c r="E1567" s="1539">
        <v>500000</v>
      </c>
      <c r="F1567" s="1533">
        <f t="shared" si="26"/>
        <v>500000</v>
      </c>
      <c r="G1567" s="447"/>
    </row>
    <row r="1568" spans="1:8" ht="15.75" thickBot="1" x14ac:dyDescent="0.3">
      <c r="A1568" s="1524"/>
      <c r="B1568" s="1912" t="s">
        <v>613</v>
      </c>
      <c r="C1568" s="1913"/>
      <c r="D1568" s="1913"/>
      <c r="E1568" s="1914"/>
      <c r="F1568" s="1525">
        <f>SUM(F1562:F1567)</f>
        <v>70652000</v>
      </c>
      <c r="G1568" s="1526"/>
    </row>
    <row r="1569" spans="1:20" ht="25.5" thickBot="1" x14ac:dyDescent="0.3">
      <c r="A1569" s="1524"/>
      <c r="B1569" s="1912" t="s">
        <v>27</v>
      </c>
      <c r="C1569" s="1913"/>
      <c r="D1569" s="1913"/>
      <c r="E1569" s="1914"/>
      <c r="F1569" s="1525">
        <f>F1568+F1560+F1556</f>
        <v>85218000</v>
      </c>
      <c r="G1569" s="1540" t="s">
        <v>2626</v>
      </c>
      <c r="K1569" s="1190"/>
      <c r="T1569" s="1190">
        <f>F1569</f>
        <v>85218000</v>
      </c>
    </row>
    <row r="1570" spans="1:20" x14ac:dyDescent="0.25">
      <c r="A1570" s="1807" t="s">
        <v>614</v>
      </c>
      <c r="B1570" s="1807"/>
      <c r="C1570" s="5" t="s">
        <v>28</v>
      </c>
      <c r="D1570" s="1808" t="s">
        <v>1698</v>
      </c>
      <c r="E1570" s="1808"/>
      <c r="F1570" s="1808"/>
      <c r="G1570" s="441"/>
    </row>
    <row r="1571" spans="1:20" x14ac:dyDescent="0.25">
      <c r="A1571" s="1807" t="s">
        <v>29</v>
      </c>
      <c r="B1571" s="1807"/>
      <c r="C1571" s="5"/>
      <c r="D1571" s="1809" t="s">
        <v>2990</v>
      </c>
      <c r="E1571" s="1809"/>
      <c r="F1571" s="1809"/>
      <c r="G1571" s="441"/>
    </row>
    <row r="1572" spans="1:20" x14ac:dyDescent="0.25">
      <c r="A1572" s="1"/>
      <c r="B1572" s="3"/>
      <c r="C1572" s="5"/>
      <c r="D1572" s="7"/>
      <c r="E1572" s="17"/>
      <c r="F1572" s="17"/>
      <c r="G1572" s="441"/>
    </row>
    <row r="1573" spans="1:20" x14ac:dyDescent="0.25">
      <c r="A1573" s="1"/>
      <c r="B1573" s="3"/>
      <c r="C1573" s="5"/>
      <c r="D1573" s="7"/>
      <c r="E1573" s="17"/>
      <c r="F1573" s="17"/>
      <c r="G1573" s="441"/>
    </row>
    <row r="1574" spans="1:20" x14ac:dyDescent="0.25">
      <c r="A1574" s="1807"/>
      <c r="B1574" s="1807"/>
      <c r="C1574" s="5"/>
      <c r="D1574" s="7"/>
      <c r="E1574" s="1807"/>
      <c r="F1574" s="1807"/>
      <c r="G1574" s="441"/>
    </row>
    <row r="1575" spans="1:20" x14ac:dyDescent="0.25">
      <c r="A1575" s="1807" t="s">
        <v>30</v>
      </c>
      <c r="B1575" s="1807"/>
      <c r="C1575" s="5"/>
      <c r="D1575" s="1807" t="s">
        <v>2991</v>
      </c>
      <c r="E1575" s="1807"/>
      <c r="F1575" s="1807"/>
      <c r="G1575" s="441"/>
    </row>
    <row r="1576" spans="1:20" x14ac:dyDescent="0.25">
      <c r="A1576" s="136"/>
      <c r="B1576" s="136"/>
      <c r="C1576" s="5"/>
      <c r="D1576" s="136"/>
      <c r="E1576" s="136"/>
      <c r="F1576" s="136"/>
      <c r="G1576" s="5"/>
    </row>
    <row r="1577" spans="1:20" x14ac:dyDescent="0.25">
      <c r="A1577" s="136"/>
      <c r="B1577" s="136"/>
      <c r="C1577" s="5"/>
      <c r="D1577" s="136"/>
      <c r="E1577" s="136"/>
      <c r="F1577" s="136"/>
      <c r="G1577" s="5"/>
    </row>
    <row r="1578" spans="1:20" x14ac:dyDescent="0.25">
      <c r="A1578" s="136"/>
      <c r="B1578" s="136"/>
      <c r="C1578" s="5"/>
      <c r="D1578" s="136"/>
      <c r="E1578" s="136"/>
      <c r="F1578" s="136"/>
      <c r="G1578" s="5"/>
    </row>
    <row r="1579" spans="1:20" x14ac:dyDescent="0.25">
      <c r="A1579" s="136"/>
      <c r="B1579" s="136"/>
      <c r="C1579" s="5"/>
      <c r="D1579" s="136"/>
      <c r="E1579" s="136"/>
      <c r="F1579" s="136"/>
      <c r="G1579" s="5"/>
    </row>
    <row r="1580" spans="1:20" x14ac:dyDescent="0.25">
      <c r="A1580" s="136"/>
      <c r="B1580" s="136"/>
      <c r="C1580" s="5"/>
      <c r="D1580" s="136"/>
      <c r="E1580" s="136"/>
      <c r="F1580" s="136"/>
      <c r="G1580" s="5"/>
    </row>
    <row r="1581" spans="1:20" x14ac:dyDescent="0.25">
      <c r="A1581" s="136"/>
      <c r="B1581" s="136"/>
      <c r="C1581" s="5"/>
      <c r="D1581" s="136"/>
      <c r="E1581" s="136"/>
      <c r="F1581" s="136"/>
      <c r="G1581" s="5"/>
    </row>
    <row r="1582" spans="1:20" x14ac:dyDescent="0.25">
      <c r="A1582" s="1895" t="s">
        <v>0</v>
      </c>
      <c r="B1582" s="1895"/>
      <c r="C1582" s="1895"/>
      <c r="D1582" s="1895"/>
      <c r="E1582" s="1895"/>
      <c r="F1582" s="1895"/>
      <c r="G1582" s="1895"/>
    </row>
    <row r="1583" spans="1:20" x14ac:dyDescent="0.25">
      <c r="A1583" s="1895" t="s">
        <v>1</v>
      </c>
      <c r="B1583" s="1895"/>
      <c r="C1583" s="1895"/>
      <c r="D1583" s="1895"/>
      <c r="E1583" s="1895"/>
      <c r="F1583" s="1895"/>
      <c r="G1583" s="1895"/>
    </row>
    <row r="1584" spans="1:20" x14ac:dyDescent="0.25">
      <c r="A1584" s="1895" t="s">
        <v>1697</v>
      </c>
      <c r="B1584" s="1895"/>
      <c r="C1584" s="1895"/>
      <c r="D1584" s="1895"/>
      <c r="E1584" s="1895"/>
      <c r="F1584" s="1895"/>
      <c r="G1584" s="1895"/>
    </row>
    <row r="1585" spans="1:7" x14ac:dyDescent="0.25">
      <c r="A1585" s="1667"/>
      <c r="B1585" s="1668"/>
      <c r="C1585" s="1669"/>
      <c r="D1585" s="1669"/>
      <c r="E1585" s="1670"/>
      <c r="F1585" s="1670"/>
      <c r="G1585" s="1670"/>
    </row>
    <row r="1586" spans="1:7" x14ac:dyDescent="0.25">
      <c r="A1586" s="1670" t="s">
        <v>1913</v>
      </c>
      <c r="B1586" s="1671"/>
      <c r="C1586" s="1672"/>
      <c r="D1586" s="1672"/>
      <c r="E1586" s="1673"/>
      <c r="F1586" s="1673"/>
      <c r="G1586" s="1670"/>
    </row>
    <row r="1587" spans="1:7" ht="24.75" x14ac:dyDescent="0.25">
      <c r="A1587" s="1674" t="s">
        <v>814</v>
      </c>
      <c r="B1587" s="1675" t="s">
        <v>1959</v>
      </c>
      <c r="C1587" s="1672"/>
      <c r="D1587" s="1672"/>
      <c r="E1587" s="1673" t="s">
        <v>1915</v>
      </c>
      <c r="F1587" s="1673"/>
      <c r="G1587" s="1670"/>
    </row>
    <row r="1588" spans="1:7" ht="90" x14ac:dyDescent="0.25">
      <c r="A1588" s="1676" t="s">
        <v>858</v>
      </c>
      <c r="B1588" s="1677" t="s">
        <v>2898</v>
      </c>
      <c r="C1588" s="1672"/>
      <c r="D1588" s="1672"/>
      <c r="E1588" s="1673" t="s">
        <v>1917</v>
      </c>
      <c r="F1588" s="1673"/>
      <c r="G1588" s="1674"/>
    </row>
    <row r="1589" spans="1:7" x14ac:dyDescent="0.25">
      <c r="A1589" s="1676" t="s">
        <v>1918</v>
      </c>
      <c r="B1589" s="1677" t="s">
        <v>2647</v>
      </c>
      <c r="C1589" s="1672"/>
      <c r="D1589" s="1672"/>
      <c r="E1589" s="1673"/>
      <c r="F1589" s="1673"/>
      <c r="G1589" s="1674"/>
    </row>
    <row r="1590" spans="1:7" x14ac:dyDescent="0.25">
      <c r="A1590" s="1670" t="s">
        <v>1920</v>
      </c>
      <c r="B1590" s="1671" t="s">
        <v>63</v>
      </c>
      <c r="C1590" s="1672"/>
      <c r="D1590" s="1672"/>
      <c r="E1590" s="1670"/>
      <c r="F1590" s="1670"/>
      <c r="G1590" s="1670"/>
    </row>
    <row r="1591" spans="1:7" x14ac:dyDescent="0.25">
      <c r="A1591" s="1674" t="s">
        <v>64</v>
      </c>
      <c r="B1591" s="1675" t="s">
        <v>65</v>
      </c>
      <c r="C1591" s="1672"/>
      <c r="D1591" s="1672"/>
      <c r="E1591" s="1674"/>
      <c r="F1591" s="1674"/>
      <c r="G1591" s="1674"/>
    </row>
    <row r="1592" spans="1:7" x14ac:dyDescent="0.25">
      <c r="A1592" s="68"/>
      <c r="B1592" s="77"/>
      <c r="C1592" s="1650"/>
      <c r="D1592" s="1650"/>
      <c r="E1592" s="68"/>
      <c r="F1592" s="68"/>
      <c r="G1592" s="68"/>
    </row>
    <row r="1593" spans="1:7" ht="24" x14ac:dyDescent="0.25">
      <c r="A1593" s="343" t="s">
        <v>31</v>
      </c>
      <c r="B1593" s="343" t="s">
        <v>12</v>
      </c>
      <c r="C1593" s="1896" t="s">
        <v>13</v>
      </c>
      <c r="D1593" s="1897"/>
      <c r="E1593" s="1678" t="s">
        <v>14</v>
      </c>
      <c r="F1593" s="344" t="s">
        <v>15</v>
      </c>
      <c r="G1593" s="1635" t="s">
        <v>301</v>
      </c>
    </row>
    <row r="1594" spans="1:7" x14ac:dyDescent="0.25">
      <c r="A1594" s="146">
        <v>1</v>
      </c>
      <c r="B1594" s="144">
        <v>2</v>
      </c>
      <c r="C1594" s="1801">
        <v>3</v>
      </c>
      <c r="D1594" s="1802"/>
      <c r="E1594" s="54">
        <v>4</v>
      </c>
      <c r="F1594" s="167">
        <v>5</v>
      </c>
      <c r="G1594" s="147">
        <v>7</v>
      </c>
    </row>
    <row r="1595" spans="1:7" x14ac:dyDescent="0.25">
      <c r="A1595" s="178" t="s">
        <v>2648</v>
      </c>
      <c r="B1595" s="1679" t="s">
        <v>1962</v>
      </c>
      <c r="C1595" s="1680"/>
      <c r="D1595" s="1681"/>
      <c r="E1595" s="1682"/>
      <c r="F1595" s="1683"/>
      <c r="G1595" s="147"/>
    </row>
    <row r="1596" spans="1:7" x14ac:dyDescent="0.25">
      <c r="A1596" s="178" t="s">
        <v>2649</v>
      </c>
      <c r="B1596" s="1679" t="s">
        <v>1964</v>
      </c>
      <c r="C1596" s="1680"/>
      <c r="D1596" s="1681"/>
      <c r="E1596" s="1682"/>
      <c r="F1596" s="1683"/>
      <c r="G1596" s="147"/>
    </row>
    <row r="1597" spans="1:7" ht="24" x14ac:dyDescent="0.25">
      <c r="A1597" s="178" t="s">
        <v>2650</v>
      </c>
      <c r="B1597" s="1679" t="s">
        <v>1952</v>
      </c>
      <c r="C1597" s="45"/>
      <c r="D1597" s="1681"/>
      <c r="E1597" s="1682"/>
      <c r="F1597" s="1683"/>
      <c r="G1597" s="147"/>
    </row>
    <row r="1598" spans="1:7" ht="15.75" thickBot="1" x14ac:dyDescent="0.3">
      <c r="A1598" s="180"/>
      <c r="B1598" s="1684" t="s">
        <v>2815</v>
      </c>
      <c r="C1598" s="45">
        <v>1</v>
      </c>
      <c r="D1598" s="1681" t="s">
        <v>252</v>
      </c>
      <c r="E1598" s="1683">
        <v>72000</v>
      </c>
      <c r="F1598" s="1683">
        <f>E1598*C1598</f>
        <v>72000</v>
      </c>
      <c r="G1598" s="147"/>
    </row>
    <row r="1599" spans="1:7" ht="15.75" thickBot="1" x14ac:dyDescent="0.3">
      <c r="A1599" s="256"/>
      <c r="B1599" s="1898" t="s">
        <v>613</v>
      </c>
      <c r="C1599" s="1899"/>
      <c r="D1599" s="1899"/>
      <c r="E1599" s="1900"/>
      <c r="F1599" s="1685">
        <f>SUM(F1598:F1598)</f>
        <v>72000</v>
      </c>
      <c r="G1599" s="147"/>
    </row>
    <row r="1600" spans="1:7" x14ac:dyDescent="0.25">
      <c r="A1600" s="178" t="s">
        <v>2651</v>
      </c>
      <c r="B1600" s="1686" t="s">
        <v>1927</v>
      </c>
      <c r="C1600" s="293"/>
      <c r="D1600" s="294"/>
      <c r="E1600" s="256"/>
      <c r="F1600" s="1687"/>
      <c r="G1600" s="147"/>
    </row>
    <row r="1601" spans="1:21" ht="15.75" thickBot="1" x14ac:dyDescent="0.3">
      <c r="A1601" s="178"/>
      <c r="B1601" s="1688" t="s">
        <v>1929</v>
      </c>
      <c r="C1601" s="1689">
        <v>28</v>
      </c>
      <c r="D1601" s="171" t="s">
        <v>461</v>
      </c>
      <c r="E1601" s="1690">
        <v>130000</v>
      </c>
      <c r="F1601" s="1691">
        <f>E1601*C1601</f>
        <v>3640000</v>
      </c>
      <c r="G1601" s="147"/>
    </row>
    <row r="1602" spans="1:21" ht="15.75" thickBot="1" x14ac:dyDescent="0.3">
      <c r="A1602" s="1692"/>
      <c r="B1602" s="1901" t="s">
        <v>613</v>
      </c>
      <c r="C1602" s="1902"/>
      <c r="D1602" s="1902"/>
      <c r="E1602" s="1903"/>
      <c r="F1602" s="1685">
        <f>SUM(F1601:F1601)</f>
        <v>3640000</v>
      </c>
      <c r="G1602" s="1651"/>
      <c r="H1602" s="175"/>
    </row>
    <row r="1603" spans="1:21" ht="15.75" thickBot="1" x14ac:dyDescent="0.3">
      <c r="A1603" s="180"/>
      <c r="B1603" s="1693"/>
      <c r="C1603" s="1694"/>
      <c r="D1603" s="1695"/>
      <c r="E1603" s="1696"/>
      <c r="F1603" s="1691"/>
      <c r="G1603" s="147"/>
      <c r="H1603" s="175"/>
    </row>
    <row r="1604" spans="1:21" ht="15.75" thickBot="1" x14ac:dyDescent="0.3">
      <c r="A1604" s="293"/>
      <c r="B1604" s="1898" t="s">
        <v>27</v>
      </c>
      <c r="C1604" s="1899"/>
      <c r="D1604" s="1899"/>
      <c r="E1604" s="1900"/>
      <c r="F1604" s="1685">
        <f>F1602+F1599</f>
        <v>3712000</v>
      </c>
      <c r="G1604" s="1651" t="s">
        <v>2626</v>
      </c>
      <c r="J1604" s="1190"/>
      <c r="S1604" s="1190"/>
      <c r="T1604" s="1190">
        <f>F1604</f>
        <v>3712000</v>
      </c>
      <c r="U1604" s="1190"/>
    </row>
    <row r="1605" spans="1:21" x14ac:dyDescent="0.25">
      <c r="A1605" s="1807" t="s">
        <v>614</v>
      </c>
      <c r="B1605" s="1807"/>
      <c r="C1605" s="5" t="s">
        <v>28</v>
      </c>
      <c r="D1605" s="1808" t="s">
        <v>1698</v>
      </c>
      <c r="E1605" s="1808"/>
      <c r="F1605" s="1808"/>
      <c r="G1605" s="441"/>
    </row>
    <row r="1606" spans="1:21" x14ac:dyDescent="0.25">
      <c r="A1606" s="1807" t="s">
        <v>29</v>
      </c>
      <c r="B1606" s="1807"/>
      <c r="C1606" s="5"/>
      <c r="D1606" s="1809" t="s">
        <v>2990</v>
      </c>
      <c r="E1606" s="1809"/>
      <c r="F1606" s="1809"/>
      <c r="G1606" s="441"/>
    </row>
    <row r="1607" spans="1:21" x14ac:dyDescent="0.25">
      <c r="A1607" s="1"/>
      <c r="B1607" s="3"/>
      <c r="C1607" s="5"/>
      <c r="D1607" s="7"/>
      <c r="E1607" s="17"/>
      <c r="F1607" s="17"/>
      <c r="G1607" s="441"/>
    </row>
    <row r="1608" spans="1:21" x14ac:dyDescent="0.25">
      <c r="A1608" s="1"/>
      <c r="B1608" s="3"/>
      <c r="C1608" s="5"/>
      <c r="D1608" s="7"/>
      <c r="E1608" s="17"/>
      <c r="F1608" s="17"/>
      <c r="G1608" s="441"/>
    </row>
    <row r="1609" spans="1:21" x14ac:dyDescent="0.25">
      <c r="A1609" s="1807"/>
      <c r="B1609" s="1807"/>
      <c r="C1609" s="5"/>
      <c r="D1609" s="7"/>
      <c r="E1609" s="1807"/>
      <c r="F1609" s="1807"/>
      <c r="G1609" s="441"/>
    </row>
    <row r="1610" spans="1:21" x14ac:dyDescent="0.25">
      <c r="A1610" s="1807" t="s">
        <v>30</v>
      </c>
      <c r="B1610" s="1807"/>
      <c r="C1610" s="5"/>
      <c r="D1610" s="1807" t="s">
        <v>2991</v>
      </c>
      <c r="E1610" s="1807"/>
      <c r="F1610" s="1807"/>
      <c r="G1610" s="441"/>
    </row>
    <row r="1616" spans="1:21" x14ac:dyDescent="0.25">
      <c r="A1616" s="1895" t="s">
        <v>1968</v>
      </c>
      <c r="B1616" s="1895"/>
      <c r="C1616" s="1895"/>
      <c r="D1616" s="1895"/>
      <c r="E1616" s="1895"/>
      <c r="F1616" s="1895"/>
      <c r="G1616" s="1895"/>
    </row>
    <row r="1617" spans="1:7" x14ac:dyDescent="0.25">
      <c r="A1617" s="1895" t="s">
        <v>1</v>
      </c>
      <c r="B1617" s="1895"/>
      <c r="C1617" s="1895"/>
      <c r="D1617" s="1895"/>
      <c r="E1617" s="1895"/>
      <c r="F1617" s="1895"/>
      <c r="G1617" s="1895"/>
    </row>
    <row r="1618" spans="1:7" x14ac:dyDescent="0.25">
      <c r="A1618" s="1895" t="s">
        <v>1697</v>
      </c>
      <c r="B1618" s="1895"/>
      <c r="C1618" s="1895"/>
      <c r="D1618" s="1895"/>
      <c r="E1618" s="1895"/>
      <c r="F1618" s="1895"/>
      <c r="G1618" s="1895"/>
    </row>
    <row r="1619" spans="1:7" x14ac:dyDescent="0.25">
      <c r="A1619" s="1667"/>
      <c r="B1619" s="1668"/>
      <c r="C1619" s="1669"/>
      <c r="D1619" s="1669"/>
      <c r="E1619" s="1670"/>
      <c r="F1619" s="1670"/>
      <c r="G1619" s="1670"/>
    </row>
    <row r="1620" spans="1:7" x14ac:dyDescent="0.25">
      <c r="A1620" s="1670" t="s">
        <v>1913</v>
      </c>
      <c r="B1620" s="1671"/>
      <c r="C1620" s="1672"/>
      <c r="D1620" s="1672"/>
      <c r="E1620" s="1673"/>
      <c r="F1620" s="1673"/>
      <c r="G1620" s="1670"/>
    </row>
    <row r="1621" spans="1:7" ht="24.75" x14ac:dyDescent="0.25">
      <c r="A1621" s="1674" t="s">
        <v>814</v>
      </c>
      <c r="B1621" s="1675" t="s">
        <v>1959</v>
      </c>
      <c r="C1621" s="1672"/>
      <c r="D1621" s="1672"/>
      <c r="E1621" s="1673" t="s">
        <v>1915</v>
      </c>
      <c r="F1621" s="1673"/>
      <c r="G1621" s="1670"/>
    </row>
    <row r="1622" spans="1:7" ht="90" x14ac:dyDescent="0.25">
      <c r="A1622" s="1676" t="s">
        <v>858</v>
      </c>
      <c r="B1622" s="1677" t="s">
        <v>2899</v>
      </c>
      <c r="C1622" s="1672"/>
      <c r="D1622" s="1672"/>
      <c r="E1622" s="1673" t="s">
        <v>1917</v>
      </c>
      <c r="F1622" s="1673"/>
      <c r="G1622" s="1674"/>
    </row>
    <row r="1623" spans="1:7" x14ac:dyDescent="0.25">
      <c r="A1623" s="1676" t="s">
        <v>1918</v>
      </c>
      <c r="B1623" s="1677" t="s">
        <v>2652</v>
      </c>
      <c r="C1623" s="1672"/>
      <c r="D1623" s="1672"/>
      <c r="E1623" s="1673"/>
      <c r="F1623" s="1673"/>
      <c r="G1623" s="1674"/>
    </row>
    <row r="1624" spans="1:7" x14ac:dyDescent="0.25">
      <c r="A1624" s="1670" t="s">
        <v>1920</v>
      </c>
      <c r="B1624" s="1671" t="s">
        <v>63</v>
      </c>
      <c r="C1624" s="1672"/>
      <c r="D1624" s="1672"/>
      <c r="E1624" s="1670"/>
      <c r="F1624" s="1670"/>
      <c r="G1624" s="1670"/>
    </row>
    <row r="1625" spans="1:7" x14ac:dyDescent="0.25">
      <c r="A1625" s="1674" t="s">
        <v>64</v>
      </c>
      <c r="B1625" s="1675" t="s">
        <v>65</v>
      </c>
      <c r="C1625" s="1672"/>
      <c r="D1625" s="1672"/>
      <c r="E1625" s="1674"/>
      <c r="F1625" s="1674"/>
      <c r="G1625" s="1674"/>
    </row>
    <row r="1626" spans="1:7" x14ac:dyDescent="0.25">
      <c r="A1626" s="68"/>
      <c r="B1626" s="77"/>
      <c r="C1626" s="1650"/>
      <c r="D1626" s="1650"/>
      <c r="E1626" s="68"/>
      <c r="F1626" s="68"/>
      <c r="G1626" s="68"/>
    </row>
    <row r="1627" spans="1:7" ht="24" x14ac:dyDescent="0.25">
      <c r="A1627" s="343" t="s">
        <v>31</v>
      </c>
      <c r="B1627" s="343" t="s">
        <v>12</v>
      </c>
      <c r="C1627" s="1896" t="s">
        <v>13</v>
      </c>
      <c r="D1627" s="1897"/>
      <c r="E1627" s="1678" t="s">
        <v>14</v>
      </c>
      <c r="F1627" s="344" t="s">
        <v>15</v>
      </c>
      <c r="G1627" s="1635" t="s">
        <v>301</v>
      </c>
    </row>
    <row r="1628" spans="1:7" x14ac:dyDescent="0.25">
      <c r="A1628" s="146">
        <v>1</v>
      </c>
      <c r="B1628" s="144">
        <v>2</v>
      </c>
      <c r="C1628" s="1801">
        <v>3</v>
      </c>
      <c r="D1628" s="1802"/>
      <c r="E1628" s="54">
        <v>4</v>
      </c>
      <c r="F1628" s="167">
        <v>5</v>
      </c>
      <c r="G1628" s="147">
        <v>7</v>
      </c>
    </row>
    <row r="1629" spans="1:7" x14ac:dyDescent="0.25">
      <c r="A1629" s="178" t="s">
        <v>2648</v>
      </c>
      <c r="B1629" s="1679" t="s">
        <v>1962</v>
      </c>
      <c r="C1629" s="1680"/>
      <c r="D1629" s="1681"/>
      <c r="E1629" s="1682"/>
      <c r="F1629" s="1683"/>
      <c r="G1629" s="147"/>
    </row>
    <row r="1630" spans="1:7" x14ac:dyDescent="0.25">
      <c r="A1630" s="178" t="s">
        <v>2649</v>
      </c>
      <c r="B1630" s="1679" t="s">
        <v>1964</v>
      </c>
      <c r="C1630" s="1680"/>
      <c r="D1630" s="1681"/>
      <c r="E1630" s="1682"/>
      <c r="F1630" s="1683"/>
      <c r="G1630" s="147"/>
    </row>
    <row r="1631" spans="1:7" ht="24" x14ac:dyDescent="0.25">
      <c r="A1631" s="178" t="s">
        <v>2650</v>
      </c>
      <c r="B1631" s="1679" t="s">
        <v>1952</v>
      </c>
      <c r="C1631" s="45"/>
      <c r="D1631" s="1681"/>
      <c r="E1631" s="1682"/>
      <c r="F1631" s="1683"/>
      <c r="G1631" s="147"/>
    </row>
    <row r="1632" spans="1:7" ht="15.75" thickBot="1" x14ac:dyDescent="0.3">
      <c r="A1632" s="180"/>
      <c r="B1632" s="1684" t="s">
        <v>2251</v>
      </c>
      <c r="C1632" s="45">
        <v>1</v>
      </c>
      <c r="D1632" s="1681" t="s">
        <v>520</v>
      </c>
      <c r="E1632" s="1683">
        <v>1076000</v>
      </c>
      <c r="F1632" s="1683">
        <f>E1632*C1632</f>
        <v>1076000</v>
      </c>
      <c r="G1632" s="147"/>
    </row>
    <row r="1633" spans="1:20" ht="15.75" thickBot="1" x14ac:dyDescent="0.3">
      <c r="A1633" s="256"/>
      <c r="B1633" s="1898" t="s">
        <v>613</v>
      </c>
      <c r="C1633" s="1899"/>
      <c r="D1633" s="1899"/>
      <c r="E1633" s="1900"/>
      <c r="F1633" s="1685">
        <f>SUM(F1632:F1632)</f>
        <v>1076000</v>
      </c>
      <c r="G1633" s="147"/>
    </row>
    <row r="1634" spans="1:20" x14ac:dyDescent="0.25">
      <c r="A1634" s="178" t="s">
        <v>2651</v>
      </c>
      <c r="B1634" s="1686" t="s">
        <v>1927</v>
      </c>
      <c r="C1634" s="293"/>
      <c r="D1634" s="294"/>
      <c r="E1634" s="256"/>
      <c r="F1634" s="1687"/>
      <c r="G1634" s="147"/>
    </row>
    <row r="1635" spans="1:20" x14ac:dyDescent="0.25">
      <c r="A1635" s="178"/>
      <c r="B1635" s="1688" t="s">
        <v>1929</v>
      </c>
      <c r="C1635" s="1689">
        <v>9</v>
      </c>
      <c r="D1635" s="171" t="s">
        <v>461</v>
      </c>
      <c r="E1635" s="1690">
        <v>130000</v>
      </c>
      <c r="F1635" s="1691">
        <f>E1635*C1635</f>
        <v>1170000</v>
      </c>
      <c r="G1635" s="147"/>
    </row>
    <row r="1636" spans="1:20" ht="15.75" thickBot="1" x14ac:dyDescent="0.3">
      <c r="A1636" s="178"/>
      <c r="B1636" s="1688"/>
      <c r="C1636" s="1689"/>
      <c r="D1636" s="171"/>
      <c r="E1636" s="1690"/>
      <c r="F1636" s="1691"/>
      <c r="G1636" s="147"/>
    </row>
    <row r="1637" spans="1:20" ht="15.75" thickBot="1" x14ac:dyDescent="0.3">
      <c r="A1637" s="1692"/>
      <c r="B1637" s="1901" t="s">
        <v>613</v>
      </c>
      <c r="C1637" s="1902"/>
      <c r="D1637" s="1902"/>
      <c r="E1637" s="1903"/>
      <c r="F1637" s="1685">
        <f>SUM(F1635:F1636)</f>
        <v>1170000</v>
      </c>
      <c r="G1637" s="1651"/>
    </row>
    <row r="1638" spans="1:20" x14ac:dyDescent="0.25">
      <c r="A1638" s="178" t="s">
        <v>2653</v>
      </c>
      <c r="B1638" s="149" t="s">
        <v>1930</v>
      </c>
      <c r="C1638" s="293"/>
      <c r="D1638" s="294"/>
      <c r="E1638" s="256"/>
      <c r="F1638" s="1687"/>
      <c r="G1638" s="147"/>
    </row>
    <row r="1639" spans="1:20" ht="16.5" x14ac:dyDescent="0.25">
      <c r="A1639" s="233"/>
      <c r="B1639" s="1697" t="s">
        <v>2261</v>
      </c>
      <c r="C1639" s="293">
        <v>186</v>
      </c>
      <c r="D1639" s="294" t="s">
        <v>984</v>
      </c>
      <c r="E1639" s="1698">
        <v>283000</v>
      </c>
      <c r="F1639" s="1687">
        <f t="shared" ref="F1639" si="27">E1639*C1639</f>
        <v>52638000</v>
      </c>
      <c r="G1639" s="147"/>
    </row>
    <row r="1640" spans="1:20" x14ac:dyDescent="0.25">
      <c r="A1640" s="233"/>
      <c r="B1640" s="153"/>
      <c r="C1640" s="293"/>
      <c r="D1640" s="294"/>
      <c r="E1640" s="1698"/>
      <c r="F1640" s="1687"/>
      <c r="G1640" s="147"/>
    </row>
    <row r="1641" spans="1:20" ht="17.25" thickBot="1" x14ac:dyDescent="0.3">
      <c r="A1641" s="233"/>
      <c r="B1641" s="1699"/>
      <c r="C1641" s="293"/>
      <c r="D1641" s="294"/>
      <c r="E1641" s="1698"/>
      <c r="F1641" s="1687"/>
      <c r="G1641" s="147"/>
    </row>
    <row r="1642" spans="1:20" ht="15.75" thickBot="1" x14ac:dyDescent="0.3">
      <c r="A1642" s="293"/>
      <c r="B1642" s="1898" t="s">
        <v>613</v>
      </c>
      <c r="C1642" s="1899"/>
      <c r="D1642" s="1899"/>
      <c r="E1642" s="1900"/>
      <c r="F1642" s="1685">
        <f>SUM(F1639:F1641)</f>
        <v>52638000</v>
      </c>
      <c r="G1642" s="1651"/>
      <c r="H1642" s="175"/>
    </row>
    <row r="1643" spans="1:20" ht="15.75" thickBot="1" x14ac:dyDescent="0.3">
      <c r="A1643" s="293"/>
      <c r="B1643" s="1898" t="s">
        <v>27</v>
      </c>
      <c r="C1643" s="1899"/>
      <c r="D1643" s="1899"/>
      <c r="E1643" s="1900"/>
      <c r="F1643" s="1685">
        <f>F1642+F1637+F1633</f>
        <v>54884000</v>
      </c>
      <c r="G1643" s="1651" t="s">
        <v>2626</v>
      </c>
      <c r="H1643" s="175"/>
      <c r="J1643" s="1190"/>
      <c r="K1643" s="1190"/>
      <c r="S1643" s="1190"/>
      <c r="T1643" s="1190">
        <f>F1643</f>
        <v>54884000</v>
      </c>
    </row>
    <row r="1644" spans="1:20" x14ac:dyDescent="0.25">
      <c r="A1644" s="1807" t="s">
        <v>614</v>
      </c>
      <c r="B1644" s="1807"/>
      <c r="C1644" s="5" t="s">
        <v>28</v>
      </c>
      <c r="D1644" s="1808" t="s">
        <v>1698</v>
      </c>
      <c r="E1644" s="1808"/>
      <c r="F1644" s="1808"/>
      <c r="G1644" s="441"/>
    </row>
    <row r="1645" spans="1:20" x14ac:dyDescent="0.25">
      <c r="A1645" s="1807" t="s">
        <v>29</v>
      </c>
      <c r="B1645" s="1807"/>
      <c r="C1645" s="5"/>
      <c r="D1645" s="1809" t="s">
        <v>2990</v>
      </c>
      <c r="E1645" s="1809"/>
      <c r="F1645" s="1809"/>
      <c r="G1645" s="441"/>
    </row>
    <row r="1646" spans="1:20" x14ac:dyDescent="0.25">
      <c r="A1646" s="1"/>
      <c r="B1646" s="3"/>
      <c r="C1646" s="5"/>
      <c r="D1646" s="7"/>
      <c r="E1646" s="17"/>
      <c r="F1646" s="17"/>
      <c r="G1646" s="441"/>
    </row>
    <row r="1647" spans="1:20" x14ac:dyDescent="0.25">
      <c r="A1647" s="1"/>
      <c r="B1647" s="3"/>
      <c r="C1647" s="5"/>
      <c r="D1647" s="7"/>
      <c r="E1647" s="17"/>
      <c r="F1647" s="17"/>
      <c r="G1647" s="441"/>
    </row>
    <row r="1648" spans="1:20" x14ac:dyDescent="0.25">
      <c r="A1648" s="1807"/>
      <c r="B1648" s="1807"/>
      <c r="C1648" s="5"/>
      <c r="D1648" s="7"/>
      <c r="E1648" s="1807"/>
      <c r="F1648" s="1807"/>
      <c r="G1648" s="441"/>
    </row>
    <row r="1649" spans="1:7" x14ac:dyDescent="0.25">
      <c r="A1649" s="1807" t="s">
        <v>30</v>
      </c>
      <c r="B1649" s="1807"/>
      <c r="C1649" s="5"/>
      <c r="D1649" s="1807" t="s">
        <v>2991</v>
      </c>
      <c r="E1649" s="1807"/>
      <c r="F1649" s="1807"/>
      <c r="G1649" s="441"/>
    </row>
    <row r="1655" spans="1:7" x14ac:dyDescent="0.25">
      <c r="A1655" s="1895" t="s">
        <v>0</v>
      </c>
      <c r="B1655" s="1895"/>
      <c r="C1655" s="1895"/>
      <c r="D1655" s="1895"/>
      <c r="E1655" s="1895"/>
      <c r="F1655" s="1895"/>
      <c r="G1655" s="1895"/>
    </row>
    <row r="1656" spans="1:7" x14ac:dyDescent="0.25">
      <c r="A1656" s="1895" t="s">
        <v>1</v>
      </c>
      <c r="B1656" s="1895"/>
      <c r="C1656" s="1895"/>
      <c r="D1656" s="1895"/>
      <c r="E1656" s="1895"/>
      <c r="F1656" s="1895"/>
      <c r="G1656" s="1895"/>
    </row>
    <row r="1657" spans="1:7" x14ac:dyDescent="0.25">
      <c r="A1657" s="1895" t="s">
        <v>1697</v>
      </c>
      <c r="B1657" s="1895"/>
      <c r="C1657" s="1895"/>
      <c r="D1657" s="1895"/>
      <c r="E1657" s="1895"/>
      <c r="F1657" s="1895"/>
      <c r="G1657" s="1895"/>
    </row>
    <row r="1658" spans="1:7" x14ac:dyDescent="0.25">
      <c r="A1658" s="1667"/>
      <c r="B1658" s="1668"/>
      <c r="C1658" s="1669"/>
      <c r="D1658" s="1669"/>
      <c r="E1658" s="1670"/>
      <c r="F1658" s="1670"/>
      <c r="G1658" s="1670"/>
    </row>
    <row r="1659" spans="1:7" x14ac:dyDescent="0.25">
      <c r="A1659" s="1670" t="s">
        <v>1913</v>
      </c>
      <c r="B1659" s="1671"/>
      <c r="C1659" s="1672"/>
      <c r="D1659" s="1672"/>
      <c r="E1659" s="1673"/>
      <c r="F1659" s="1673"/>
      <c r="G1659" s="1670"/>
    </row>
    <row r="1660" spans="1:7" ht="24.75" x14ac:dyDescent="0.25">
      <c r="A1660" s="1674" t="s">
        <v>814</v>
      </c>
      <c r="B1660" s="1675" t="s">
        <v>1959</v>
      </c>
      <c r="C1660" s="1672"/>
      <c r="D1660" s="1672"/>
      <c r="E1660" s="1673" t="s">
        <v>1915</v>
      </c>
      <c r="F1660" s="1673"/>
      <c r="G1660" s="1670"/>
    </row>
    <row r="1661" spans="1:7" ht="75" x14ac:dyDescent="0.25">
      <c r="A1661" s="1676" t="s">
        <v>858</v>
      </c>
      <c r="B1661" s="1677" t="s">
        <v>2900</v>
      </c>
      <c r="C1661" s="1672"/>
      <c r="D1661" s="1672"/>
      <c r="E1661" s="1673" t="s">
        <v>1917</v>
      </c>
      <c r="F1661" s="1673"/>
      <c r="G1661" s="1674"/>
    </row>
    <row r="1662" spans="1:7" x14ac:dyDescent="0.25">
      <c r="A1662" s="1676" t="s">
        <v>1918</v>
      </c>
      <c r="B1662" s="1677" t="s">
        <v>2654</v>
      </c>
      <c r="C1662" s="1672"/>
      <c r="D1662" s="1672"/>
      <c r="E1662" s="1673"/>
      <c r="F1662" s="1673"/>
      <c r="G1662" s="1674"/>
    </row>
    <row r="1663" spans="1:7" x14ac:dyDescent="0.25">
      <c r="A1663" s="1670" t="s">
        <v>1920</v>
      </c>
      <c r="B1663" s="1671" t="s">
        <v>63</v>
      </c>
      <c r="C1663" s="1672"/>
      <c r="D1663" s="1672"/>
      <c r="E1663" s="1670"/>
      <c r="F1663" s="1670"/>
      <c r="G1663" s="1670"/>
    </row>
    <row r="1664" spans="1:7" x14ac:dyDescent="0.25">
      <c r="A1664" s="1674" t="s">
        <v>64</v>
      </c>
      <c r="B1664" s="1675" t="s">
        <v>65</v>
      </c>
      <c r="C1664" s="1672"/>
      <c r="D1664" s="1672"/>
      <c r="E1664" s="1674"/>
      <c r="F1664" s="1674"/>
      <c r="G1664" s="1674"/>
    </row>
    <row r="1665" spans="1:19" x14ac:dyDescent="0.25">
      <c r="A1665" s="68"/>
      <c r="B1665" s="77"/>
      <c r="C1665" s="1650"/>
      <c r="D1665" s="1650"/>
      <c r="E1665" s="68"/>
      <c r="F1665" s="68"/>
      <c r="G1665" s="68"/>
    </row>
    <row r="1666" spans="1:19" ht="24" x14ac:dyDescent="0.25">
      <c r="A1666" s="343" t="s">
        <v>31</v>
      </c>
      <c r="B1666" s="343" t="s">
        <v>12</v>
      </c>
      <c r="C1666" s="1896" t="s">
        <v>13</v>
      </c>
      <c r="D1666" s="1897"/>
      <c r="E1666" s="1678" t="s">
        <v>14</v>
      </c>
      <c r="F1666" s="344" t="s">
        <v>15</v>
      </c>
      <c r="G1666" s="1635" t="s">
        <v>301</v>
      </c>
    </row>
    <row r="1667" spans="1:19" x14ac:dyDescent="0.25">
      <c r="A1667" s="146">
        <v>1</v>
      </c>
      <c r="B1667" s="144">
        <v>2</v>
      </c>
      <c r="C1667" s="1801">
        <v>3</v>
      </c>
      <c r="D1667" s="1802"/>
      <c r="E1667" s="54">
        <v>4</v>
      </c>
      <c r="F1667" s="167">
        <v>5</v>
      </c>
      <c r="G1667" s="147">
        <v>7</v>
      </c>
    </row>
    <row r="1668" spans="1:19" x14ac:dyDescent="0.25">
      <c r="A1668" s="178" t="s">
        <v>2648</v>
      </c>
      <c r="B1668" s="1679" t="s">
        <v>1962</v>
      </c>
      <c r="C1668" s="1680"/>
      <c r="D1668" s="1681"/>
      <c r="E1668" s="1682"/>
      <c r="F1668" s="1683"/>
      <c r="G1668" s="147"/>
    </row>
    <row r="1669" spans="1:19" x14ac:dyDescent="0.25">
      <c r="A1669" s="178" t="s">
        <v>2649</v>
      </c>
      <c r="B1669" s="1679" t="s">
        <v>1964</v>
      </c>
      <c r="C1669" s="1680"/>
      <c r="D1669" s="1681"/>
      <c r="E1669" s="1682"/>
      <c r="F1669" s="1683"/>
      <c r="G1669" s="147"/>
    </row>
    <row r="1670" spans="1:19" ht="24" x14ac:dyDescent="0.25">
      <c r="A1670" s="178" t="s">
        <v>2650</v>
      </c>
      <c r="B1670" s="1679" t="s">
        <v>1952</v>
      </c>
      <c r="C1670" s="45"/>
      <c r="D1670" s="1681"/>
      <c r="E1670" s="1682"/>
      <c r="F1670" s="1683"/>
      <c r="G1670" s="147"/>
    </row>
    <row r="1671" spans="1:19" ht="15.75" thickBot="1" x14ac:dyDescent="0.3">
      <c r="A1671" s="180"/>
      <c r="B1671" s="1684" t="s">
        <v>2815</v>
      </c>
      <c r="C1671" s="45">
        <v>1</v>
      </c>
      <c r="D1671" s="1681" t="s">
        <v>520</v>
      </c>
      <c r="E1671" s="1682">
        <v>212000</v>
      </c>
      <c r="F1671" s="1683">
        <f>E1671*C1671</f>
        <v>212000</v>
      </c>
      <c r="G1671" s="147"/>
    </row>
    <row r="1672" spans="1:19" ht="15.75" thickBot="1" x14ac:dyDescent="0.3">
      <c r="A1672" s="256"/>
      <c r="B1672" s="1898" t="s">
        <v>613</v>
      </c>
      <c r="C1672" s="1899"/>
      <c r="D1672" s="1899"/>
      <c r="E1672" s="1900"/>
      <c r="F1672" s="1685">
        <f>SUM(F1671:F1671)</f>
        <v>212000</v>
      </c>
      <c r="G1672" s="147"/>
    </row>
    <row r="1673" spans="1:19" x14ac:dyDescent="0.25">
      <c r="A1673" s="178" t="s">
        <v>2651</v>
      </c>
      <c r="B1673" s="1686" t="s">
        <v>1927</v>
      </c>
      <c r="C1673" s="293"/>
      <c r="D1673" s="294"/>
      <c r="E1673" s="256"/>
      <c r="F1673" s="1687"/>
      <c r="G1673" s="147"/>
    </row>
    <row r="1674" spans="1:19" ht="15.75" thickBot="1" x14ac:dyDescent="0.3">
      <c r="A1674" s="178"/>
      <c r="B1674" s="1688" t="s">
        <v>1929</v>
      </c>
      <c r="C1674" s="1689">
        <v>12</v>
      </c>
      <c r="D1674" s="171" t="s">
        <v>461</v>
      </c>
      <c r="E1674" s="1690">
        <v>130000</v>
      </c>
      <c r="F1674" s="1691">
        <f>E1674*C1674</f>
        <v>1560000</v>
      </c>
      <c r="G1674" s="147"/>
    </row>
    <row r="1675" spans="1:19" ht="15.75" thickBot="1" x14ac:dyDescent="0.3">
      <c r="A1675" s="1692"/>
      <c r="B1675" s="1901" t="s">
        <v>613</v>
      </c>
      <c r="C1675" s="1902"/>
      <c r="D1675" s="1902"/>
      <c r="E1675" s="1903"/>
      <c r="F1675" s="1685">
        <f>SUM(F1674:F1674)</f>
        <v>1560000</v>
      </c>
      <c r="G1675" s="1651"/>
      <c r="H1675" s="175"/>
    </row>
    <row r="1676" spans="1:19" x14ac:dyDescent="0.25">
      <c r="A1676" s="178" t="s">
        <v>2653</v>
      </c>
      <c r="B1676" s="149" t="s">
        <v>1930</v>
      </c>
      <c r="C1676" s="293"/>
      <c r="D1676" s="294"/>
      <c r="E1676" s="256"/>
      <c r="F1676" s="1687"/>
      <c r="G1676" s="147"/>
      <c r="H1676" s="175"/>
    </row>
    <row r="1677" spans="1:19" x14ac:dyDescent="0.25">
      <c r="A1677" s="233"/>
      <c r="B1677" s="153" t="s">
        <v>1954</v>
      </c>
      <c r="C1677" s="293">
        <v>17</v>
      </c>
      <c r="D1677" s="294" t="s">
        <v>984</v>
      </c>
      <c r="E1677" s="1698">
        <v>534000</v>
      </c>
      <c r="F1677" s="1687">
        <f>E1677*C1677</f>
        <v>9078000</v>
      </c>
      <c r="G1677" s="147"/>
    </row>
    <row r="1678" spans="1:19" ht="15.75" thickBot="1" x14ac:dyDescent="0.3">
      <c r="A1678" s="180"/>
      <c r="B1678" s="1693"/>
      <c r="C1678" s="1694"/>
      <c r="D1678" s="1695"/>
      <c r="E1678" s="1696"/>
      <c r="F1678" s="1691"/>
      <c r="G1678" s="147"/>
    </row>
    <row r="1679" spans="1:19" ht="15.75" thickBot="1" x14ac:dyDescent="0.3">
      <c r="A1679" s="293"/>
      <c r="B1679" s="1898" t="s">
        <v>613</v>
      </c>
      <c r="C1679" s="1899"/>
      <c r="D1679" s="1899"/>
      <c r="E1679" s="1900"/>
      <c r="F1679" s="1685">
        <f>SUM(F1677:F1677)</f>
        <v>9078000</v>
      </c>
      <c r="G1679" s="1651"/>
    </row>
    <row r="1680" spans="1:19" ht="15.75" thickBot="1" x14ac:dyDescent="0.3">
      <c r="A1680" s="293"/>
      <c r="B1680" s="1898" t="s">
        <v>27</v>
      </c>
      <c r="C1680" s="1899"/>
      <c r="D1680" s="1899"/>
      <c r="E1680" s="1900"/>
      <c r="F1680" s="1685">
        <f>F1679+F1675+F1672</f>
        <v>10850000</v>
      </c>
      <c r="G1680" s="1651" t="s">
        <v>1682</v>
      </c>
      <c r="J1680" s="1190"/>
      <c r="K1680" s="1190">
        <f>F1680</f>
        <v>10850000</v>
      </c>
      <c r="S1680" s="1190"/>
    </row>
    <row r="1681" spans="1:7" x14ac:dyDescent="0.25">
      <c r="A1681" s="1807" t="s">
        <v>614</v>
      </c>
      <c r="B1681" s="1807"/>
      <c r="C1681" s="5" t="s">
        <v>28</v>
      </c>
      <c r="D1681" s="1808" t="s">
        <v>1698</v>
      </c>
      <c r="E1681" s="1808"/>
      <c r="F1681" s="1808"/>
      <c r="G1681" s="441"/>
    </row>
    <row r="1682" spans="1:7" x14ac:dyDescent="0.25">
      <c r="A1682" s="1807" t="s">
        <v>29</v>
      </c>
      <c r="B1682" s="1807"/>
      <c r="C1682" s="5"/>
      <c r="D1682" s="1809" t="s">
        <v>2990</v>
      </c>
      <c r="E1682" s="1809"/>
      <c r="F1682" s="1809"/>
      <c r="G1682" s="441"/>
    </row>
    <row r="1683" spans="1:7" x14ac:dyDescent="0.25">
      <c r="A1683" s="1"/>
      <c r="B1683" s="3"/>
      <c r="C1683" s="5"/>
      <c r="D1683" s="7"/>
      <c r="E1683" s="17"/>
      <c r="F1683" s="17"/>
      <c r="G1683" s="441"/>
    </row>
    <row r="1684" spans="1:7" x14ac:dyDescent="0.25">
      <c r="A1684" s="1"/>
      <c r="B1684" s="3"/>
      <c r="C1684" s="5"/>
      <c r="D1684" s="7"/>
      <c r="E1684" s="17"/>
      <c r="F1684" s="17"/>
      <c r="G1684" s="441"/>
    </row>
    <row r="1685" spans="1:7" x14ac:dyDescent="0.25">
      <c r="A1685" s="1807"/>
      <c r="B1685" s="1807"/>
      <c r="C1685" s="5"/>
      <c r="D1685" s="7"/>
      <c r="E1685" s="1807"/>
      <c r="F1685" s="1807"/>
      <c r="G1685" s="441"/>
    </row>
    <row r="1686" spans="1:7" x14ac:dyDescent="0.25">
      <c r="A1686" s="1807" t="s">
        <v>30</v>
      </c>
      <c r="B1686" s="1807"/>
      <c r="C1686" s="5"/>
      <c r="D1686" s="1807" t="s">
        <v>2991</v>
      </c>
      <c r="E1686" s="1807"/>
      <c r="F1686" s="1807"/>
      <c r="G1686" s="441"/>
    </row>
    <row r="1688" spans="1:7" x14ac:dyDescent="0.25">
      <c r="A1688" s="1895" t="s">
        <v>1968</v>
      </c>
      <c r="B1688" s="1895"/>
      <c r="C1688" s="1895"/>
      <c r="D1688" s="1895"/>
      <c r="E1688" s="1895"/>
      <c r="F1688" s="1895"/>
      <c r="G1688" s="1895"/>
    </row>
    <row r="1689" spans="1:7" x14ac:dyDescent="0.25">
      <c r="A1689" s="1895" t="s">
        <v>1</v>
      </c>
      <c r="B1689" s="1895"/>
      <c r="C1689" s="1895"/>
      <c r="D1689" s="1895"/>
      <c r="E1689" s="1895"/>
      <c r="F1689" s="1895"/>
      <c r="G1689" s="1895"/>
    </row>
    <row r="1690" spans="1:7" x14ac:dyDescent="0.25">
      <c r="A1690" s="1895" t="s">
        <v>1697</v>
      </c>
      <c r="B1690" s="1895"/>
      <c r="C1690" s="1895"/>
      <c r="D1690" s="1895"/>
      <c r="E1690" s="1895"/>
      <c r="F1690" s="1895"/>
      <c r="G1690" s="1895"/>
    </row>
    <row r="1691" spans="1:7" x14ac:dyDescent="0.25">
      <c r="A1691" s="1667"/>
      <c r="B1691" s="1668"/>
      <c r="C1691" s="1669"/>
      <c r="D1691" s="1669"/>
      <c r="E1691" s="1670"/>
      <c r="F1691" s="1670"/>
      <c r="G1691" s="1670"/>
    </row>
    <row r="1692" spans="1:7" x14ac:dyDescent="0.25">
      <c r="A1692" s="1670" t="s">
        <v>1913</v>
      </c>
      <c r="B1692" s="1671"/>
      <c r="C1692" s="1672"/>
      <c r="D1692" s="1672"/>
      <c r="E1692" s="1673"/>
      <c r="F1692" s="1673"/>
      <c r="G1692" s="1670"/>
    </row>
    <row r="1693" spans="1:7" ht="24.75" x14ac:dyDescent="0.25">
      <c r="A1693" s="1674" t="s">
        <v>814</v>
      </c>
      <c r="B1693" s="1675" t="s">
        <v>1959</v>
      </c>
      <c r="C1693" s="1672"/>
      <c r="D1693" s="1672"/>
      <c r="E1693" s="1673" t="s">
        <v>1915</v>
      </c>
      <c r="F1693" s="1673"/>
      <c r="G1693" s="1670"/>
    </row>
    <row r="1694" spans="1:7" ht="60" x14ac:dyDescent="0.25">
      <c r="A1694" s="1676" t="s">
        <v>858</v>
      </c>
      <c r="B1694" s="1677" t="s">
        <v>2655</v>
      </c>
      <c r="C1694" s="1672"/>
      <c r="D1694" s="1672"/>
      <c r="E1694" s="1673" t="s">
        <v>1917</v>
      </c>
      <c r="F1694" s="1673"/>
      <c r="G1694" s="1674"/>
    </row>
    <row r="1695" spans="1:7" x14ac:dyDescent="0.25">
      <c r="A1695" s="1676" t="s">
        <v>1918</v>
      </c>
      <c r="B1695" s="1677" t="s">
        <v>2953</v>
      </c>
      <c r="C1695" s="1672"/>
      <c r="D1695" s="1672"/>
      <c r="E1695" s="1673"/>
      <c r="F1695" s="1673"/>
      <c r="G1695" s="1674"/>
    </row>
    <row r="1696" spans="1:7" x14ac:dyDescent="0.25">
      <c r="A1696" s="1670" t="s">
        <v>1920</v>
      </c>
      <c r="B1696" s="1671" t="s">
        <v>63</v>
      </c>
      <c r="C1696" s="1672"/>
      <c r="D1696" s="1672"/>
      <c r="E1696" s="1670"/>
      <c r="F1696" s="1670"/>
      <c r="G1696" s="1670"/>
    </row>
    <row r="1697" spans="1:7" x14ac:dyDescent="0.25">
      <c r="A1697" s="1674" t="s">
        <v>64</v>
      </c>
      <c r="B1697" s="1675" t="s">
        <v>65</v>
      </c>
      <c r="C1697" s="1672"/>
      <c r="D1697" s="1672"/>
      <c r="E1697" s="1674"/>
      <c r="F1697" s="1674"/>
      <c r="G1697" s="1674"/>
    </row>
    <row r="1698" spans="1:7" x14ac:dyDescent="0.25">
      <c r="A1698" s="68"/>
      <c r="B1698" s="77"/>
      <c r="C1698" s="1650"/>
      <c r="D1698" s="1650"/>
      <c r="E1698" s="68"/>
      <c r="F1698" s="68"/>
      <c r="G1698" s="68"/>
    </row>
    <row r="1699" spans="1:7" ht="24" x14ac:dyDescent="0.25">
      <c r="A1699" s="343" t="s">
        <v>31</v>
      </c>
      <c r="B1699" s="343" t="s">
        <v>12</v>
      </c>
      <c r="C1699" s="1896" t="s">
        <v>13</v>
      </c>
      <c r="D1699" s="1897"/>
      <c r="E1699" s="1678" t="s">
        <v>14</v>
      </c>
      <c r="F1699" s="344" t="s">
        <v>15</v>
      </c>
      <c r="G1699" s="1635" t="s">
        <v>301</v>
      </c>
    </row>
    <row r="1700" spans="1:7" x14ac:dyDescent="0.25">
      <c r="A1700" s="146">
        <v>1</v>
      </c>
      <c r="B1700" s="144">
        <v>2</v>
      </c>
      <c r="C1700" s="1801">
        <v>3</v>
      </c>
      <c r="D1700" s="1802"/>
      <c r="E1700" s="54">
        <v>4</v>
      </c>
      <c r="F1700" s="167">
        <v>5</v>
      </c>
      <c r="G1700" s="147">
        <v>7</v>
      </c>
    </row>
    <row r="1701" spans="1:7" x14ac:dyDescent="0.25">
      <c r="A1701" s="178" t="s">
        <v>2648</v>
      </c>
      <c r="B1701" s="1679" t="s">
        <v>1962</v>
      </c>
      <c r="C1701" s="1680"/>
      <c r="D1701" s="1681"/>
      <c r="E1701" s="1682"/>
      <c r="F1701" s="1683"/>
      <c r="G1701" s="147"/>
    </row>
    <row r="1702" spans="1:7" x14ac:dyDescent="0.25">
      <c r="A1702" s="178" t="s">
        <v>2649</v>
      </c>
      <c r="B1702" s="1679" t="s">
        <v>1964</v>
      </c>
      <c r="C1702" s="1680"/>
      <c r="D1702" s="1681"/>
      <c r="E1702" s="1682"/>
      <c r="F1702" s="1683"/>
      <c r="G1702" s="147"/>
    </row>
    <row r="1703" spans="1:7" ht="24" x14ac:dyDescent="0.25">
      <c r="A1703" s="178" t="s">
        <v>2650</v>
      </c>
      <c r="B1703" s="1679" t="s">
        <v>1952</v>
      </c>
      <c r="C1703" s="45"/>
      <c r="D1703" s="1681"/>
      <c r="E1703" s="1682"/>
      <c r="F1703" s="1683"/>
      <c r="G1703" s="147"/>
    </row>
    <row r="1704" spans="1:7" ht="15.75" thickBot="1" x14ac:dyDescent="0.3">
      <c r="A1704" s="180"/>
      <c r="B1704" s="1684" t="s">
        <v>2251</v>
      </c>
      <c r="C1704" s="45">
        <v>1</v>
      </c>
      <c r="D1704" s="1681" t="s">
        <v>520</v>
      </c>
      <c r="E1704" s="1682">
        <v>902000</v>
      </c>
      <c r="F1704" s="1683">
        <v>902000</v>
      </c>
      <c r="G1704" s="147"/>
    </row>
    <row r="1705" spans="1:7" ht="15.75" thickBot="1" x14ac:dyDescent="0.3">
      <c r="A1705" s="256"/>
      <c r="B1705" s="1898" t="s">
        <v>613</v>
      </c>
      <c r="C1705" s="1899"/>
      <c r="D1705" s="1899"/>
      <c r="E1705" s="1900"/>
      <c r="F1705" s="1685">
        <f>SUM(F1704:F1704)</f>
        <v>902000</v>
      </c>
      <c r="G1705" s="147"/>
    </row>
    <row r="1706" spans="1:7" x14ac:dyDescent="0.25">
      <c r="A1706" s="178" t="s">
        <v>2651</v>
      </c>
      <c r="B1706" s="1686" t="s">
        <v>1927</v>
      </c>
      <c r="C1706" s="293"/>
      <c r="D1706" s="294"/>
      <c r="E1706" s="256"/>
      <c r="F1706" s="1687"/>
      <c r="G1706" s="147"/>
    </row>
    <row r="1707" spans="1:7" x14ac:dyDescent="0.25">
      <c r="A1707" s="178"/>
      <c r="B1707" s="1655" t="s">
        <v>1928</v>
      </c>
      <c r="C1707" s="167">
        <v>15</v>
      </c>
      <c r="D1707" s="168" t="s">
        <v>461</v>
      </c>
      <c r="E1707" s="1700">
        <v>143000</v>
      </c>
      <c r="F1707" s="1683">
        <f>E1707*C1707</f>
        <v>2145000</v>
      </c>
      <c r="G1707" s="147"/>
    </row>
    <row r="1708" spans="1:7" ht="15.75" thickBot="1" x14ac:dyDescent="0.3">
      <c r="A1708" s="178"/>
      <c r="B1708" s="1688" t="s">
        <v>1929</v>
      </c>
      <c r="C1708" s="1689">
        <v>40</v>
      </c>
      <c r="D1708" s="171" t="s">
        <v>461</v>
      </c>
      <c r="E1708" s="1690">
        <v>130000</v>
      </c>
      <c r="F1708" s="1691">
        <f>E1708*C1708</f>
        <v>5200000</v>
      </c>
      <c r="G1708" s="147"/>
    </row>
    <row r="1709" spans="1:7" ht="15.75" thickBot="1" x14ac:dyDescent="0.3">
      <c r="A1709" s="1692"/>
      <c r="B1709" s="1901" t="s">
        <v>613</v>
      </c>
      <c r="C1709" s="1902"/>
      <c r="D1709" s="1902"/>
      <c r="E1709" s="1903"/>
      <c r="F1709" s="1685">
        <f>SUM(F1707:F1708)</f>
        <v>7345000</v>
      </c>
      <c r="G1709" s="1651"/>
    </row>
    <row r="1710" spans="1:7" x14ac:dyDescent="0.25">
      <c r="A1710" s="178" t="s">
        <v>2653</v>
      </c>
      <c r="B1710" s="149" t="s">
        <v>1930</v>
      </c>
      <c r="C1710" s="293"/>
      <c r="D1710" s="294"/>
      <c r="E1710" s="256"/>
      <c r="F1710" s="1687"/>
      <c r="G1710" s="147"/>
    </row>
    <row r="1711" spans="1:7" x14ac:dyDescent="0.25">
      <c r="A1711" s="233"/>
      <c r="B1711" s="153" t="s">
        <v>2253</v>
      </c>
      <c r="C1711" s="293">
        <v>28</v>
      </c>
      <c r="D1711" s="294" t="s">
        <v>312</v>
      </c>
      <c r="E1711" s="1698">
        <v>1287000</v>
      </c>
      <c r="F1711" s="1687">
        <f>E1711*C1711</f>
        <v>36036000</v>
      </c>
      <c r="G1711" s="147"/>
    </row>
    <row r="1712" spans="1:7" x14ac:dyDescent="0.25">
      <c r="A1712" s="233"/>
      <c r="B1712" s="153" t="s">
        <v>2254</v>
      </c>
      <c r="C1712" s="293">
        <v>42</v>
      </c>
      <c r="D1712" s="294" t="s">
        <v>180</v>
      </c>
      <c r="E1712" s="1698">
        <v>41000</v>
      </c>
      <c r="F1712" s="1687">
        <f t="shared" ref="F1712" si="28">E1712*C1712</f>
        <v>1722000</v>
      </c>
      <c r="G1712" s="147"/>
    </row>
    <row r="1713" spans="1:21" ht="15.75" thickBot="1" x14ac:dyDescent="0.3">
      <c r="A1713" s="180"/>
      <c r="B1713" s="1693"/>
      <c r="C1713" s="1694"/>
      <c r="D1713" s="1695"/>
      <c r="E1713" s="1696"/>
      <c r="F1713" s="1691"/>
      <c r="G1713" s="147"/>
    </row>
    <row r="1714" spans="1:21" ht="15.75" thickBot="1" x14ac:dyDescent="0.3">
      <c r="A1714" s="293"/>
      <c r="B1714" s="1898" t="s">
        <v>613</v>
      </c>
      <c r="C1714" s="1899"/>
      <c r="D1714" s="1899"/>
      <c r="E1714" s="1900"/>
      <c r="F1714" s="1685">
        <f>SUM(F1711:F1712)</f>
        <v>37758000</v>
      </c>
      <c r="G1714" s="1651"/>
      <c r="H1714" s="175"/>
    </row>
    <row r="1715" spans="1:21" ht="15.75" thickBot="1" x14ac:dyDescent="0.3">
      <c r="A1715" s="293"/>
      <c r="B1715" s="1898" t="s">
        <v>27</v>
      </c>
      <c r="C1715" s="1899"/>
      <c r="D1715" s="1899"/>
      <c r="E1715" s="1900"/>
      <c r="F1715" s="1685">
        <f>F1714+F1709+F1705</f>
        <v>46005000</v>
      </c>
      <c r="G1715" s="1651" t="s">
        <v>2824</v>
      </c>
      <c r="H1715" s="175"/>
      <c r="J1715" s="1190"/>
      <c r="K1715" s="1190"/>
      <c r="S1715" s="1190"/>
      <c r="U1715" s="1190">
        <f>F1715</f>
        <v>46005000</v>
      </c>
    </row>
    <row r="1716" spans="1:21" x14ac:dyDescent="0.25">
      <c r="A1716" s="1807" t="s">
        <v>614</v>
      </c>
      <c r="B1716" s="1807"/>
      <c r="C1716" s="5" t="s">
        <v>28</v>
      </c>
      <c r="D1716" s="1808" t="s">
        <v>1698</v>
      </c>
      <c r="E1716" s="1808"/>
      <c r="F1716" s="1808"/>
      <c r="G1716" s="441"/>
    </row>
    <row r="1717" spans="1:21" x14ac:dyDescent="0.25">
      <c r="A1717" s="1807" t="s">
        <v>29</v>
      </c>
      <c r="B1717" s="1807"/>
      <c r="C1717" s="5"/>
      <c r="D1717" s="1809" t="s">
        <v>2990</v>
      </c>
      <c r="E1717" s="1809"/>
      <c r="F1717" s="1809"/>
      <c r="G1717" s="441"/>
    </row>
    <row r="1718" spans="1:21" x14ac:dyDescent="0.25">
      <c r="A1718" s="1"/>
      <c r="B1718" s="3"/>
      <c r="C1718" s="5"/>
      <c r="D1718" s="7"/>
      <c r="E1718" s="17"/>
      <c r="F1718" s="1706">
        <v>45403000</v>
      </c>
      <c r="G1718" s="441"/>
    </row>
    <row r="1719" spans="1:21" x14ac:dyDescent="0.25">
      <c r="A1719" s="1"/>
      <c r="B1719" s="3"/>
      <c r="C1719" s="5"/>
      <c r="D1719" s="7"/>
      <c r="E1719" s="17"/>
      <c r="F1719" s="1704">
        <f>F1718-F1715</f>
        <v>-602000</v>
      </c>
      <c r="G1719" s="441"/>
    </row>
    <row r="1720" spans="1:21" x14ac:dyDescent="0.25">
      <c r="A1720" s="1807"/>
      <c r="B1720" s="1807"/>
      <c r="C1720" s="5"/>
      <c r="D1720" s="7"/>
      <c r="E1720" s="1807"/>
      <c r="F1720" s="1807"/>
      <c r="G1720" s="441"/>
    </row>
    <row r="1721" spans="1:21" x14ac:dyDescent="0.25">
      <c r="A1721" s="1807" t="s">
        <v>30</v>
      </c>
      <c r="B1721" s="1807"/>
      <c r="C1721" s="5"/>
      <c r="D1721" s="1807" t="s">
        <v>2991</v>
      </c>
      <c r="E1721" s="1807"/>
      <c r="F1721" s="1807"/>
      <c r="G1721" s="441"/>
    </row>
    <row r="1723" spans="1:21" x14ac:dyDescent="0.25">
      <c r="A1723" s="1895" t="s">
        <v>1968</v>
      </c>
      <c r="B1723" s="1895"/>
      <c r="C1723" s="1895"/>
      <c r="D1723" s="1895"/>
      <c r="E1723" s="1895"/>
      <c r="F1723" s="1895"/>
      <c r="G1723" s="1895"/>
    </row>
    <row r="1724" spans="1:21" x14ac:dyDescent="0.25">
      <c r="A1724" s="1895" t="s">
        <v>1</v>
      </c>
      <c r="B1724" s="1895"/>
      <c r="C1724" s="1895"/>
      <c r="D1724" s="1895"/>
      <c r="E1724" s="1895"/>
      <c r="F1724" s="1895"/>
      <c r="G1724" s="1895"/>
    </row>
    <row r="1725" spans="1:21" x14ac:dyDescent="0.25">
      <c r="A1725" s="1895" t="s">
        <v>1697</v>
      </c>
      <c r="B1725" s="1895"/>
      <c r="C1725" s="1895"/>
      <c r="D1725" s="1895"/>
      <c r="E1725" s="1895"/>
      <c r="F1725" s="1895"/>
      <c r="G1725" s="1895"/>
    </row>
    <row r="1726" spans="1:21" x14ac:dyDescent="0.25">
      <c r="A1726" s="1667"/>
      <c r="B1726" s="1668"/>
      <c r="C1726" s="1669"/>
      <c r="D1726" s="1669"/>
      <c r="E1726" s="1670"/>
      <c r="F1726" s="1670"/>
      <c r="G1726" s="1670"/>
    </row>
    <row r="1727" spans="1:21" x14ac:dyDescent="0.25">
      <c r="A1727" s="1670" t="s">
        <v>1913</v>
      </c>
      <c r="B1727" s="1671"/>
      <c r="C1727" s="1672"/>
      <c r="D1727" s="1672"/>
      <c r="E1727" s="1673"/>
      <c r="F1727" s="1673"/>
      <c r="G1727" s="1670"/>
    </row>
    <row r="1728" spans="1:21" ht="24.75" x14ac:dyDescent="0.25">
      <c r="A1728" s="1674" t="s">
        <v>814</v>
      </c>
      <c r="B1728" s="1675" t="s">
        <v>1959</v>
      </c>
      <c r="C1728" s="1672"/>
      <c r="D1728" s="1672"/>
      <c r="E1728" s="1673" t="s">
        <v>1915</v>
      </c>
      <c r="F1728" s="1673"/>
      <c r="G1728" s="1670"/>
    </row>
    <row r="1729" spans="1:8" ht="60" x14ac:dyDescent="0.25">
      <c r="A1729" s="1676" t="s">
        <v>858</v>
      </c>
      <c r="B1729" s="1677" t="s">
        <v>2656</v>
      </c>
      <c r="C1729" s="1672"/>
      <c r="D1729" s="1672"/>
      <c r="E1729" s="1673" t="s">
        <v>1917</v>
      </c>
      <c r="F1729" s="1673"/>
      <c r="G1729" s="1674"/>
    </row>
    <row r="1730" spans="1:8" x14ac:dyDescent="0.25">
      <c r="A1730" s="1676" t="s">
        <v>1918</v>
      </c>
      <c r="B1730" s="1677" t="s">
        <v>2657</v>
      </c>
      <c r="C1730" s="1672"/>
      <c r="D1730" s="1672"/>
      <c r="E1730" s="1673"/>
      <c r="F1730" s="1673"/>
      <c r="G1730" s="1674"/>
    </row>
    <row r="1731" spans="1:8" x14ac:dyDescent="0.25">
      <c r="A1731" s="1670" t="s">
        <v>1920</v>
      </c>
      <c r="B1731" s="1671" t="s">
        <v>63</v>
      </c>
      <c r="C1731" s="1672"/>
      <c r="D1731" s="1672"/>
      <c r="E1731" s="1670"/>
      <c r="F1731" s="1670"/>
      <c r="G1731" s="1670"/>
    </row>
    <row r="1732" spans="1:8" x14ac:dyDescent="0.25">
      <c r="A1732" s="1674" t="s">
        <v>64</v>
      </c>
      <c r="B1732" s="1675" t="s">
        <v>65</v>
      </c>
      <c r="C1732" s="1672"/>
      <c r="D1732" s="1672"/>
      <c r="E1732" s="1674"/>
      <c r="F1732" s="1674"/>
      <c r="G1732" s="1674"/>
    </row>
    <row r="1733" spans="1:8" x14ac:dyDescent="0.25">
      <c r="A1733" s="68"/>
      <c r="B1733" s="77"/>
      <c r="C1733" s="1650"/>
      <c r="D1733" s="1650"/>
      <c r="E1733" s="68"/>
      <c r="F1733" s="68"/>
      <c r="G1733" s="68"/>
    </row>
    <row r="1734" spans="1:8" ht="24" x14ac:dyDescent="0.25">
      <c r="A1734" s="343" t="s">
        <v>31</v>
      </c>
      <c r="B1734" s="343" t="s">
        <v>12</v>
      </c>
      <c r="C1734" s="1896" t="s">
        <v>13</v>
      </c>
      <c r="D1734" s="1897"/>
      <c r="E1734" s="1678" t="s">
        <v>14</v>
      </c>
      <c r="F1734" s="344" t="s">
        <v>15</v>
      </c>
      <c r="G1734" s="1635" t="s">
        <v>301</v>
      </c>
    </row>
    <row r="1735" spans="1:8" x14ac:dyDescent="0.25">
      <c r="A1735" s="146">
        <v>1</v>
      </c>
      <c r="B1735" s="144">
        <v>2</v>
      </c>
      <c r="C1735" s="1801">
        <v>3</v>
      </c>
      <c r="D1735" s="1802"/>
      <c r="E1735" s="54">
        <v>4</v>
      </c>
      <c r="F1735" s="167">
        <v>5</v>
      </c>
      <c r="G1735" s="147">
        <v>7</v>
      </c>
    </row>
    <row r="1736" spans="1:8" x14ac:dyDescent="0.25">
      <c r="A1736" s="178" t="s">
        <v>2648</v>
      </c>
      <c r="B1736" s="1679" t="s">
        <v>1962</v>
      </c>
      <c r="C1736" s="1680"/>
      <c r="D1736" s="1681"/>
      <c r="E1736" s="1682"/>
      <c r="F1736" s="1683"/>
      <c r="G1736" s="147"/>
    </row>
    <row r="1737" spans="1:8" x14ac:dyDescent="0.25">
      <c r="A1737" s="178" t="s">
        <v>2649</v>
      </c>
      <c r="B1737" s="1679" t="s">
        <v>1964</v>
      </c>
      <c r="C1737" s="1680"/>
      <c r="D1737" s="1681"/>
      <c r="E1737" s="1682"/>
      <c r="F1737" s="1683"/>
      <c r="G1737" s="147"/>
    </row>
    <row r="1738" spans="1:8" ht="24" x14ac:dyDescent="0.25">
      <c r="A1738" s="178" t="s">
        <v>2650</v>
      </c>
      <c r="B1738" s="1679" t="s">
        <v>1952</v>
      </c>
      <c r="C1738" s="45"/>
      <c r="D1738" s="1681"/>
      <c r="E1738" s="1682"/>
      <c r="F1738" s="1683"/>
      <c r="G1738" s="147"/>
    </row>
    <row r="1739" spans="1:8" ht="15.75" thickBot="1" x14ac:dyDescent="0.3">
      <c r="A1739" s="180"/>
      <c r="B1739" s="1684" t="s">
        <v>2251</v>
      </c>
      <c r="C1739" s="45">
        <v>1</v>
      </c>
      <c r="D1739" s="1681" t="s">
        <v>520</v>
      </c>
      <c r="E1739" s="1682">
        <v>1142000</v>
      </c>
      <c r="F1739" s="1683">
        <f>E1739*C1739</f>
        <v>1142000</v>
      </c>
      <c r="G1739" s="147"/>
    </row>
    <row r="1740" spans="1:8" ht="15.75" thickBot="1" x14ac:dyDescent="0.3">
      <c r="A1740" s="256"/>
      <c r="B1740" s="1898" t="s">
        <v>613</v>
      </c>
      <c r="C1740" s="1899"/>
      <c r="D1740" s="1899"/>
      <c r="E1740" s="1900"/>
      <c r="F1740" s="1685">
        <f>SUM(F1739:F1739)</f>
        <v>1142000</v>
      </c>
      <c r="G1740" s="147"/>
    </row>
    <row r="1741" spans="1:8" x14ac:dyDescent="0.25">
      <c r="A1741" s="178" t="s">
        <v>2651</v>
      </c>
      <c r="B1741" s="1686" t="s">
        <v>1927</v>
      </c>
      <c r="C1741" s="293"/>
      <c r="D1741" s="294"/>
      <c r="E1741" s="256"/>
      <c r="F1741" s="1687"/>
      <c r="G1741" s="147"/>
    </row>
    <row r="1742" spans="1:8" x14ac:dyDescent="0.25">
      <c r="A1742" s="178"/>
      <c r="B1742" s="1655" t="s">
        <v>1928</v>
      </c>
      <c r="C1742" s="167">
        <v>7</v>
      </c>
      <c r="D1742" s="168" t="s">
        <v>461</v>
      </c>
      <c r="E1742" s="1700">
        <v>143000</v>
      </c>
      <c r="F1742" s="1683">
        <f>E1742*C1742</f>
        <v>1001000</v>
      </c>
      <c r="G1742" s="147"/>
    </row>
    <row r="1743" spans="1:8" ht="15.75" thickBot="1" x14ac:dyDescent="0.3">
      <c r="A1743" s="178"/>
      <c r="B1743" s="1688" t="s">
        <v>1929</v>
      </c>
      <c r="C1743" s="1689">
        <v>29</v>
      </c>
      <c r="D1743" s="171" t="s">
        <v>461</v>
      </c>
      <c r="E1743" s="1690">
        <v>130000</v>
      </c>
      <c r="F1743" s="1691">
        <f>E1743*C1743</f>
        <v>3770000</v>
      </c>
      <c r="G1743" s="147"/>
    </row>
    <row r="1744" spans="1:8" ht="15.75" thickBot="1" x14ac:dyDescent="0.3">
      <c r="A1744" s="1692"/>
      <c r="B1744" s="1901" t="s">
        <v>613</v>
      </c>
      <c r="C1744" s="1902"/>
      <c r="D1744" s="1902"/>
      <c r="E1744" s="1903"/>
      <c r="F1744" s="1685">
        <f>SUM(F1742:F1743)</f>
        <v>4771000</v>
      </c>
      <c r="G1744" s="1651"/>
      <c r="H1744" s="175"/>
    </row>
    <row r="1745" spans="1:19" x14ac:dyDescent="0.25">
      <c r="A1745" s="178" t="s">
        <v>2653</v>
      </c>
      <c r="B1745" s="149" t="s">
        <v>1930</v>
      </c>
      <c r="C1745" s="293"/>
      <c r="D1745" s="294"/>
      <c r="E1745" s="256"/>
      <c r="F1745" s="1687"/>
      <c r="G1745" s="147"/>
      <c r="H1745" s="175"/>
    </row>
    <row r="1746" spans="1:19" ht="16.5" x14ac:dyDescent="0.25">
      <c r="A1746" s="233"/>
      <c r="B1746" s="1699" t="s">
        <v>2258</v>
      </c>
      <c r="C1746" s="293">
        <v>8849</v>
      </c>
      <c r="D1746" s="294" t="s">
        <v>180</v>
      </c>
      <c r="E1746" s="1698">
        <v>3000</v>
      </c>
      <c r="F1746" s="1687">
        <f t="shared" ref="F1746:F1748" si="29">E1746*C1746</f>
        <v>26547000</v>
      </c>
      <c r="G1746" s="147"/>
      <c r="H1746" s="175"/>
    </row>
    <row r="1747" spans="1:19" ht="16.5" x14ac:dyDescent="0.25">
      <c r="A1747" s="233"/>
      <c r="B1747" s="1701" t="s">
        <v>2259</v>
      </c>
      <c r="C1747" s="293">
        <v>12</v>
      </c>
      <c r="D1747" s="294" t="s">
        <v>984</v>
      </c>
      <c r="E1747" s="1698">
        <v>580000</v>
      </c>
      <c r="F1747" s="1687">
        <f t="shared" si="29"/>
        <v>6960000</v>
      </c>
      <c r="G1747" s="147"/>
    </row>
    <row r="1748" spans="1:19" ht="16.5" x14ac:dyDescent="0.25">
      <c r="A1748" s="233"/>
      <c r="B1748" s="1699" t="s">
        <v>2260</v>
      </c>
      <c r="C1748" s="293">
        <v>19</v>
      </c>
      <c r="D1748" s="294" t="s">
        <v>984</v>
      </c>
      <c r="E1748" s="1698">
        <v>991000</v>
      </c>
      <c r="F1748" s="1687">
        <f t="shared" si="29"/>
        <v>18829000</v>
      </c>
      <c r="G1748" s="147"/>
    </row>
    <row r="1749" spans="1:19" ht="15.75" thickBot="1" x14ac:dyDescent="0.3">
      <c r="A1749" s="180"/>
      <c r="B1749" s="1693"/>
      <c r="C1749" s="1694"/>
      <c r="D1749" s="1695"/>
      <c r="E1749" s="1696"/>
      <c r="F1749" s="1691"/>
      <c r="G1749" s="147"/>
    </row>
    <row r="1750" spans="1:19" ht="15.75" thickBot="1" x14ac:dyDescent="0.3">
      <c r="A1750" s="293"/>
      <c r="B1750" s="1898" t="s">
        <v>613</v>
      </c>
      <c r="C1750" s="1899"/>
      <c r="D1750" s="1899"/>
      <c r="E1750" s="1900"/>
      <c r="F1750" s="1685">
        <f>SUM(F1746:F1748)</f>
        <v>52336000</v>
      </c>
      <c r="G1750" s="1651"/>
    </row>
    <row r="1751" spans="1:19" ht="15.75" thickBot="1" x14ac:dyDescent="0.3">
      <c r="A1751" s="293"/>
      <c r="B1751" s="1898" t="s">
        <v>27</v>
      </c>
      <c r="C1751" s="1899"/>
      <c r="D1751" s="1899"/>
      <c r="E1751" s="1900"/>
      <c r="F1751" s="1685">
        <f>F1750+F1744+F1740</f>
        <v>58249000</v>
      </c>
      <c r="G1751" s="1651" t="s">
        <v>1682</v>
      </c>
      <c r="J1751" s="1190"/>
      <c r="K1751" s="1190">
        <f>F1751</f>
        <v>58249000</v>
      </c>
      <c r="S1751" s="1190"/>
    </row>
    <row r="1752" spans="1:19" x14ac:dyDescent="0.25">
      <c r="A1752" s="1807" t="s">
        <v>614</v>
      </c>
      <c r="B1752" s="1807"/>
      <c r="C1752" s="5" t="s">
        <v>28</v>
      </c>
      <c r="D1752" s="1808" t="s">
        <v>1698</v>
      </c>
      <c r="E1752" s="1808"/>
      <c r="F1752" s="1808"/>
      <c r="G1752" s="441"/>
    </row>
    <row r="1753" spans="1:19" x14ac:dyDescent="0.25">
      <c r="A1753" s="1807" t="s">
        <v>29</v>
      </c>
      <c r="B1753" s="1807"/>
      <c r="C1753" s="5"/>
      <c r="D1753" s="1809" t="s">
        <v>2990</v>
      </c>
      <c r="E1753" s="1809"/>
      <c r="F1753" s="1809"/>
      <c r="G1753" s="441"/>
    </row>
    <row r="1754" spans="1:19" x14ac:dyDescent="0.25">
      <c r="A1754" s="1"/>
      <c r="B1754" s="3"/>
      <c r="C1754" s="5"/>
      <c r="D1754" s="7"/>
      <c r="E1754" s="17"/>
      <c r="F1754" s="17"/>
      <c r="G1754" s="441"/>
    </row>
    <row r="1755" spans="1:19" x14ac:dyDescent="0.25">
      <c r="A1755" s="1"/>
      <c r="B1755" s="3"/>
      <c r="C1755" s="5"/>
      <c r="D1755" s="7"/>
      <c r="E1755" s="17"/>
      <c r="F1755" s="17"/>
      <c r="G1755" s="441"/>
    </row>
    <row r="1756" spans="1:19" x14ac:dyDescent="0.25">
      <c r="A1756" s="1807"/>
      <c r="B1756" s="1807"/>
      <c r="C1756" s="5"/>
      <c r="D1756" s="7"/>
      <c r="E1756" s="1807"/>
      <c r="F1756" s="1807"/>
      <c r="G1756" s="441"/>
    </row>
    <row r="1757" spans="1:19" x14ac:dyDescent="0.25">
      <c r="A1757" s="1807" t="s">
        <v>30</v>
      </c>
      <c r="B1757" s="1807"/>
      <c r="C1757" s="5"/>
      <c r="D1757" s="1807" t="s">
        <v>2991</v>
      </c>
      <c r="E1757" s="1807"/>
      <c r="F1757" s="1807"/>
      <c r="G1757" s="441"/>
    </row>
    <row r="1759" spans="1:19" x14ac:dyDescent="0.25">
      <c r="A1759" s="1895" t="s">
        <v>0</v>
      </c>
      <c r="B1759" s="1895"/>
      <c r="C1759" s="1895"/>
      <c r="D1759" s="1895"/>
      <c r="E1759" s="1895"/>
      <c r="F1759" s="1895"/>
      <c r="G1759" s="1895"/>
    </row>
    <row r="1760" spans="1:19" x14ac:dyDescent="0.25">
      <c r="A1760" s="1895" t="s">
        <v>1</v>
      </c>
      <c r="B1760" s="1895"/>
      <c r="C1760" s="1895"/>
      <c r="D1760" s="1895"/>
      <c r="E1760" s="1895"/>
      <c r="F1760" s="1895"/>
      <c r="G1760" s="1895"/>
    </row>
    <row r="1761" spans="1:7" x14ac:dyDescent="0.25">
      <c r="A1761" s="1895" t="s">
        <v>1697</v>
      </c>
      <c r="B1761" s="1895"/>
      <c r="C1761" s="1895"/>
      <c r="D1761" s="1895"/>
      <c r="E1761" s="1895"/>
      <c r="F1761" s="1895"/>
      <c r="G1761" s="1895"/>
    </row>
    <row r="1762" spans="1:7" x14ac:dyDescent="0.25">
      <c r="A1762" s="1667"/>
      <c r="B1762" s="1668"/>
      <c r="C1762" s="1669"/>
      <c r="D1762" s="1669"/>
      <c r="E1762" s="1670"/>
      <c r="F1762" s="1670"/>
      <c r="G1762" s="1670"/>
    </row>
    <row r="1763" spans="1:7" x14ac:dyDescent="0.25">
      <c r="A1763" s="1670" t="s">
        <v>1913</v>
      </c>
      <c r="B1763" s="1671"/>
      <c r="C1763" s="1672"/>
      <c r="D1763" s="1672"/>
      <c r="E1763" s="1673"/>
      <c r="F1763" s="1673"/>
      <c r="G1763" s="1670"/>
    </row>
    <row r="1764" spans="1:7" ht="24.75" x14ac:dyDescent="0.25">
      <c r="A1764" s="1674" t="s">
        <v>814</v>
      </c>
      <c r="B1764" s="1675" t="s">
        <v>1959</v>
      </c>
      <c r="C1764" s="1672"/>
      <c r="D1764" s="1672"/>
      <c r="E1764" s="1673" t="s">
        <v>1915</v>
      </c>
      <c r="F1764" s="1673"/>
      <c r="G1764" s="1670"/>
    </row>
    <row r="1765" spans="1:7" ht="45" x14ac:dyDescent="0.25">
      <c r="A1765" s="1676" t="s">
        <v>858</v>
      </c>
      <c r="B1765" s="1677" t="s">
        <v>2658</v>
      </c>
      <c r="C1765" s="1672"/>
      <c r="D1765" s="1672"/>
      <c r="E1765" s="1673" t="s">
        <v>1917</v>
      </c>
      <c r="F1765" s="1673"/>
      <c r="G1765" s="1674"/>
    </row>
    <row r="1766" spans="1:7" x14ac:dyDescent="0.25">
      <c r="A1766" s="1676" t="s">
        <v>1918</v>
      </c>
      <c r="B1766" s="1677" t="s">
        <v>2659</v>
      </c>
      <c r="C1766" s="1672"/>
      <c r="D1766" s="1672"/>
      <c r="E1766" s="1673"/>
      <c r="F1766" s="1673"/>
      <c r="G1766" s="1674"/>
    </row>
    <row r="1767" spans="1:7" x14ac:dyDescent="0.25">
      <c r="A1767" s="1670" t="s">
        <v>1920</v>
      </c>
      <c r="B1767" s="1671" t="s">
        <v>63</v>
      </c>
      <c r="C1767" s="1672"/>
      <c r="D1767" s="1672"/>
      <c r="E1767" s="1670"/>
      <c r="F1767" s="1670"/>
      <c r="G1767" s="1670"/>
    </row>
    <row r="1768" spans="1:7" x14ac:dyDescent="0.25">
      <c r="A1768" s="1674" t="s">
        <v>64</v>
      </c>
      <c r="B1768" s="1675" t="s">
        <v>65</v>
      </c>
      <c r="C1768" s="1672"/>
      <c r="D1768" s="1672"/>
      <c r="E1768" s="1674"/>
      <c r="F1768" s="1674"/>
      <c r="G1768" s="1674"/>
    </row>
    <row r="1769" spans="1:7" x14ac:dyDescent="0.25">
      <c r="A1769" s="68"/>
      <c r="B1769" s="77"/>
      <c r="C1769" s="1650"/>
      <c r="D1769" s="1650"/>
      <c r="E1769" s="68"/>
      <c r="F1769" s="68"/>
      <c r="G1769" s="68"/>
    </row>
    <row r="1770" spans="1:7" ht="24" x14ac:dyDescent="0.25">
      <c r="A1770" s="343" t="s">
        <v>31</v>
      </c>
      <c r="B1770" s="343" t="s">
        <v>12</v>
      </c>
      <c r="C1770" s="1896" t="s">
        <v>13</v>
      </c>
      <c r="D1770" s="1897"/>
      <c r="E1770" s="1678" t="s">
        <v>14</v>
      </c>
      <c r="F1770" s="344" t="s">
        <v>15</v>
      </c>
      <c r="G1770" s="1635" t="s">
        <v>301</v>
      </c>
    </row>
    <row r="1771" spans="1:7" x14ac:dyDescent="0.25">
      <c r="A1771" s="146">
        <v>1</v>
      </c>
      <c r="B1771" s="144">
        <v>2</v>
      </c>
      <c r="C1771" s="1801">
        <v>3</v>
      </c>
      <c r="D1771" s="1802"/>
      <c r="E1771" s="54">
        <v>4</v>
      </c>
      <c r="F1771" s="167">
        <v>5</v>
      </c>
      <c r="G1771" s="147">
        <v>7</v>
      </c>
    </row>
    <row r="1772" spans="1:7" x14ac:dyDescent="0.25">
      <c r="A1772" s="178" t="s">
        <v>2648</v>
      </c>
      <c r="B1772" s="1679" t="s">
        <v>1962</v>
      </c>
      <c r="C1772" s="1680"/>
      <c r="D1772" s="1681"/>
      <c r="E1772" s="1682"/>
      <c r="F1772" s="1683"/>
      <c r="G1772" s="147"/>
    </row>
    <row r="1773" spans="1:7" x14ac:dyDescent="0.25">
      <c r="A1773" s="178" t="s">
        <v>2649</v>
      </c>
      <c r="B1773" s="1679" t="s">
        <v>1964</v>
      </c>
      <c r="C1773" s="1680"/>
      <c r="D1773" s="1681"/>
      <c r="E1773" s="1682"/>
      <c r="F1773" s="1683"/>
      <c r="G1773" s="147"/>
    </row>
    <row r="1774" spans="1:7" ht="24" x14ac:dyDescent="0.25">
      <c r="A1774" s="178" t="s">
        <v>2650</v>
      </c>
      <c r="B1774" s="1679" t="s">
        <v>1952</v>
      </c>
      <c r="C1774" s="45"/>
      <c r="D1774" s="1681"/>
      <c r="E1774" s="1682"/>
      <c r="F1774" s="1683"/>
      <c r="G1774" s="147"/>
    </row>
    <row r="1775" spans="1:7" ht="15.75" thickBot="1" x14ac:dyDescent="0.3">
      <c r="A1775" s="180"/>
      <c r="B1775" s="1684" t="s">
        <v>2815</v>
      </c>
      <c r="C1775" s="45">
        <v>1</v>
      </c>
      <c r="D1775" s="1681" t="s">
        <v>2306</v>
      </c>
      <c r="E1775" s="1682">
        <v>1166750</v>
      </c>
      <c r="F1775" s="1683">
        <f>E1775*C1775</f>
        <v>1166750</v>
      </c>
      <c r="G1775" s="147"/>
    </row>
    <row r="1776" spans="1:7" ht="15.75" thickBot="1" x14ac:dyDescent="0.3">
      <c r="A1776" s="256"/>
      <c r="B1776" s="1898" t="s">
        <v>613</v>
      </c>
      <c r="C1776" s="1899"/>
      <c r="D1776" s="1899"/>
      <c r="E1776" s="1900"/>
      <c r="F1776" s="1685">
        <f>SUM(F1775:F1775)</f>
        <v>1166750</v>
      </c>
      <c r="G1776" s="147"/>
    </row>
    <row r="1777" spans="1:19" x14ac:dyDescent="0.25">
      <c r="A1777" s="178" t="s">
        <v>2651</v>
      </c>
      <c r="B1777" s="1686" t="s">
        <v>1927</v>
      </c>
      <c r="C1777" s="293"/>
      <c r="D1777" s="294"/>
      <c r="E1777" s="256"/>
      <c r="F1777" s="1687"/>
      <c r="G1777" s="147"/>
    </row>
    <row r="1778" spans="1:19" x14ac:dyDescent="0.25">
      <c r="A1778" s="178"/>
      <c r="B1778" s="1655" t="s">
        <v>1928</v>
      </c>
      <c r="C1778" s="167">
        <v>12</v>
      </c>
      <c r="D1778" s="168" t="s">
        <v>461</v>
      </c>
      <c r="E1778" s="1700">
        <v>143000</v>
      </c>
      <c r="F1778" s="1683">
        <f>E1778*C1778</f>
        <v>1716000</v>
      </c>
      <c r="G1778" s="147"/>
    </row>
    <row r="1779" spans="1:19" ht="15.75" thickBot="1" x14ac:dyDescent="0.3">
      <c r="A1779" s="178"/>
      <c r="B1779" s="1688" t="s">
        <v>1929</v>
      </c>
      <c r="C1779" s="1689">
        <v>28</v>
      </c>
      <c r="D1779" s="171" t="s">
        <v>461</v>
      </c>
      <c r="E1779" s="1690">
        <v>130000</v>
      </c>
      <c r="F1779" s="1691">
        <f>E1779*C1779</f>
        <v>3640000</v>
      </c>
      <c r="G1779" s="147"/>
    </row>
    <row r="1780" spans="1:19" ht="15.75" thickBot="1" x14ac:dyDescent="0.3">
      <c r="A1780" s="1692"/>
      <c r="B1780" s="1901" t="s">
        <v>613</v>
      </c>
      <c r="C1780" s="1902"/>
      <c r="D1780" s="1902"/>
      <c r="E1780" s="1903"/>
      <c r="F1780" s="1685">
        <f>SUM(F1778:F1779)</f>
        <v>5356000</v>
      </c>
      <c r="G1780" s="1651"/>
    </row>
    <row r="1781" spans="1:19" x14ac:dyDescent="0.25">
      <c r="A1781" s="178" t="s">
        <v>2653</v>
      </c>
      <c r="B1781" s="149" t="s">
        <v>1930</v>
      </c>
      <c r="C1781" s="293"/>
      <c r="D1781" s="294"/>
      <c r="E1781" s="256"/>
      <c r="F1781" s="1687"/>
      <c r="G1781" s="147"/>
    </row>
    <row r="1782" spans="1:19" ht="16.5" x14ac:dyDescent="0.25">
      <c r="A1782" s="233"/>
      <c r="B1782" s="1699" t="s">
        <v>2255</v>
      </c>
      <c r="C1782" s="32">
        <v>2</v>
      </c>
      <c r="D1782" s="1702" t="s">
        <v>984</v>
      </c>
      <c r="E1782" s="1698">
        <v>3413000</v>
      </c>
      <c r="F1782" s="1687">
        <f t="shared" ref="F1782:F1787" si="30">E1782*C1782</f>
        <v>6826000</v>
      </c>
      <c r="G1782" s="147"/>
    </row>
    <row r="1783" spans="1:19" ht="16.5" x14ac:dyDescent="0.25">
      <c r="A1783" s="233"/>
      <c r="B1783" s="1701" t="s">
        <v>2256</v>
      </c>
      <c r="C1783" s="32">
        <v>15</v>
      </c>
      <c r="D1783" s="1702" t="s">
        <v>1938</v>
      </c>
      <c r="E1783" s="1698">
        <v>174000</v>
      </c>
      <c r="F1783" s="1687">
        <f t="shared" si="30"/>
        <v>2610000</v>
      </c>
      <c r="G1783" s="147"/>
    </row>
    <row r="1784" spans="1:19" ht="16.5" x14ac:dyDescent="0.25">
      <c r="A1784" s="233"/>
      <c r="B1784" s="1699" t="s">
        <v>2257</v>
      </c>
      <c r="C1784" s="32">
        <v>8</v>
      </c>
      <c r="D1784" s="1702" t="s">
        <v>2409</v>
      </c>
      <c r="E1784" s="1698">
        <v>50000</v>
      </c>
      <c r="F1784" s="1687">
        <f t="shared" si="30"/>
        <v>400000</v>
      </c>
      <c r="G1784" s="147"/>
    </row>
    <row r="1785" spans="1:19" ht="16.5" x14ac:dyDescent="0.25">
      <c r="A1785" s="233"/>
      <c r="B1785" s="1701" t="s">
        <v>2263</v>
      </c>
      <c r="C1785" s="32">
        <v>0.5</v>
      </c>
      <c r="D1785" s="1702" t="s">
        <v>984</v>
      </c>
      <c r="E1785" s="1698">
        <v>37000</v>
      </c>
      <c r="F1785" s="1687">
        <f t="shared" si="30"/>
        <v>18500</v>
      </c>
      <c r="G1785" s="147"/>
    </row>
    <row r="1786" spans="1:19" ht="16.5" x14ac:dyDescent="0.25">
      <c r="A1786" s="233"/>
      <c r="B1786" s="1699" t="s">
        <v>2660</v>
      </c>
      <c r="C1786" s="32">
        <v>13</v>
      </c>
      <c r="D1786" s="1702" t="s">
        <v>312</v>
      </c>
      <c r="E1786" s="1698">
        <v>299000</v>
      </c>
      <c r="F1786" s="1687">
        <f t="shared" si="30"/>
        <v>3887000</v>
      </c>
      <c r="G1786" s="147"/>
    </row>
    <row r="1787" spans="1:19" ht="17.25" thickBot="1" x14ac:dyDescent="0.3">
      <c r="A1787" s="180"/>
      <c r="B1787" s="1699" t="s">
        <v>2264</v>
      </c>
      <c r="C1787" s="32">
        <v>267</v>
      </c>
      <c r="D1787" s="1702" t="s">
        <v>2661</v>
      </c>
      <c r="E1787" s="1696">
        <v>177000</v>
      </c>
      <c r="F1787" s="1687">
        <f t="shared" si="30"/>
        <v>47259000</v>
      </c>
      <c r="G1787" s="147"/>
    </row>
    <row r="1788" spans="1:19" ht="15.75" thickBot="1" x14ac:dyDescent="0.3">
      <c r="A1788" s="293"/>
      <c r="B1788" s="1909" t="s">
        <v>613</v>
      </c>
      <c r="C1788" s="1910"/>
      <c r="D1788" s="1910"/>
      <c r="E1788" s="1900"/>
      <c r="F1788" s="1685">
        <f>SUM(F1782:F1787)</f>
        <v>61000500</v>
      </c>
      <c r="G1788" s="1651"/>
      <c r="H1788" s="175"/>
    </row>
    <row r="1789" spans="1:19" ht="15.75" thickBot="1" x14ac:dyDescent="0.3">
      <c r="A1789" s="293"/>
      <c r="B1789" s="1898" t="s">
        <v>27</v>
      </c>
      <c r="C1789" s="1899"/>
      <c r="D1789" s="1899"/>
      <c r="E1789" s="1900"/>
      <c r="F1789" s="1685">
        <f>F1788+F1780+F1776</f>
        <v>67523250</v>
      </c>
      <c r="G1789" s="1651" t="s">
        <v>1682</v>
      </c>
      <c r="H1789" s="175"/>
      <c r="J1789" s="1190"/>
      <c r="K1789" s="1190">
        <f>F1789</f>
        <v>67523250</v>
      </c>
      <c r="S1789" s="1190"/>
    </row>
    <row r="1790" spans="1:19" x14ac:dyDescent="0.25">
      <c r="A1790" s="1807" t="s">
        <v>614</v>
      </c>
      <c r="B1790" s="1807"/>
      <c r="C1790" s="5" t="s">
        <v>28</v>
      </c>
      <c r="D1790" s="1808" t="s">
        <v>1698</v>
      </c>
      <c r="E1790" s="1808"/>
      <c r="F1790" s="1808"/>
      <c r="G1790" s="441"/>
    </row>
    <row r="1791" spans="1:19" x14ac:dyDescent="0.25">
      <c r="A1791" s="1807" t="s">
        <v>29</v>
      </c>
      <c r="B1791" s="1807"/>
      <c r="C1791" s="5"/>
      <c r="D1791" s="1809" t="s">
        <v>2990</v>
      </c>
      <c r="E1791" s="1809"/>
      <c r="F1791" s="1809"/>
      <c r="G1791" s="441"/>
    </row>
    <row r="1792" spans="1:19" x14ac:dyDescent="0.25">
      <c r="A1792" s="1"/>
      <c r="B1792" s="3"/>
      <c r="C1792" s="5"/>
      <c r="D1792" s="7"/>
      <c r="E1792" s="17"/>
      <c r="F1792" s="17"/>
      <c r="G1792" s="441"/>
    </row>
    <row r="1793" spans="1:19" x14ac:dyDescent="0.25">
      <c r="A1793" s="1"/>
      <c r="B1793" s="3"/>
      <c r="C1793" s="5"/>
      <c r="D1793" s="7"/>
      <c r="E1793" s="17"/>
      <c r="F1793" s="17"/>
      <c r="G1793" s="441"/>
    </row>
    <row r="1794" spans="1:19" x14ac:dyDescent="0.25">
      <c r="A1794" s="1807"/>
      <c r="B1794" s="1807"/>
      <c r="C1794" s="5"/>
      <c r="D1794" s="7"/>
      <c r="E1794" s="1807"/>
      <c r="F1794" s="1807"/>
      <c r="G1794" s="441"/>
    </row>
    <row r="1795" spans="1:19" x14ac:dyDescent="0.25">
      <c r="A1795" s="1807" t="s">
        <v>30</v>
      </c>
      <c r="B1795" s="1807"/>
      <c r="C1795" s="5"/>
      <c r="D1795" s="1807" t="s">
        <v>2991</v>
      </c>
      <c r="E1795" s="1807"/>
      <c r="F1795" s="1807"/>
      <c r="G1795" s="441"/>
    </row>
    <row r="1796" spans="1:19" x14ac:dyDescent="0.25">
      <c r="A1796" s="7"/>
      <c r="B1796" s="1329"/>
      <c r="C1796" s="1329"/>
      <c r="D1796" s="1329"/>
      <c r="E1796" s="1329"/>
      <c r="F1796" s="1330"/>
      <c r="G1796" s="138"/>
      <c r="H1796" s="175"/>
      <c r="J1796" s="1190"/>
      <c r="K1796" s="1190"/>
      <c r="S1796" s="1190"/>
    </row>
    <row r="1800" spans="1:19" x14ac:dyDescent="0.25">
      <c r="A1800" s="1895" t="s">
        <v>0</v>
      </c>
      <c r="B1800" s="1895"/>
      <c r="C1800" s="1895"/>
      <c r="D1800" s="1895"/>
      <c r="E1800" s="1895"/>
      <c r="F1800" s="1895"/>
      <c r="G1800" s="1895"/>
    </row>
    <row r="1801" spans="1:19" x14ac:dyDescent="0.25">
      <c r="A1801" s="1895" t="s">
        <v>1</v>
      </c>
      <c r="B1801" s="1895"/>
      <c r="C1801" s="1895"/>
      <c r="D1801" s="1895"/>
      <c r="E1801" s="1895"/>
      <c r="F1801" s="1895"/>
      <c r="G1801" s="1895"/>
    </row>
    <row r="1802" spans="1:19" x14ac:dyDescent="0.25">
      <c r="A1802" s="1895" t="s">
        <v>1697</v>
      </c>
      <c r="B1802" s="1895"/>
      <c r="C1802" s="1895"/>
      <c r="D1802" s="1895"/>
      <c r="E1802" s="1895"/>
      <c r="F1802" s="1895"/>
      <c r="G1802" s="1895"/>
    </row>
    <row r="1803" spans="1:19" x14ac:dyDescent="0.25">
      <c r="A1803" s="1667"/>
      <c r="B1803" s="1668"/>
      <c r="C1803" s="1669"/>
      <c r="D1803" s="1669"/>
      <c r="E1803" s="1670"/>
      <c r="F1803" s="1670"/>
      <c r="G1803" s="1670"/>
    </row>
    <row r="1804" spans="1:19" x14ac:dyDescent="0.25">
      <c r="A1804" s="1670" t="s">
        <v>1913</v>
      </c>
      <c r="B1804" s="1671"/>
      <c r="C1804" s="1672"/>
      <c r="D1804" s="1672"/>
      <c r="E1804" s="1673"/>
      <c r="F1804" s="1673"/>
      <c r="G1804" s="1670"/>
    </row>
    <row r="1805" spans="1:19" ht="24.75" x14ac:dyDescent="0.25">
      <c r="A1805" s="1674" t="s">
        <v>814</v>
      </c>
      <c r="B1805" s="1675" t="s">
        <v>1959</v>
      </c>
      <c r="C1805" s="1672"/>
      <c r="D1805" s="1672"/>
      <c r="E1805" s="1673" t="s">
        <v>1915</v>
      </c>
      <c r="F1805" s="1673"/>
      <c r="G1805" s="1670"/>
    </row>
    <row r="1806" spans="1:19" ht="60" x14ac:dyDescent="0.25">
      <c r="A1806" s="1676" t="s">
        <v>858</v>
      </c>
      <c r="B1806" s="1677" t="s">
        <v>2662</v>
      </c>
      <c r="C1806" s="1672"/>
      <c r="D1806" s="1672"/>
      <c r="E1806" s="1673" t="s">
        <v>1917</v>
      </c>
      <c r="F1806" s="1673"/>
      <c r="G1806" s="1674"/>
    </row>
    <row r="1807" spans="1:19" ht="30" x14ac:dyDescent="0.25">
      <c r="A1807" s="1676" t="s">
        <v>1918</v>
      </c>
      <c r="B1807" s="1677" t="s">
        <v>2663</v>
      </c>
      <c r="C1807" s="1672"/>
      <c r="D1807" s="1672"/>
      <c r="E1807" s="1673"/>
      <c r="F1807" s="1673"/>
      <c r="G1807" s="1674"/>
    </row>
    <row r="1808" spans="1:19" x14ac:dyDescent="0.25">
      <c r="A1808" s="1670" t="s">
        <v>1920</v>
      </c>
      <c r="B1808" s="1671" t="s">
        <v>63</v>
      </c>
      <c r="C1808" s="1672"/>
      <c r="D1808" s="1672"/>
      <c r="E1808" s="1670"/>
      <c r="F1808" s="1670"/>
      <c r="G1808" s="1670"/>
    </row>
    <row r="1809" spans="1:8" x14ac:dyDescent="0.25">
      <c r="A1809" s="1674" t="s">
        <v>64</v>
      </c>
      <c r="B1809" s="1675" t="s">
        <v>65</v>
      </c>
      <c r="C1809" s="1672"/>
      <c r="D1809" s="1672"/>
      <c r="E1809" s="1674"/>
      <c r="F1809" s="1674"/>
      <c r="G1809" s="1674"/>
    </row>
    <row r="1810" spans="1:8" x14ac:dyDescent="0.25">
      <c r="A1810" s="68"/>
      <c r="B1810" s="77"/>
      <c r="C1810" s="1650"/>
      <c r="D1810" s="1650"/>
      <c r="E1810" s="68"/>
      <c r="F1810" s="68"/>
      <c r="G1810" s="68"/>
    </row>
    <row r="1811" spans="1:8" ht="24" x14ac:dyDescent="0.25">
      <c r="A1811" s="343" t="s">
        <v>31</v>
      </c>
      <c r="B1811" s="343" t="s">
        <v>12</v>
      </c>
      <c r="C1811" s="1896" t="s">
        <v>13</v>
      </c>
      <c r="D1811" s="1897"/>
      <c r="E1811" s="1678" t="s">
        <v>14</v>
      </c>
      <c r="F1811" s="344" t="s">
        <v>15</v>
      </c>
      <c r="G1811" s="1635" t="s">
        <v>301</v>
      </c>
    </row>
    <row r="1812" spans="1:8" x14ac:dyDescent="0.25">
      <c r="A1812" s="146">
        <v>1</v>
      </c>
      <c r="B1812" s="144">
        <v>2</v>
      </c>
      <c r="C1812" s="1801">
        <v>3</v>
      </c>
      <c r="D1812" s="1802"/>
      <c r="E1812" s="54">
        <v>4</v>
      </c>
      <c r="F1812" s="167">
        <v>5</v>
      </c>
      <c r="G1812" s="147">
        <v>7</v>
      </c>
    </row>
    <row r="1813" spans="1:8" x14ac:dyDescent="0.25">
      <c r="A1813" s="178" t="s">
        <v>2648</v>
      </c>
      <c r="B1813" s="1679" t="s">
        <v>1962</v>
      </c>
      <c r="C1813" s="1680"/>
      <c r="D1813" s="1681"/>
      <c r="E1813" s="1682"/>
      <c r="F1813" s="1683"/>
      <c r="G1813" s="147"/>
    </row>
    <row r="1814" spans="1:8" x14ac:dyDescent="0.25">
      <c r="A1814" s="178" t="s">
        <v>2649</v>
      </c>
      <c r="B1814" s="1679" t="s">
        <v>1964</v>
      </c>
      <c r="C1814" s="1680"/>
      <c r="D1814" s="1681"/>
      <c r="E1814" s="1682"/>
      <c r="F1814" s="1683"/>
      <c r="G1814" s="147"/>
    </row>
    <row r="1815" spans="1:8" ht="24" x14ac:dyDescent="0.25">
      <c r="A1815" s="178" t="s">
        <v>2650</v>
      </c>
      <c r="B1815" s="1679" t="s">
        <v>1952</v>
      </c>
      <c r="C1815" s="45"/>
      <c r="D1815" s="1681"/>
      <c r="E1815" s="1682"/>
      <c r="F1815" s="1683"/>
      <c r="G1815" s="147"/>
    </row>
    <row r="1816" spans="1:8" ht="15.75" thickBot="1" x14ac:dyDescent="0.3">
      <c r="A1816" s="180"/>
      <c r="B1816" s="1684" t="s">
        <v>2815</v>
      </c>
      <c r="C1816" s="45">
        <v>1</v>
      </c>
      <c r="D1816" s="1681" t="s">
        <v>520</v>
      </c>
      <c r="E1816" s="1682">
        <v>464000</v>
      </c>
      <c r="F1816" s="1683">
        <f>E1816*C1816</f>
        <v>464000</v>
      </c>
      <c r="G1816" s="147"/>
      <c r="H1816" s="175">
        <f>E1816+10000</f>
        <v>474000</v>
      </c>
    </row>
    <row r="1817" spans="1:8" ht="15.75" thickBot="1" x14ac:dyDescent="0.3">
      <c r="A1817" s="256"/>
      <c r="B1817" s="1898" t="s">
        <v>613</v>
      </c>
      <c r="C1817" s="1899"/>
      <c r="D1817" s="1899"/>
      <c r="E1817" s="1900"/>
      <c r="F1817" s="1685">
        <f>SUM(F1816:F1816)</f>
        <v>464000</v>
      </c>
      <c r="G1817" s="147"/>
    </row>
    <row r="1818" spans="1:8" x14ac:dyDescent="0.25">
      <c r="A1818" s="178" t="s">
        <v>2651</v>
      </c>
      <c r="B1818" s="1686" t="s">
        <v>1927</v>
      </c>
      <c r="C1818" s="293"/>
      <c r="D1818" s="294"/>
      <c r="E1818" s="256"/>
      <c r="F1818" s="1687"/>
      <c r="G1818" s="147"/>
    </row>
    <row r="1819" spans="1:8" x14ac:dyDescent="0.25">
      <c r="A1819" s="178"/>
      <c r="B1819" s="1655" t="s">
        <v>1928</v>
      </c>
      <c r="C1819" s="167">
        <v>10</v>
      </c>
      <c r="D1819" s="168" t="s">
        <v>461</v>
      </c>
      <c r="E1819" s="1700">
        <v>143000</v>
      </c>
      <c r="F1819" s="1683">
        <f>E1819*C1819</f>
        <v>1430000</v>
      </c>
      <c r="G1819" s="147"/>
    </row>
    <row r="1820" spans="1:8" ht="15.75" thickBot="1" x14ac:dyDescent="0.3">
      <c r="A1820" s="1297"/>
      <c r="B1820" s="1717" t="s">
        <v>1929</v>
      </c>
      <c r="C1820" s="1718">
        <v>18</v>
      </c>
      <c r="D1820" s="1719" t="s">
        <v>461</v>
      </c>
      <c r="E1820" s="1720">
        <v>130000</v>
      </c>
      <c r="F1820" s="1274">
        <f>E1820*C1820</f>
        <v>2340000</v>
      </c>
      <c r="G1820" s="1275"/>
    </row>
    <row r="1821" spans="1:8" ht="15.75" thickBot="1" x14ac:dyDescent="0.3">
      <c r="A1821" s="1692"/>
      <c r="B1821" s="1901" t="s">
        <v>613</v>
      </c>
      <c r="C1821" s="1902"/>
      <c r="D1821" s="1902"/>
      <c r="E1821" s="1903"/>
      <c r="F1821" s="1685">
        <f>SUM(F1819:F1820)</f>
        <v>3770000</v>
      </c>
      <c r="G1821" s="1651"/>
    </row>
    <row r="1822" spans="1:8" x14ac:dyDescent="0.25">
      <c r="A1822" s="178" t="s">
        <v>2653</v>
      </c>
      <c r="B1822" s="149" t="s">
        <v>1930</v>
      </c>
      <c r="C1822" s="293"/>
      <c r="D1822" s="294"/>
      <c r="E1822" s="256"/>
      <c r="F1822" s="1687"/>
      <c r="G1822" s="147"/>
    </row>
    <row r="1823" spans="1:8" ht="33" x14ac:dyDescent="0.25">
      <c r="A1823" s="233"/>
      <c r="B1823" s="1703" t="s">
        <v>2266</v>
      </c>
      <c r="C1823" s="293">
        <v>10</v>
      </c>
      <c r="D1823" s="294" t="s">
        <v>984</v>
      </c>
      <c r="E1823" s="1698">
        <v>687000</v>
      </c>
      <c r="F1823" s="1687">
        <f>E1823*C1823</f>
        <v>6870000</v>
      </c>
      <c r="G1823" s="147"/>
    </row>
    <row r="1824" spans="1:8" ht="16.5" x14ac:dyDescent="0.25">
      <c r="A1824" s="233"/>
      <c r="B1824" s="1703" t="s">
        <v>2258</v>
      </c>
      <c r="C1824" s="293">
        <v>1609</v>
      </c>
      <c r="D1824" s="294" t="s">
        <v>180</v>
      </c>
      <c r="E1824" s="1698">
        <v>3000</v>
      </c>
      <c r="F1824" s="1687">
        <f t="shared" ref="F1824:F1825" si="31">E1824*C1824</f>
        <v>4827000</v>
      </c>
      <c r="G1824" s="147"/>
    </row>
    <row r="1825" spans="1:19" ht="16.5" x14ac:dyDescent="0.25">
      <c r="A1825" s="233"/>
      <c r="B1825" s="1703" t="s">
        <v>1932</v>
      </c>
      <c r="C1825" s="293">
        <v>4</v>
      </c>
      <c r="D1825" s="294" t="s">
        <v>984</v>
      </c>
      <c r="E1825" s="1698">
        <v>626000</v>
      </c>
      <c r="F1825" s="1687">
        <f t="shared" si="31"/>
        <v>2504000</v>
      </c>
      <c r="G1825" s="147"/>
      <c r="H1825" s="175"/>
    </row>
    <row r="1826" spans="1:19" ht="15.75" thickBot="1" x14ac:dyDescent="0.3">
      <c r="A1826" s="180"/>
      <c r="B1826" s="1693" t="s">
        <v>1943</v>
      </c>
      <c r="C1826" s="1694">
        <v>1</v>
      </c>
      <c r="D1826" s="1695" t="s">
        <v>259</v>
      </c>
      <c r="E1826" s="1696">
        <v>250000</v>
      </c>
      <c r="F1826" s="1691">
        <f>E1826*C1826</f>
        <v>250000</v>
      </c>
      <c r="G1826" s="147"/>
    </row>
    <row r="1827" spans="1:19" ht="15.75" thickBot="1" x14ac:dyDescent="0.3">
      <c r="A1827" s="293"/>
      <c r="B1827" s="1898" t="s">
        <v>613</v>
      </c>
      <c r="C1827" s="1899"/>
      <c r="D1827" s="1899"/>
      <c r="E1827" s="1900"/>
      <c r="F1827" s="1685">
        <f>SUM(F1823:F1826)</f>
        <v>14451000</v>
      </c>
      <c r="G1827" s="1651"/>
    </row>
    <row r="1828" spans="1:19" ht="15.75" thickBot="1" x14ac:dyDescent="0.3">
      <c r="A1828" s="293"/>
      <c r="B1828" s="1898" t="s">
        <v>27</v>
      </c>
      <c r="C1828" s="1899"/>
      <c r="D1828" s="1899"/>
      <c r="E1828" s="1900"/>
      <c r="F1828" s="1685">
        <f>F1827+F1821+F1817</f>
        <v>18685000</v>
      </c>
      <c r="G1828" s="1651" t="s">
        <v>1682</v>
      </c>
      <c r="H1828" s="175"/>
      <c r="J1828" s="1190"/>
      <c r="K1828" s="1190">
        <f>F1828</f>
        <v>18685000</v>
      </c>
      <c r="S1828" s="1190"/>
    </row>
    <row r="1829" spans="1:19" x14ac:dyDescent="0.25">
      <c r="A1829" s="1807" t="s">
        <v>614</v>
      </c>
      <c r="B1829" s="1807"/>
      <c r="C1829" s="5" t="s">
        <v>28</v>
      </c>
      <c r="D1829" s="1808" t="s">
        <v>1698</v>
      </c>
      <c r="E1829" s="1808"/>
      <c r="F1829" s="1808"/>
      <c r="G1829" s="441"/>
    </row>
    <row r="1830" spans="1:19" x14ac:dyDescent="0.25">
      <c r="A1830" s="1807" t="s">
        <v>29</v>
      </c>
      <c r="B1830" s="1807"/>
      <c r="C1830" s="5"/>
      <c r="D1830" s="1809" t="s">
        <v>2990</v>
      </c>
      <c r="E1830" s="1809"/>
      <c r="F1830" s="1809"/>
      <c r="G1830" s="441"/>
    </row>
    <row r="1831" spans="1:19" x14ac:dyDescent="0.25">
      <c r="A1831" s="1"/>
      <c r="B1831" s="3"/>
      <c r="C1831" s="5"/>
      <c r="D1831" s="7"/>
      <c r="E1831" s="17"/>
      <c r="F1831" s="1706">
        <v>18935000</v>
      </c>
      <c r="G1831" s="441"/>
    </row>
    <row r="1832" spans="1:19" x14ac:dyDescent="0.25">
      <c r="A1832" s="1"/>
      <c r="B1832" s="3"/>
      <c r="C1832" s="5"/>
      <c r="D1832" s="7"/>
      <c r="E1832" s="17"/>
      <c r="F1832" s="1704">
        <f>F1831-F1828</f>
        <v>250000</v>
      </c>
      <c r="G1832" s="441"/>
    </row>
    <row r="1833" spans="1:19" x14ac:dyDescent="0.25">
      <c r="A1833" s="1807"/>
      <c r="B1833" s="1807"/>
      <c r="C1833" s="5"/>
      <c r="D1833" s="7"/>
      <c r="E1833" s="1807"/>
      <c r="F1833" s="1807"/>
      <c r="G1833" s="441"/>
    </row>
    <row r="1834" spans="1:19" x14ac:dyDescent="0.25">
      <c r="A1834" s="1807" t="s">
        <v>30</v>
      </c>
      <c r="B1834" s="1807"/>
      <c r="C1834" s="5"/>
      <c r="D1834" s="1807" t="s">
        <v>2991</v>
      </c>
      <c r="E1834" s="1807"/>
      <c r="F1834" s="1807"/>
      <c r="G1834" s="441"/>
    </row>
    <row r="1835" spans="1:19" x14ac:dyDescent="0.25">
      <c r="A1835" s="7"/>
      <c r="B1835" s="1329"/>
      <c r="C1835" s="1329"/>
      <c r="D1835" s="1329"/>
      <c r="E1835" s="1329"/>
      <c r="F1835" s="1330"/>
      <c r="G1835" s="138"/>
      <c r="H1835" s="175"/>
      <c r="S1835" s="1190"/>
    </row>
    <row r="1836" spans="1:19" x14ac:dyDescent="0.25">
      <c r="A1836" s="7"/>
      <c r="B1836" s="1329"/>
      <c r="C1836" s="1329"/>
      <c r="D1836" s="1329"/>
      <c r="E1836" s="1329"/>
      <c r="F1836" s="1330"/>
      <c r="G1836" s="138"/>
      <c r="S1836" s="1190"/>
    </row>
    <row r="1837" spans="1:19" x14ac:dyDescent="0.25">
      <c r="A1837" s="1886" t="s">
        <v>0</v>
      </c>
      <c r="B1837" s="1886"/>
      <c r="C1837" s="1886"/>
      <c r="D1837" s="1886"/>
      <c r="E1837" s="1886"/>
      <c r="F1837" s="1886"/>
      <c r="G1837" s="1886"/>
      <c r="S1837" s="1190"/>
    </row>
    <row r="1838" spans="1:19" x14ac:dyDescent="0.25">
      <c r="A1838" s="1886" t="s">
        <v>1</v>
      </c>
      <c r="B1838" s="1886"/>
      <c r="C1838" s="1886"/>
      <c r="D1838" s="1886"/>
      <c r="E1838" s="1886"/>
      <c r="F1838" s="1886"/>
      <c r="G1838" s="1886"/>
      <c r="S1838" s="1190"/>
    </row>
    <row r="1839" spans="1:19" x14ac:dyDescent="0.25">
      <c r="A1839" s="1886" t="s">
        <v>1697</v>
      </c>
      <c r="B1839" s="1886"/>
      <c r="C1839" s="1886"/>
      <c r="D1839" s="1886"/>
      <c r="E1839" s="1886"/>
      <c r="F1839" s="1886"/>
      <c r="G1839" s="1886"/>
      <c r="S1839" s="1190"/>
    </row>
    <row r="1840" spans="1:19" x14ac:dyDescent="0.25">
      <c r="A1840" s="240"/>
      <c r="B1840" s="240"/>
      <c r="C1840" s="862"/>
      <c r="D1840" s="862"/>
      <c r="E1840" s="240"/>
      <c r="F1840" s="240"/>
      <c r="G1840" s="278"/>
      <c r="S1840" s="1190"/>
    </row>
    <row r="1841" spans="1:19" x14ac:dyDescent="0.25">
      <c r="A1841" s="1384" t="s">
        <v>1354</v>
      </c>
      <c r="B1841" s="1384" t="s">
        <v>2804</v>
      </c>
      <c r="C1841" s="862"/>
      <c r="D1841" s="862"/>
      <c r="E1841" s="1385"/>
      <c r="F1841" s="1385"/>
      <c r="G1841" s="1386"/>
      <c r="S1841" s="1190"/>
    </row>
    <row r="1842" spans="1:19" x14ac:dyDescent="0.25">
      <c r="A1842" s="1384" t="s">
        <v>1498</v>
      </c>
      <c r="B1842" s="1384" t="s">
        <v>2805</v>
      </c>
      <c r="C1842" s="862"/>
      <c r="D1842" s="862"/>
      <c r="E1842" s="1387" t="s">
        <v>6</v>
      </c>
      <c r="F1842" s="1387" t="s">
        <v>2806</v>
      </c>
      <c r="G1842" s="1388"/>
      <c r="S1842" s="1190"/>
    </row>
    <row r="1843" spans="1:19" ht="120" x14ac:dyDescent="0.25">
      <c r="A1843" s="1389" t="s">
        <v>863</v>
      </c>
      <c r="B1843" s="1390" t="s">
        <v>2901</v>
      </c>
      <c r="C1843" s="1391"/>
      <c r="D1843" s="1391"/>
      <c r="E1843" s="1390" t="s">
        <v>368</v>
      </c>
      <c r="F1843" s="1389" t="s">
        <v>65</v>
      </c>
      <c r="G1843" s="918"/>
      <c r="S1843" s="1190"/>
    </row>
    <row r="1844" spans="1:19" x14ac:dyDescent="0.25">
      <c r="A1844" s="1384" t="s">
        <v>610</v>
      </c>
      <c r="B1844" s="1384" t="s">
        <v>2807</v>
      </c>
      <c r="C1844" s="862"/>
      <c r="D1844" s="862"/>
      <c r="E1844" s="862"/>
      <c r="F1844" s="862"/>
      <c r="G1844" s="1386"/>
      <c r="S1844" s="1190"/>
    </row>
    <row r="1845" spans="1:19" x14ac:dyDescent="0.25">
      <c r="A1845" s="240" t="s">
        <v>464</v>
      </c>
      <c r="B1845" s="240" t="s">
        <v>611</v>
      </c>
      <c r="C1845" s="862"/>
      <c r="D1845" s="862"/>
      <c r="E1845" s="240"/>
      <c r="F1845" s="240"/>
      <c r="G1845" s="278"/>
      <c r="S1845" s="1190"/>
    </row>
    <row r="1846" spans="1:19" x14ac:dyDescent="0.25">
      <c r="A1846" s="1887" t="s">
        <v>561</v>
      </c>
      <c r="B1846" s="1887"/>
      <c r="C1846" s="862"/>
      <c r="D1846" s="862"/>
      <c r="E1846" s="1385"/>
      <c r="F1846" s="240"/>
      <c r="G1846" s="278"/>
      <c r="S1846" s="1190"/>
    </row>
    <row r="1847" spans="1:19" ht="45" x14ac:dyDescent="0.25">
      <c r="A1847" s="1392" t="s">
        <v>1295</v>
      </c>
      <c r="B1847" s="1392" t="s">
        <v>12</v>
      </c>
      <c r="C1847" s="1888" t="s">
        <v>13</v>
      </c>
      <c r="D1847" s="1888"/>
      <c r="E1847" s="1393" t="s">
        <v>14</v>
      </c>
      <c r="F1847" s="361" t="s">
        <v>15</v>
      </c>
      <c r="G1847" s="361" t="s">
        <v>35</v>
      </c>
      <c r="S1847" s="1190"/>
    </row>
    <row r="1848" spans="1:19" x14ac:dyDescent="0.25">
      <c r="A1848" s="365">
        <v>1</v>
      </c>
      <c r="B1848" s="365">
        <v>2</v>
      </c>
      <c r="C1848" s="1889">
        <v>3</v>
      </c>
      <c r="D1848" s="1890"/>
      <c r="E1848" s="1394">
        <v>4</v>
      </c>
      <c r="F1848" s="838">
        <v>5</v>
      </c>
      <c r="G1848" s="831">
        <v>6</v>
      </c>
      <c r="S1848" s="1190"/>
    </row>
    <row r="1849" spans="1:19" x14ac:dyDescent="0.25">
      <c r="A1849" s="1395" t="s">
        <v>2808</v>
      </c>
      <c r="B1849" s="1396" t="s">
        <v>466</v>
      </c>
      <c r="C1849" s="1376"/>
      <c r="D1849" s="1377"/>
      <c r="E1849" s="1397"/>
      <c r="F1849" s="1398"/>
      <c r="G1849" s="831"/>
      <c r="S1849" s="1190"/>
    </row>
    <row r="1850" spans="1:19" x14ac:dyDescent="0.25">
      <c r="A1850" s="1395" t="s">
        <v>2809</v>
      </c>
      <c r="B1850" s="1396" t="s">
        <v>2810</v>
      </c>
      <c r="C1850" s="1376"/>
      <c r="D1850" s="1377"/>
      <c r="E1850" s="1397"/>
      <c r="F1850" s="1398"/>
      <c r="G1850" s="831"/>
      <c r="S1850" s="1190"/>
    </row>
    <row r="1851" spans="1:19" x14ac:dyDescent="0.25">
      <c r="A1851" s="1395" t="s">
        <v>2811</v>
      </c>
      <c r="B1851" s="1396" t="s">
        <v>2812</v>
      </c>
      <c r="C1851" s="1399"/>
      <c r="D1851" s="1400"/>
      <c r="E1851" s="1397"/>
      <c r="F1851" s="1398"/>
      <c r="G1851" s="1401"/>
      <c r="S1851" s="1190"/>
    </row>
    <row r="1852" spans="1:19" ht="45" x14ac:dyDescent="0.25">
      <c r="A1852" s="1402"/>
      <c r="B1852" s="837" t="s">
        <v>2813</v>
      </c>
      <c r="C1852" s="1403">
        <f>35*12</f>
        <v>420</v>
      </c>
      <c r="D1852" s="839" t="s">
        <v>461</v>
      </c>
      <c r="E1852" s="1404">
        <v>55000</v>
      </c>
      <c r="F1852" s="1405">
        <f>E1852*C1852</f>
        <v>23100000</v>
      </c>
      <c r="G1852" s="1406"/>
      <c r="S1852" s="1190"/>
    </row>
    <row r="1853" spans="1:19" ht="15.75" thickBot="1" x14ac:dyDescent="0.3">
      <c r="A1853" s="1407"/>
      <c r="B1853" s="1408"/>
      <c r="C1853" s="1409"/>
      <c r="D1853" s="1410"/>
      <c r="E1853" s="1411"/>
      <c r="F1853" s="1412"/>
      <c r="G1853" s="1413"/>
      <c r="S1853" s="1190"/>
    </row>
    <row r="1854" spans="1:19" ht="15.75" thickBot="1" x14ac:dyDescent="0.3">
      <c r="A1854" s="1407"/>
      <c r="B1854" s="1414"/>
      <c r="C1854" s="1891" t="s">
        <v>988</v>
      </c>
      <c r="D1854" s="1892"/>
      <c r="E1854" s="1893"/>
      <c r="F1854" s="1415">
        <f>F1853+F1852</f>
        <v>23100000</v>
      </c>
      <c r="G1854" s="1416"/>
      <c r="S1854" s="1190"/>
    </row>
    <row r="1855" spans="1:19" x14ac:dyDescent="0.25">
      <c r="A1855" s="838"/>
      <c r="B1855" s="1404"/>
      <c r="C1855" s="1399"/>
      <c r="D1855" s="1400"/>
      <c r="E1855" s="1417"/>
      <c r="F1855" s="1418"/>
      <c r="G1855" s="252"/>
      <c r="S1855" s="1190"/>
    </row>
    <row r="1856" spans="1:19" x14ac:dyDescent="0.25">
      <c r="A1856" s="838"/>
      <c r="B1856" s="1894" t="s">
        <v>27</v>
      </c>
      <c r="C1856" s="1894"/>
      <c r="D1856" s="1894"/>
      <c r="E1856" s="1894"/>
      <c r="F1856" s="1419">
        <f>F1854</f>
        <v>23100000</v>
      </c>
      <c r="G1856" s="252" t="s">
        <v>2387</v>
      </c>
      <c r="J1856" s="175">
        <f>F1856</f>
        <v>23100000</v>
      </c>
      <c r="S1856" s="1190"/>
    </row>
    <row r="1857" spans="1:19" x14ac:dyDescent="0.25">
      <c r="A1857" s="1807" t="s">
        <v>614</v>
      </c>
      <c r="B1857" s="1807"/>
      <c r="C1857" s="5" t="s">
        <v>28</v>
      </c>
      <c r="D1857" s="1808" t="s">
        <v>1698</v>
      </c>
      <c r="E1857" s="1808"/>
      <c r="F1857" s="1808"/>
      <c r="G1857" s="441"/>
    </row>
    <row r="1858" spans="1:19" x14ac:dyDescent="0.25">
      <c r="A1858" s="1807" t="s">
        <v>29</v>
      </c>
      <c r="B1858" s="1807"/>
      <c r="C1858" s="5"/>
      <c r="D1858" s="1809" t="s">
        <v>2990</v>
      </c>
      <c r="E1858" s="1809"/>
      <c r="F1858" s="1809"/>
      <c r="G1858" s="441"/>
    </row>
    <row r="1859" spans="1:19" x14ac:dyDescent="0.25">
      <c r="A1859" s="1"/>
      <c r="B1859" s="3"/>
      <c r="C1859" s="5"/>
      <c r="D1859" s="7"/>
      <c r="E1859" s="17"/>
      <c r="F1859" s="17"/>
      <c r="G1859" s="441"/>
    </row>
    <row r="1860" spans="1:19" x14ac:dyDescent="0.25">
      <c r="A1860" s="1"/>
      <c r="B1860" s="3"/>
      <c r="C1860" s="5"/>
      <c r="D1860" s="7"/>
      <c r="E1860" s="17"/>
      <c r="F1860" s="17"/>
      <c r="G1860" s="441"/>
    </row>
    <row r="1861" spans="1:19" x14ac:dyDescent="0.25">
      <c r="A1861" s="1807"/>
      <c r="B1861" s="1807"/>
      <c r="C1861" s="5"/>
      <c r="D1861" s="7"/>
      <c r="E1861" s="1807"/>
      <c r="F1861" s="1807"/>
      <c r="G1861" s="441"/>
    </row>
    <row r="1862" spans="1:19" x14ac:dyDescent="0.25">
      <c r="A1862" s="1807" t="s">
        <v>30</v>
      </c>
      <c r="B1862" s="1807"/>
      <c r="C1862" s="5"/>
      <c r="D1862" s="1807" t="s">
        <v>2991</v>
      </c>
      <c r="E1862" s="1807"/>
      <c r="F1862" s="1807"/>
      <c r="G1862" s="441"/>
    </row>
    <row r="1863" spans="1:19" x14ac:dyDescent="0.25">
      <c r="A1863" s="7"/>
      <c r="B1863" s="1329"/>
      <c r="C1863" s="1329"/>
      <c r="D1863" s="1329"/>
      <c r="E1863" s="1329"/>
      <c r="F1863" s="1330"/>
      <c r="G1863" s="138"/>
      <c r="S1863" s="1190"/>
    </row>
    <row r="1864" spans="1:19" x14ac:dyDescent="0.25">
      <c r="A1864" s="7"/>
      <c r="B1864" s="1329"/>
      <c r="C1864" s="1329"/>
      <c r="D1864" s="1329"/>
      <c r="E1864" s="1329"/>
      <c r="F1864" s="1330"/>
      <c r="G1864" s="138"/>
      <c r="S1864" s="1190"/>
    </row>
    <row r="1865" spans="1:19" x14ac:dyDescent="0.25">
      <c r="A1865" s="1911" t="s">
        <v>0</v>
      </c>
      <c r="B1865" s="1911"/>
      <c r="C1865" s="1911"/>
      <c r="D1865" s="1911"/>
      <c r="E1865" s="1911"/>
      <c r="F1865" s="1911"/>
      <c r="G1865" s="1911"/>
      <c r="S1865" s="1190"/>
    </row>
    <row r="1866" spans="1:19" x14ac:dyDescent="0.25">
      <c r="A1866" s="1911" t="s">
        <v>1</v>
      </c>
      <c r="B1866" s="1911"/>
      <c r="C1866" s="1911"/>
      <c r="D1866" s="1911"/>
      <c r="E1866" s="1911"/>
      <c r="F1866" s="1911"/>
      <c r="G1866" s="1911"/>
      <c r="S1866" s="1190"/>
    </row>
    <row r="1867" spans="1:19" x14ac:dyDescent="0.25">
      <c r="A1867" s="1911" t="s">
        <v>1697</v>
      </c>
      <c r="B1867" s="1911"/>
      <c r="C1867" s="1911"/>
      <c r="D1867" s="1911"/>
      <c r="E1867" s="1911"/>
      <c r="F1867" s="1911"/>
      <c r="G1867" s="1911"/>
      <c r="S1867" s="1190"/>
    </row>
    <row r="1868" spans="1:19" x14ac:dyDescent="0.25">
      <c r="A1868" s="1441"/>
      <c r="B1868" s="1442"/>
      <c r="C1868" s="1443"/>
      <c r="D1868" s="1443"/>
      <c r="E1868" s="1444"/>
      <c r="F1868" s="1444"/>
      <c r="G1868" s="1444"/>
      <c r="S1868" s="1190"/>
    </row>
    <row r="1869" spans="1:19" x14ac:dyDescent="0.25">
      <c r="A1869" s="1444" t="s">
        <v>1913</v>
      </c>
      <c r="B1869" s="1445"/>
      <c r="C1869" s="1446"/>
      <c r="D1869" s="1446"/>
      <c r="E1869" s="1447"/>
      <c r="F1869" s="1447"/>
      <c r="G1869" s="1444"/>
      <c r="S1869" s="1190"/>
    </row>
    <row r="1870" spans="1:19" ht="24.75" x14ac:dyDescent="0.25">
      <c r="A1870" s="1511" t="s">
        <v>814</v>
      </c>
      <c r="B1870" s="1512" t="s">
        <v>1959</v>
      </c>
      <c r="C1870" s="1446"/>
      <c r="D1870" s="1446"/>
      <c r="E1870" s="1447" t="s">
        <v>1915</v>
      </c>
      <c r="F1870" s="1447"/>
      <c r="G1870" s="1444"/>
      <c r="S1870" s="1190"/>
    </row>
    <row r="1871" spans="1:19" ht="105" x14ac:dyDescent="0.25">
      <c r="A1871" s="1513" t="s">
        <v>858</v>
      </c>
      <c r="B1871" s="1514" t="s">
        <v>2905</v>
      </c>
      <c r="C1871" s="1446"/>
      <c r="D1871" s="1446"/>
      <c r="E1871" s="1447" t="s">
        <v>1917</v>
      </c>
      <c r="F1871" s="1447"/>
      <c r="G1871" s="1511"/>
      <c r="S1871" s="1190"/>
    </row>
    <row r="1872" spans="1:19" ht="60" x14ac:dyDescent="0.25">
      <c r="A1872" s="1513" t="s">
        <v>1918</v>
      </c>
      <c r="B1872" s="1514" t="s">
        <v>2664</v>
      </c>
      <c r="C1872" s="1446"/>
      <c r="D1872" s="1446"/>
      <c r="E1872" s="1447"/>
      <c r="F1872" s="1447"/>
      <c r="G1872" s="1511"/>
      <c r="S1872" s="1190"/>
    </row>
    <row r="1873" spans="1:20" x14ac:dyDescent="0.25">
      <c r="A1873" s="1444" t="s">
        <v>1920</v>
      </c>
      <c r="B1873" s="1445" t="s">
        <v>63</v>
      </c>
      <c r="C1873" s="1446"/>
      <c r="D1873" s="1446"/>
      <c r="E1873" s="1444"/>
      <c r="F1873" s="1444"/>
      <c r="G1873" s="1444"/>
      <c r="S1873" s="1190"/>
    </row>
    <row r="1874" spans="1:20" x14ac:dyDescent="0.25">
      <c r="A1874" s="1511" t="s">
        <v>64</v>
      </c>
      <c r="B1874" s="1512" t="s">
        <v>65</v>
      </c>
      <c r="C1874" s="1446"/>
      <c r="D1874" s="1446"/>
      <c r="E1874" s="1511"/>
      <c r="F1874" s="1581"/>
      <c r="G1874" s="1511"/>
      <c r="S1874" s="1190"/>
    </row>
    <row r="1875" spans="1:20" x14ac:dyDescent="0.25">
      <c r="A1875" s="536"/>
      <c r="B1875" s="538"/>
      <c r="C1875" s="1515"/>
      <c r="D1875" s="1515"/>
      <c r="E1875" s="536"/>
      <c r="F1875" s="536"/>
      <c r="G1875" s="536"/>
      <c r="S1875" s="1190"/>
    </row>
    <row r="1876" spans="1:20" ht="24" x14ac:dyDescent="0.25">
      <c r="A1876" s="802" t="s">
        <v>31</v>
      </c>
      <c r="B1876" s="802" t="s">
        <v>12</v>
      </c>
      <c r="C1876" s="1960" t="s">
        <v>13</v>
      </c>
      <c r="D1876" s="1961"/>
      <c r="E1876" s="1516" t="s">
        <v>14</v>
      </c>
      <c r="F1876" s="786" t="s">
        <v>15</v>
      </c>
      <c r="G1876" s="1517" t="s">
        <v>301</v>
      </c>
      <c r="S1876" s="1190"/>
    </row>
    <row r="1877" spans="1:20" x14ac:dyDescent="0.25">
      <c r="A1877" s="446">
        <v>1</v>
      </c>
      <c r="B1877" s="443">
        <v>2</v>
      </c>
      <c r="C1877" s="1838">
        <v>3</v>
      </c>
      <c r="D1877" s="1839"/>
      <c r="E1877" s="710">
        <v>4</v>
      </c>
      <c r="F1877" s="392">
        <v>5</v>
      </c>
      <c r="G1877" s="447">
        <v>7</v>
      </c>
      <c r="S1877" s="1190"/>
    </row>
    <row r="1878" spans="1:20" x14ac:dyDescent="0.25">
      <c r="A1878" s="541" t="s">
        <v>2248</v>
      </c>
      <c r="B1878" s="1518" t="s">
        <v>1962</v>
      </c>
      <c r="C1878" s="1519"/>
      <c r="D1878" s="1520"/>
      <c r="E1878" s="1521"/>
      <c r="F1878" s="1522"/>
      <c r="G1878" s="447"/>
      <c r="S1878" s="1190"/>
    </row>
    <row r="1879" spans="1:20" x14ac:dyDescent="0.25">
      <c r="A1879" s="541" t="s">
        <v>2249</v>
      </c>
      <c r="B1879" s="1518" t="s">
        <v>1964</v>
      </c>
      <c r="C1879" s="1519"/>
      <c r="D1879" s="1520"/>
      <c r="E1879" s="1521"/>
      <c r="F1879" s="1522"/>
      <c r="G1879" s="447"/>
      <c r="S1879" s="1190"/>
    </row>
    <row r="1880" spans="1:20" ht="24" x14ac:dyDescent="0.25">
      <c r="A1880" s="541" t="s">
        <v>2250</v>
      </c>
      <c r="B1880" s="1518" t="s">
        <v>1952</v>
      </c>
      <c r="C1880" s="559"/>
      <c r="D1880" s="1520"/>
      <c r="E1880" s="1521"/>
      <c r="F1880" s="1522"/>
      <c r="G1880" s="447"/>
      <c r="S1880" s="1190"/>
    </row>
    <row r="1881" spans="1:20" ht="15.75" thickBot="1" x14ac:dyDescent="0.3">
      <c r="A1881" s="544"/>
      <c r="B1881" s="1523" t="s">
        <v>2815</v>
      </c>
      <c r="C1881" s="559">
        <v>1</v>
      </c>
      <c r="D1881" s="1520" t="s">
        <v>252</v>
      </c>
      <c r="E1881" s="1521">
        <v>1917000</v>
      </c>
      <c r="F1881" s="1522">
        <f>E1881*C1881</f>
        <v>1917000</v>
      </c>
      <c r="G1881" s="447"/>
      <c r="S1881" s="1190"/>
    </row>
    <row r="1882" spans="1:20" ht="15.75" thickBot="1" x14ac:dyDescent="0.3">
      <c r="A1882" s="576"/>
      <c r="B1882" s="1912" t="s">
        <v>613</v>
      </c>
      <c r="C1882" s="1913"/>
      <c r="D1882" s="1913"/>
      <c r="E1882" s="1914"/>
      <c r="F1882" s="1525">
        <f>SUM(F1881:F1881)</f>
        <v>1917000</v>
      </c>
      <c r="G1882" s="447" t="s">
        <v>2626</v>
      </c>
      <c r="S1882" s="1190"/>
      <c r="T1882" s="1190">
        <f>F1882</f>
        <v>1917000</v>
      </c>
    </row>
    <row r="1883" spans="1:20" x14ac:dyDescent="0.25">
      <c r="A1883" s="541" t="s">
        <v>2252</v>
      </c>
      <c r="B1883" s="1527" t="s">
        <v>1927</v>
      </c>
      <c r="C1883" s="1524"/>
      <c r="D1883" s="1528"/>
      <c r="E1883" s="576"/>
      <c r="F1883" s="1529"/>
      <c r="G1883" s="447"/>
      <c r="S1883" s="1190"/>
    </row>
    <row r="1884" spans="1:20" x14ac:dyDescent="0.25">
      <c r="A1884" s="541"/>
      <c r="B1884" s="719" t="s">
        <v>1928</v>
      </c>
      <c r="C1884" s="392">
        <v>189</v>
      </c>
      <c r="D1884" s="393" t="s">
        <v>461</v>
      </c>
      <c r="E1884" s="924">
        <v>143000</v>
      </c>
      <c r="F1884" s="1522">
        <f>E1884*C1884</f>
        <v>27027000</v>
      </c>
      <c r="G1884" s="447"/>
      <c r="S1884" s="1190"/>
    </row>
    <row r="1885" spans="1:20" ht="15.75" thickBot="1" x14ac:dyDescent="0.3">
      <c r="A1885" s="541"/>
      <c r="B1885" s="1530" t="s">
        <v>1929</v>
      </c>
      <c r="C1885" s="1531">
        <v>528</v>
      </c>
      <c r="D1885" s="1064" t="s">
        <v>461</v>
      </c>
      <c r="E1885" s="1542">
        <v>130000</v>
      </c>
      <c r="F1885" s="1533">
        <f>E1885*C1885</f>
        <v>68640000</v>
      </c>
      <c r="G1885" s="447"/>
      <c r="S1885" s="1190"/>
    </row>
    <row r="1886" spans="1:20" ht="15.75" thickBot="1" x14ac:dyDescent="0.3">
      <c r="A1886" s="1534"/>
      <c r="B1886" s="1915" t="s">
        <v>613</v>
      </c>
      <c r="C1886" s="1916"/>
      <c r="D1886" s="1916"/>
      <c r="E1886" s="1917"/>
      <c r="F1886" s="1525">
        <f>SUM(F1884:F1885)</f>
        <v>95667000</v>
      </c>
      <c r="G1886" s="1526" t="s">
        <v>2626</v>
      </c>
      <c r="H1886" s="175"/>
      <c r="S1886" s="1190"/>
      <c r="T1886" s="1190">
        <f>F1886</f>
        <v>95667000</v>
      </c>
    </row>
    <row r="1887" spans="1:20" x14ac:dyDescent="0.25">
      <c r="A1887" s="541" t="s">
        <v>2262</v>
      </c>
      <c r="B1887" s="1535" t="s">
        <v>1930</v>
      </c>
      <c r="C1887" s="1524"/>
      <c r="D1887" s="1528"/>
      <c r="E1887" s="576"/>
      <c r="F1887" s="1529"/>
      <c r="G1887" s="447"/>
      <c r="H1887" s="175"/>
      <c r="S1887" s="1190"/>
    </row>
    <row r="1888" spans="1:20" ht="33" x14ac:dyDescent="0.25">
      <c r="A1888" s="720"/>
      <c r="B1888" s="1582" t="s">
        <v>2266</v>
      </c>
      <c r="C1888" s="1070">
        <v>199</v>
      </c>
      <c r="D1888" s="393" t="s">
        <v>984</v>
      </c>
      <c r="E1888" s="1580">
        <v>687000</v>
      </c>
      <c r="F1888" s="1529">
        <f>E1888*C1888</f>
        <v>136713000</v>
      </c>
      <c r="G1888" s="447"/>
      <c r="S1888" s="1190"/>
    </row>
    <row r="1889" spans="1:19" ht="16.5" x14ac:dyDescent="0.25">
      <c r="A1889" s="720"/>
      <c r="B1889" s="1582" t="s">
        <v>2258</v>
      </c>
      <c r="C1889" s="1070">
        <v>33500</v>
      </c>
      <c r="D1889" s="393" t="s">
        <v>180</v>
      </c>
      <c r="E1889" s="1580">
        <v>3000</v>
      </c>
      <c r="F1889" s="1529">
        <f t="shared" ref="F1889:F1890" si="32">E1889*C1889</f>
        <v>100500000</v>
      </c>
      <c r="G1889" s="447"/>
      <c r="S1889" s="1190"/>
    </row>
    <row r="1890" spans="1:19" ht="16.5" x14ac:dyDescent="0.25">
      <c r="A1890" s="720"/>
      <c r="B1890" s="1582" t="s">
        <v>1932</v>
      </c>
      <c r="C1890" s="1070">
        <v>81</v>
      </c>
      <c r="D1890" s="393" t="s">
        <v>984</v>
      </c>
      <c r="E1890" s="1580">
        <v>626000</v>
      </c>
      <c r="F1890" s="1529">
        <f t="shared" si="32"/>
        <v>50706000</v>
      </c>
      <c r="G1890" s="447"/>
      <c r="S1890" s="1190"/>
    </row>
    <row r="1891" spans="1:19" ht="15.75" thickBot="1" x14ac:dyDescent="0.3">
      <c r="A1891" s="544"/>
      <c r="B1891" s="1536"/>
      <c r="C1891" s="1537"/>
      <c r="D1891" s="1538"/>
      <c r="E1891" s="1539"/>
      <c r="F1891" s="1533"/>
      <c r="G1891" s="447"/>
      <c r="S1891" s="1190"/>
    </row>
    <row r="1892" spans="1:19" ht="15.75" thickBot="1" x14ac:dyDescent="0.3">
      <c r="A1892" s="1524"/>
      <c r="B1892" s="1912" t="s">
        <v>613</v>
      </c>
      <c r="C1892" s="1913"/>
      <c r="D1892" s="1913"/>
      <c r="E1892" s="1914"/>
      <c r="F1892" s="1525">
        <f>SUM(F1888:F1890)</f>
        <v>287919000</v>
      </c>
      <c r="G1892" s="1526" t="s">
        <v>1682</v>
      </c>
      <c r="J1892" s="1190"/>
      <c r="K1892" s="1190">
        <f>F1892</f>
        <v>287919000</v>
      </c>
      <c r="S1892" s="1190"/>
    </row>
    <row r="1893" spans="1:19" ht="15.75" thickBot="1" x14ac:dyDescent="0.3">
      <c r="A1893" s="1524"/>
      <c r="B1893" s="1912" t="s">
        <v>27</v>
      </c>
      <c r="C1893" s="1913"/>
      <c r="D1893" s="1913"/>
      <c r="E1893" s="1914"/>
      <c r="F1893" s="1525">
        <f>F1892+F1886+F1882</f>
        <v>385503000</v>
      </c>
      <c r="G1893" s="1526"/>
      <c r="J1893" s="1190"/>
      <c r="K1893" s="1190"/>
      <c r="S1893" s="1190"/>
    </row>
    <row r="1894" spans="1:19" x14ac:dyDescent="0.25">
      <c r="A1894" s="1807" t="s">
        <v>614</v>
      </c>
      <c r="B1894" s="1807"/>
      <c r="C1894" s="5" t="s">
        <v>28</v>
      </c>
      <c r="D1894" s="1808" t="s">
        <v>1698</v>
      </c>
      <c r="E1894" s="1808"/>
      <c r="F1894" s="1808"/>
      <c r="G1894" s="441"/>
    </row>
    <row r="1895" spans="1:19" x14ac:dyDescent="0.25">
      <c r="A1895" s="1807" t="s">
        <v>29</v>
      </c>
      <c r="B1895" s="1807"/>
      <c r="C1895" s="5"/>
      <c r="D1895" s="1809" t="s">
        <v>2990</v>
      </c>
      <c r="E1895" s="1809"/>
      <c r="F1895" s="1809"/>
      <c r="G1895" s="441"/>
    </row>
    <row r="1896" spans="1:19" x14ac:dyDescent="0.25">
      <c r="A1896" s="1"/>
      <c r="B1896" s="3"/>
      <c r="C1896" s="5"/>
      <c r="D1896" s="7"/>
      <c r="E1896" s="17"/>
      <c r="F1896" s="17"/>
      <c r="G1896" s="441"/>
    </row>
    <row r="1897" spans="1:19" x14ac:dyDescent="0.25">
      <c r="A1897" s="1"/>
      <c r="B1897" s="3"/>
      <c r="C1897" s="5"/>
      <c r="D1897" s="7"/>
      <c r="E1897" s="17"/>
      <c r="F1897" s="17"/>
      <c r="G1897" s="441"/>
    </row>
    <row r="1898" spans="1:19" x14ac:dyDescent="0.25">
      <c r="A1898" s="1807"/>
      <c r="B1898" s="1807"/>
      <c r="C1898" s="5"/>
      <c r="D1898" s="7"/>
      <c r="E1898" s="1807"/>
      <c r="F1898" s="1807"/>
      <c r="G1898" s="441"/>
    </row>
    <row r="1899" spans="1:19" x14ac:dyDescent="0.25">
      <c r="A1899" s="1807" t="s">
        <v>30</v>
      </c>
      <c r="B1899" s="1807"/>
      <c r="C1899" s="5"/>
      <c r="D1899" s="1807" t="s">
        <v>2991</v>
      </c>
      <c r="E1899" s="1807"/>
      <c r="F1899" s="1807"/>
      <c r="G1899" s="441"/>
    </row>
    <row r="1900" spans="1:19" x14ac:dyDescent="0.25">
      <c r="A1900" s="1541"/>
      <c r="B1900" s="1541"/>
      <c r="C1900" s="1541"/>
      <c r="D1900" s="1541"/>
      <c r="E1900" s="1541"/>
      <c r="F1900" s="1541"/>
      <c r="G1900" s="1541"/>
      <c r="S1900" s="1190"/>
    </row>
    <row r="1901" spans="1:19" x14ac:dyDescent="0.25">
      <c r="A1901" s="1541"/>
      <c r="B1901" s="1541"/>
      <c r="C1901" s="1541"/>
      <c r="D1901" s="1541"/>
      <c r="E1901" s="1541"/>
      <c r="F1901" s="1541"/>
      <c r="G1901" s="1541"/>
      <c r="S1901" s="1190"/>
    </row>
    <row r="1902" spans="1:19" x14ac:dyDescent="0.25">
      <c r="A1902" s="1911" t="s">
        <v>0</v>
      </c>
      <c r="B1902" s="1911"/>
      <c r="C1902" s="1911"/>
      <c r="D1902" s="1911"/>
      <c r="E1902" s="1911"/>
      <c r="F1902" s="1911"/>
      <c r="G1902" s="1911"/>
      <c r="S1902" s="1190"/>
    </row>
    <row r="1903" spans="1:19" x14ac:dyDescent="0.25">
      <c r="A1903" s="1911" t="s">
        <v>1</v>
      </c>
      <c r="B1903" s="1911"/>
      <c r="C1903" s="1911"/>
      <c r="D1903" s="1911"/>
      <c r="E1903" s="1911"/>
      <c r="F1903" s="1911"/>
      <c r="G1903" s="1911"/>
      <c r="S1903" s="1190"/>
    </row>
    <row r="1904" spans="1:19" x14ac:dyDescent="0.25">
      <c r="A1904" s="1911" t="s">
        <v>1697</v>
      </c>
      <c r="B1904" s="1911"/>
      <c r="C1904" s="1911"/>
      <c r="D1904" s="1911"/>
      <c r="E1904" s="1911"/>
      <c r="F1904" s="1911"/>
      <c r="G1904" s="1911"/>
      <c r="S1904" s="1190"/>
    </row>
    <row r="1905" spans="1:19" x14ac:dyDescent="0.25">
      <c r="A1905" s="1441"/>
      <c r="B1905" s="1442"/>
      <c r="C1905" s="1443"/>
      <c r="D1905" s="1443"/>
      <c r="E1905" s="1444"/>
      <c r="F1905" s="1444"/>
      <c r="G1905" s="1444"/>
      <c r="S1905" s="1190"/>
    </row>
    <row r="1906" spans="1:19" x14ac:dyDescent="0.25">
      <c r="A1906" s="1444" t="s">
        <v>1913</v>
      </c>
      <c r="B1906" s="1445"/>
      <c r="C1906" s="1446"/>
      <c r="D1906" s="1446"/>
      <c r="E1906" s="1447"/>
      <c r="F1906" s="1583"/>
      <c r="G1906" s="1444"/>
      <c r="S1906" s="1190"/>
    </row>
    <row r="1907" spans="1:19" ht="24.75" x14ac:dyDescent="0.25">
      <c r="A1907" s="1511" t="s">
        <v>814</v>
      </c>
      <c r="B1907" s="1512" t="s">
        <v>1959</v>
      </c>
      <c r="C1907" s="1446"/>
      <c r="D1907" s="1446"/>
      <c r="E1907" s="1447" t="s">
        <v>1915</v>
      </c>
      <c r="F1907" s="1447"/>
      <c r="G1907" s="1444"/>
      <c r="S1907" s="1190"/>
    </row>
    <row r="1908" spans="1:19" ht="105" x14ac:dyDescent="0.25">
      <c r="A1908" s="1513" t="s">
        <v>858</v>
      </c>
      <c r="B1908" s="1514" t="s">
        <v>2904</v>
      </c>
      <c r="C1908" s="1446"/>
      <c r="D1908" s="1446"/>
      <c r="E1908" s="1447" t="s">
        <v>1917</v>
      </c>
      <c r="F1908" s="1447"/>
      <c r="G1908" s="1511"/>
      <c r="S1908" s="1190"/>
    </row>
    <row r="1909" spans="1:19" ht="45" x14ac:dyDescent="0.25">
      <c r="A1909" s="1513" t="s">
        <v>1918</v>
      </c>
      <c r="B1909" s="1514" t="s">
        <v>2665</v>
      </c>
      <c r="C1909" s="1446"/>
      <c r="D1909" s="1446"/>
      <c r="E1909" s="1447"/>
      <c r="F1909" s="1447"/>
      <c r="G1909" s="1511"/>
      <c r="S1909" s="1190"/>
    </row>
    <row r="1910" spans="1:19" x14ac:dyDescent="0.25">
      <c r="A1910" s="1444" t="s">
        <v>1920</v>
      </c>
      <c r="B1910" s="1445" t="s">
        <v>63</v>
      </c>
      <c r="C1910" s="1446"/>
      <c r="D1910" s="1446"/>
      <c r="E1910" s="1444"/>
      <c r="F1910" s="1444"/>
      <c r="G1910" s="1444"/>
      <c r="S1910" s="1190"/>
    </row>
    <row r="1911" spans="1:19" x14ac:dyDescent="0.25">
      <c r="A1911" s="1511" t="s">
        <v>64</v>
      </c>
      <c r="B1911" s="1512" t="s">
        <v>65</v>
      </c>
      <c r="C1911" s="1446"/>
      <c r="D1911" s="1446"/>
      <c r="E1911" s="1511"/>
      <c r="F1911" s="1511"/>
      <c r="G1911" s="1511"/>
      <c r="S1911" s="1190"/>
    </row>
    <row r="1912" spans="1:19" x14ac:dyDescent="0.25">
      <c r="A1912" s="536"/>
      <c r="B1912" s="538"/>
      <c r="C1912" s="1515"/>
      <c r="D1912" s="1515"/>
      <c r="E1912" s="536"/>
      <c r="F1912" s="536"/>
      <c r="G1912" s="536"/>
      <c r="S1912" s="1190"/>
    </row>
    <row r="1913" spans="1:19" ht="24" x14ac:dyDescent="0.25">
      <c r="A1913" s="802" t="s">
        <v>31</v>
      </c>
      <c r="B1913" s="802" t="s">
        <v>12</v>
      </c>
      <c r="C1913" s="1960" t="s">
        <v>13</v>
      </c>
      <c r="D1913" s="1961"/>
      <c r="E1913" s="1516" t="s">
        <v>14</v>
      </c>
      <c r="F1913" s="786" t="s">
        <v>15</v>
      </c>
      <c r="G1913" s="1517" t="s">
        <v>301</v>
      </c>
      <c r="S1913" s="1190"/>
    </row>
    <row r="1914" spans="1:19" x14ac:dyDescent="0.25">
      <c r="A1914" s="446">
        <v>1</v>
      </c>
      <c r="B1914" s="443">
        <v>2</v>
      </c>
      <c r="C1914" s="1838">
        <v>3</v>
      </c>
      <c r="D1914" s="1839"/>
      <c r="E1914" s="710">
        <v>4</v>
      </c>
      <c r="F1914" s="392">
        <v>5</v>
      </c>
      <c r="G1914" s="447">
        <v>7</v>
      </c>
      <c r="S1914" s="1190"/>
    </row>
    <row r="1915" spans="1:19" x14ac:dyDescent="0.25">
      <c r="A1915" s="541" t="s">
        <v>2248</v>
      </c>
      <c r="B1915" s="1518" t="s">
        <v>1962</v>
      </c>
      <c r="C1915" s="1519"/>
      <c r="D1915" s="1520"/>
      <c r="E1915" s="1521"/>
      <c r="F1915" s="1522"/>
      <c r="G1915" s="447"/>
      <c r="S1915" s="1190"/>
    </row>
    <row r="1916" spans="1:19" x14ac:dyDescent="0.25">
      <c r="A1916" s="541" t="s">
        <v>2249</v>
      </c>
      <c r="B1916" s="1518" t="s">
        <v>1964</v>
      </c>
      <c r="C1916" s="1519"/>
      <c r="D1916" s="1520"/>
      <c r="E1916" s="1521"/>
      <c r="F1916" s="1522"/>
      <c r="G1916" s="447"/>
      <c r="S1916" s="1190"/>
    </row>
    <row r="1917" spans="1:19" ht="24" x14ac:dyDescent="0.25">
      <c r="A1917" s="541" t="s">
        <v>2250</v>
      </c>
      <c r="B1917" s="1518" t="s">
        <v>1952</v>
      </c>
      <c r="C1917" s="559"/>
      <c r="D1917" s="1520"/>
      <c r="E1917" s="1521"/>
      <c r="F1917" s="1522"/>
      <c r="G1917" s="447"/>
      <c r="S1917" s="1190"/>
    </row>
    <row r="1918" spans="1:19" ht="15.75" thickBot="1" x14ac:dyDescent="0.3">
      <c r="A1918" s="544"/>
      <c r="B1918" s="1523" t="s">
        <v>2815</v>
      </c>
      <c r="C1918" s="559">
        <v>1</v>
      </c>
      <c r="D1918" s="1520" t="s">
        <v>252</v>
      </c>
      <c r="E1918" s="1521">
        <v>1425000</v>
      </c>
      <c r="F1918" s="1522">
        <f>E1918*C1918</f>
        <v>1425000</v>
      </c>
      <c r="G1918" s="447"/>
      <c r="H1918" s="175"/>
      <c r="S1918" s="1190"/>
    </row>
    <row r="1919" spans="1:19" ht="15.75" thickBot="1" x14ac:dyDescent="0.3">
      <c r="A1919" s="576"/>
      <c r="B1919" s="1912" t="s">
        <v>613</v>
      </c>
      <c r="C1919" s="1913"/>
      <c r="D1919" s="1913"/>
      <c r="E1919" s="1914"/>
      <c r="F1919" s="1525">
        <f>SUM(F1918:F1918)</f>
        <v>1425000</v>
      </c>
      <c r="G1919" s="447"/>
      <c r="S1919" s="1190"/>
    </row>
    <row r="1920" spans="1:19" x14ac:dyDescent="0.25">
      <c r="A1920" s="541" t="s">
        <v>2252</v>
      </c>
      <c r="B1920" s="1527" t="s">
        <v>1927</v>
      </c>
      <c r="C1920" s="1524"/>
      <c r="D1920" s="1528"/>
      <c r="E1920" s="576"/>
      <c r="F1920" s="1529"/>
      <c r="G1920" s="447"/>
      <c r="S1920" s="1190"/>
    </row>
    <row r="1921" spans="1:20" ht="15.75" thickBot="1" x14ac:dyDescent="0.3">
      <c r="A1921" s="541"/>
      <c r="B1921" s="1530" t="s">
        <v>1929</v>
      </c>
      <c r="C1921" s="1531">
        <v>159</v>
      </c>
      <c r="D1921" s="1064" t="s">
        <v>461</v>
      </c>
      <c r="E1921" s="1542">
        <v>130000</v>
      </c>
      <c r="F1921" s="1533">
        <f>E1921*C1921</f>
        <v>20670000</v>
      </c>
      <c r="G1921" s="447"/>
      <c r="S1921" s="1190"/>
    </row>
    <row r="1922" spans="1:20" ht="15.75" thickBot="1" x14ac:dyDescent="0.3">
      <c r="A1922" s="1534"/>
      <c r="B1922" s="1915" t="s">
        <v>613</v>
      </c>
      <c r="C1922" s="1916"/>
      <c r="D1922" s="1916"/>
      <c r="E1922" s="1917"/>
      <c r="F1922" s="1525">
        <f>SUM(F1921:F1921)</f>
        <v>20670000</v>
      </c>
      <c r="G1922" s="1526"/>
      <c r="S1922" s="1190"/>
    </row>
    <row r="1923" spans="1:20" x14ac:dyDescent="0.25">
      <c r="A1923" s="541" t="s">
        <v>2262</v>
      </c>
      <c r="B1923" s="1535" t="s">
        <v>1930</v>
      </c>
      <c r="C1923" s="1524"/>
      <c r="D1923" s="1528"/>
      <c r="E1923" s="576"/>
      <c r="F1923" s="1529"/>
      <c r="G1923" s="447"/>
      <c r="S1923" s="1190"/>
    </row>
    <row r="1924" spans="1:20" ht="16.5" x14ac:dyDescent="0.25">
      <c r="A1924" s="720"/>
      <c r="B1924" s="1584" t="s">
        <v>2261</v>
      </c>
      <c r="C1924" s="1524">
        <v>156</v>
      </c>
      <c r="D1924" s="1528" t="s">
        <v>984</v>
      </c>
      <c r="E1924" s="1580">
        <v>283000</v>
      </c>
      <c r="F1924" s="1529">
        <f t="shared" ref="F1924" si="33">E1924*C1924</f>
        <v>44148000</v>
      </c>
      <c r="G1924" s="447"/>
      <c r="S1924" s="1190"/>
    </row>
    <row r="1925" spans="1:20" ht="15.75" thickBot="1" x14ac:dyDescent="0.3">
      <c r="A1925" s="544"/>
      <c r="B1925" s="1536"/>
      <c r="C1925" s="1537"/>
      <c r="D1925" s="1538"/>
      <c r="E1925" s="1539"/>
      <c r="F1925" s="1533"/>
      <c r="G1925" s="447"/>
      <c r="S1925" s="1190"/>
    </row>
    <row r="1926" spans="1:20" ht="15.75" thickBot="1" x14ac:dyDescent="0.3">
      <c r="A1926" s="1524"/>
      <c r="B1926" s="1912" t="s">
        <v>613</v>
      </c>
      <c r="C1926" s="1913"/>
      <c r="D1926" s="1913"/>
      <c r="E1926" s="1914"/>
      <c r="F1926" s="1525">
        <f>SUM(F1924:F1924)</f>
        <v>44148000</v>
      </c>
      <c r="G1926" s="1526"/>
      <c r="H1926" s="175"/>
      <c r="J1926" s="1190"/>
      <c r="S1926" s="1190"/>
    </row>
    <row r="1927" spans="1:20" x14ac:dyDescent="0.25">
      <c r="A1927" s="541" t="s">
        <v>2666</v>
      </c>
      <c r="B1927" s="1585" t="s">
        <v>2667</v>
      </c>
      <c r="C1927" s="1586"/>
      <c r="D1927" s="1587"/>
      <c r="E1927" s="1588"/>
      <c r="F1927" s="1589"/>
      <c r="G1927" s="1526"/>
      <c r="H1927" s="175"/>
      <c r="S1927" s="1190"/>
    </row>
    <row r="1928" spans="1:20" ht="15.75" thickBot="1" x14ac:dyDescent="0.3">
      <c r="A1928" s="1524"/>
      <c r="B1928" s="1590" t="s">
        <v>2668</v>
      </c>
      <c r="C1928" s="1591">
        <v>5</v>
      </c>
      <c r="D1928" s="1592" t="s">
        <v>252</v>
      </c>
      <c r="E1928" s="1593">
        <v>300000</v>
      </c>
      <c r="F1928" s="1594">
        <f>E1928*C1928</f>
        <v>1500000</v>
      </c>
      <c r="G1928" s="1526"/>
      <c r="S1928" s="1190"/>
    </row>
    <row r="1929" spans="1:20" ht="15.75" thickBot="1" x14ac:dyDescent="0.3">
      <c r="A1929" s="1524"/>
      <c r="B1929" s="1912" t="s">
        <v>613</v>
      </c>
      <c r="C1929" s="1913"/>
      <c r="D1929" s="1913"/>
      <c r="E1929" s="1976"/>
      <c r="F1929" s="1595">
        <f>F1928</f>
        <v>1500000</v>
      </c>
      <c r="G1929" s="1526"/>
      <c r="J1929" s="1190"/>
      <c r="S1929" s="1190"/>
    </row>
    <row r="1930" spans="1:20" ht="15.75" thickBot="1" x14ac:dyDescent="0.3">
      <c r="A1930" s="1524"/>
      <c r="B1930" s="1912" t="s">
        <v>27</v>
      </c>
      <c r="C1930" s="1913"/>
      <c r="D1930" s="1913"/>
      <c r="E1930" s="1914"/>
      <c r="F1930" s="1525">
        <f>F1926+F1922+F1919+F1929</f>
        <v>67743000</v>
      </c>
      <c r="G1930" s="1526" t="s">
        <v>2625</v>
      </c>
      <c r="J1930" s="1190"/>
      <c r="K1930" s="1190"/>
      <c r="S1930" s="1190">
        <f>F1930</f>
        <v>67743000</v>
      </c>
      <c r="T1930" s="1190"/>
    </row>
    <row r="1931" spans="1:20" x14ac:dyDescent="0.25">
      <c r="A1931" s="1807" t="s">
        <v>614</v>
      </c>
      <c r="B1931" s="1807"/>
      <c r="C1931" s="5" t="s">
        <v>28</v>
      </c>
      <c r="D1931" s="1808" t="s">
        <v>1698</v>
      </c>
      <c r="E1931" s="1808"/>
      <c r="F1931" s="1808"/>
      <c r="G1931" s="441"/>
    </row>
    <row r="1932" spans="1:20" x14ac:dyDescent="0.25">
      <c r="A1932" s="1807" t="s">
        <v>29</v>
      </c>
      <c r="B1932" s="1807"/>
      <c r="C1932" s="5"/>
      <c r="D1932" s="1809" t="s">
        <v>2990</v>
      </c>
      <c r="E1932" s="1809"/>
      <c r="F1932" s="1809"/>
      <c r="G1932" s="441"/>
    </row>
    <row r="1933" spans="1:20" x14ac:dyDescent="0.25">
      <c r="A1933" s="1"/>
      <c r="B1933" s="3"/>
      <c r="C1933" s="5"/>
      <c r="D1933" s="7"/>
      <c r="E1933" s="17"/>
      <c r="F1933" s="1704"/>
      <c r="G1933" s="441"/>
    </row>
    <row r="1934" spans="1:20" x14ac:dyDescent="0.25">
      <c r="A1934" s="1"/>
      <c r="B1934" s="3"/>
      <c r="C1934" s="5"/>
      <c r="D1934" s="7"/>
      <c r="E1934" s="17"/>
      <c r="F1934" s="17"/>
      <c r="G1934" s="441"/>
    </row>
    <row r="1935" spans="1:20" x14ac:dyDescent="0.25">
      <c r="A1935" s="1807"/>
      <c r="B1935" s="1807"/>
      <c r="C1935" s="5"/>
      <c r="D1935" s="7"/>
      <c r="E1935" s="1807"/>
      <c r="F1935" s="1807"/>
      <c r="G1935" s="441"/>
    </row>
    <row r="1936" spans="1:20" x14ac:dyDescent="0.25">
      <c r="A1936" s="1807" t="s">
        <v>30</v>
      </c>
      <c r="B1936" s="1807"/>
      <c r="C1936" s="5"/>
      <c r="D1936" s="1807" t="s">
        <v>2991</v>
      </c>
      <c r="E1936" s="1807"/>
      <c r="F1936" s="1807"/>
      <c r="G1936" s="441"/>
    </row>
    <row r="1937" spans="1:19" x14ac:dyDescent="0.25">
      <c r="A1937" s="1541"/>
      <c r="B1937" s="1541"/>
      <c r="C1937" s="1541"/>
      <c r="D1937" s="1541"/>
      <c r="E1937" s="1541"/>
      <c r="F1937" s="1541"/>
      <c r="G1937" s="1541"/>
      <c r="S1937" s="1190"/>
    </row>
    <row r="1938" spans="1:19" x14ac:dyDescent="0.25">
      <c r="A1938" s="1541"/>
      <c r="B1938" s="1541"/>
      <c r="C1938" s="1541"/>
      <c r="D1938" s="1541"/>
      <c r="E1938" s="1541"/>
      <c r="F1938" s="1541"/>
      <c r="G1938" s="1541"/>
      <c r="S1938" s="1190"/>
    </row>
    <row r="1939" spans="1:19" x14ac:dyDescent="0.25">
      <c r="A1939" s="1911" t="s">
        <v>0</v>
      </c>
      <c r="B1939" s="1911"/>
      <c r="C1939" s="1911"/>
      <c r="D1939" s="1911"/>
      <c r="E1939" s="1911"/>
      <c r="F1939" s="1911"/>
      <c r="G1939" s="1911"/>
      <c r="S1939" s="1190"/>
    </row>
    <row r="1940" spans="1:19" x14ac:dyDescent="0.25">
      <c r="A1940" s="1911" t="s">
        <v>1</v>
      </c>
      <c r="B1940" s="1911"/>
      <c r="C1940" s="1911"/>
      <c r="D1940" s="1911"/>
      <c r="E1940" s="1911"/>
      <c r="F1940" s="1911"/>
      <c r="G1940" s="1911"/>
      <c r="S1940" s="1190"/>
    </row>
    <row r="1941" spans="1:19" x14ac:dyDescent="0.25">
      <c r="A1941" s="1911" t="s">
        <v>1697</v>
      </c>
      <c r="B1941" s="1911"/>
      <c r="C1941" s="1911"/>
      <c r="D1941" s="1911"/>
      <c r="E1941" s="1911"/>
      <c r="F1941" s="1911"/>
      <c r="G1941" s="1911"/>
      <c r="S1941" s="1190"/>
    </row>
    <row r="1942" spans="1:19" x14ac:dyDescent="0.25">
      <c r="A1942" s="1441"/>
      <c r="B1942" s="1442"/>
      <c r="C1942" s="1443"/>
      <c r="D1942" s="1443"/>
      <c r="E1942" s="1444"/>
      <c r="F1942" s="1444"/>
      <c r="G1942" s="1444"/>
      <c r="S1942" s="1190"/>
    </row>
    <row r="1943" spans="1:19" x14ac:dyDescent="0.25">
      <c r="A1943" s="1444" t="s">
        <v>1913</v>
      </c>
      <c r="B1943" s="1445"/>
      <c r="C1943" s="1446"/>
      <c r="D1943" s="1446"/>
      <c r="E1943" s="1447"/>
      <c r="F1943" s="1447"/>
      <c r="G1943" s="1444"/>
      <c r="S1943" s="1190"/>
    </row>
    <row r="1944" spans="1:19" ht="24.75" x14ac:dyDescent="0.25">
      <c r="A1944" s="1511" t="s">
        <v>814</v>
      </c>
      <c r="B1944" s="1512" t="s">
        <v>1959</v>
      </c>
      <c r="C1944" s="1446"/>
      <c r="D1944" s="1446"/>
      <c r="E1944" s="1447" t="s">
        <v>1915</v>
      </c>
      <c r="F1944" s="1447"/>
      <c r="G1944" s="1444"/>
      <c r="S1944" s="1190"/>
    </row>
    <row r="1945" spans="1:19" ht="105" x14ac:dyDescent="0.25">
      <c r="A1945" s="1513" t="s">
        <v>858</v>
      </c>
      <c r="B1945" s="1514" t="s">
        <v>2903</v>
      </c>
      <c r="C1945" s="1446"/>
      <c r="D1945" s="1446"/>
      <c r="E1945" s="1447" t="s">
        <v>1917</v>
      </c>
      <c r="F1945" s="1447"/>
      <c r="G1945" s="1511"/>
      <c r="S1945" s="1190"/>
    </row>
    <row r="1946" spans="1:19" ht="45" x14ac:dyDescent="0.25">
      <c r="A1946" s="1513" t="s">
        <v>1918</v>
      </c>
      <c r="B1946" s="1514" t="s">
        <v>2669</v>
      </c>
      <c r="C1946" s="1446"/>
      <c r="D1946" s="1446"/>
      <c r="E1946" s="1447"/>
      <c r="F1946" s="1447"/>
      <c r="G1946" s="1511"/>
      <c r="S1946" s="1190"/>
    </row>
    <row r="1947" spans="1:19" x14ac:dyDescent="0.25">
      <c r="A1947" s="1444" t="s">
        <v>1920</v>
      </c>
      <c r="B1947" s="1445" t="s">
        <v>63</v>
      </c>
      <c r="C1947" s="1446"/>
      <c r="D1947" s="1446"/>
      <c r="E1947" s="1444"/>
      <c r="F1947" s="1444"/>
      <c r="G1947" s="1444"/>
      <c r="S1947" s="1190"/>
    </row>
    <row r="1948" spans="1:19" x14ac:dyDescent="0.25">
      <c r="A1948" s="1511" t="s">
        <v>64</v>
      </c>
      <c r="B1948" s="1512" t="s">
        <v>65</v>
      </c>
      <c r="C1948" s="1446"/>
      <c r="D1948" s="1446"/>
      <c r="E1948" s="1511"/>
      <c r="F1948" s="1511"/>
      <c r="G1948" s="1511"/>
      <c r="S1948" s="1190"/>
    </row>
    <row r="1949" spans="1:19" x14ac:dyDescent="0.25">
      <c r="A1949" s="536"/>
      <c r="B1949" s="538"/>
      <c r="C1949" s="1515"/>
      <c r="D1949" s="1515"/>
      <c r="E1949" s="536"/>
      <c r="F1949" s="536"/>
      <c r="G1949" s="536"/>
      <c r="S1949" s="1190"/>
    </row>
    <row r="1950" spans="1:19" ht="24" x14ac:dyDescent="0.25">
      <c r="A1950" s="802" t="s">
        <v>31</v>
      </c>
      <c r="B1950" s="802" t="s">
        <v>12</v>
      </c>
      <c r="C1950" s="1960" t="s">
        <v>13</v>
      </c>
      <c r="D1950" s="1961"/>
      <c r="E1950" s="1516" t="s">
        <v>14</v>
      </c>
      <c r="F1950" s="786" t="s">
        <v>15</v>
      </c>
      <c r="G1950" s="1517" t="s">
        <v>301</v>
      </c>
      <c r="S1950" s="1190"/>
    </row>
    <row r="1951" spans="1:19" x14ac:dyDescent="0.25">
      <c r="A1951" s="446">
        <v>1</v>
      </c>
      <c r="B1951" s="443">
        <v>2</v>
      </c>
      <c r="C1951" s="1838">
        <v>3</v>
      </c>
      <c r="D1951" s="1839"/>
      <c r="E1951" s="710">
        <v>4</v>
      </c>
      <c r="F1951" s="392">
        <v>5</v>
      </c>
      <c r="G1951" s="447">
        <v>7</v>
      </c>
      <c r="S1951" s="1190"/>
    </row>
    <row r="1952" spans="1:19" x14ac:dyDescent="0.25">
      <c r="A1952" s="541" t="s">
        <v>2248</v>
      </c>
      <c r="B1952" s="1518" t="s">
        <v>1962</v>
      </c>
      <c r="C1952" s="1519"/>
      <c r="D1952" s="1520"/>
      <c r="E1952" s="1521"/>
      <c r="F1952" s="1522"/>
      <c r="G1952" s="447"/>
      <c r="S1952" s="1190"/>
    </row>
    <row r="1953" spans="1:19" x14ac:dyDescent="0.25">
      <c r="A1953" s="541" t="s">
        <v>2249</v>
      </c>
      <c r="B1953" s="1518" t="s">
        <v>1964</v>
      </c>
      <c r="C1953" s="1519"/>
      <c r="D1953" s="1520"/>
      <c r="E1953" s="1521"/>
      <c r="F1953" s="1522"/>
      <c r="G1953" s="447"/>
      <c r="S1953" s="1190"/>
    </row>
    <row r="1954" spans="1:19" ht="24" x14ac:dyDescent="0.25">
      <c r="A1954" s="541" t="s">
        <v>2250</v>
      </c>
      <c r="B1954" s="1518" t="s">
        <v>1952</v>
      </c>
      <c r="C1954" s="559"/>
      <c r="D1954" s="1520"/>
      <c r="E1954" s="1521"/>
      <c r="F1954" s="1522"/>
      <c r="G1954" s="447"/>
      <c r="S1954" s="1190"/>
    </row>
    <row r="1955" spans="1:19" ht="15.75" thickBot="1" x14ac:dyDescent="0.3">
      <c r="A1955" s="544"/>
      <c r="B1955" s="1523" t="s">
        <v>2817</v>
      </c>
      <c r="C1955" s="559">
        <v>1</v>
      </c>
      <c r="D1955" s="1520" t="s">
        <v>520</v>
      </c>
      <c r="E1955" s="1521">
        <v>1650000</v>
      </c>
      <c r="F1955" s="1522">
        <f>E1955*C1955</f>
        <v>1650000</v>
      </c>
      <c r="G1955" s="447"/>
      <c r="S1955" s="1190"/>
    </row>
    <row r="1956" spans="1:19" ht="15.75" thickBot="1" x14ac:dyDescent="0.3">
      <c r="A1956" s="576"/>
      <c r="B1956" s="1912" t="s">
        <v>613</v>
      </c>
      <c r="C1956" s="1913"/>
      <c r="D1956" s="1913"/>
      <c r="E1956" s="1914"/>
      <c r="F1956" s="1525">
        <f>SUM(F1955:F1955)</f>
        <v>1650000</v>
      </c>
      <c r="G1956" s="447"/>
      <c r="S1956" s="1190"/>
    </row>
    <row r="1957" spans="1:19" x14ac:dyDescent="0.25">
      <c r="A1957" s="541" t="s">
        <v>2252</v>
      </c>
      <c r="B1957" s="1527" t="s">
        <v>1927</v>
      </c>
      <c r="C1957" s="1524"/>
      <c r="D1957" s="1528"/>
      <c r="E1957" s="576"/>
      <c r="F1957" s="1529"/>
      <c r="G1957" s="447"/>
      <c r="S1957" s="1190"/>
    </row>
    <row r="1958" spans="1:19" x14ac:dyDescent="0.25">
      <c r="A1958" s="541"/>
      <c r="B1958" s="1596" t="s">
        <v>1928</v>
      </c>
      <c r="C1958" s="1597">
        <v>56</v>
      </c>
      <c r="D1958" s="1064" t="s">
        <v>461</v>
      </c>
      <c r="E1958" s="1598">
        <v>143000</v>
      </c>
      <c r="F1958" s="1599">
        <f>E1958*C1958</f>
        <v>8008000</v>
      </c>
      <c r="G1958" s="447"/>
      <c r="S1958" s="1190"/>
    </row>
    <row r="1959" spans="1:19" ht="15.75" thickBot="1" x14ac:dyDescent="0.3">
      <c r="A1959" s="541"/>
      <c r="B1959" s="1530" t="s">
        <v>1929</v>
      </c>
      <c r="C1959" s="1531">
        <v>339</v>
      </c>
      <c r="D1959" s="1064" t="s">
        <v>461</v>
      </c>
      <c r="E1959" s="1542">
        <v>130000</v>
      </c>
      <c r="F1959" s="1533">
        <f>E1959*C1959</f>
        <v>44070000</v>
      </c>
      <c r="G1959" s="447"/>
      <c r="S1959" s="1190"/>
    </row>
    <row r="1960" spans="1:19" ht="15.75" thickBot="1" x14ac:dyDescent="0.3">
      <c r="A1960" s="1534"/>
      <c r="B1960" s="1915" t="s">
        <v>613</v>
      </c>
      <c r="C1960" s="1916"/>
      <c r="D1960" s="1916"/>
      <c r="E1960" s="1917"/>
      <c r="F1960" s="1525">
        <f>SUM(F1958:F1959)</f>
        <v>52078000</v>
      </c>
      <c r="G1960" s="1526"/>
      <c r="H1960" s="175"/>
      <c r="S1960" s="1190"/>
    </row>
    <row r="1961" spans="1:19" x14ac:dyDescent="0.25">
      <c r="A1961" s="541" t="s">
        <v>2262</v>
      </c>
      <c r="B1961" s="1535" t="s">
        <v>1930</v>
      </c>
      <c r="C1961" s="1524"/>
      <c r="D1961" s="1528"/>
      <c r="E1961" s="576"/>
      <c r="F1961" s="1529"/>
      <c r="G1961" s="447"/>
      <c r="H1961" s="175"/>
      <c r="S1961" s="1190"/>
    </row>
    <row r="1962" spans="1:19" x14ac:dyDescent="0.25">
      <c r="A1962" s="720"/>
      <c r="B1962" s="396" t="s">
        <v>1956</v>
      </c>
      <c r="C1962" s="392">
        <v>429</v>
      </c>
      <c r="D1962" s="393" t="s">
        <v>1940</v>
      </c>
      <c r="E1962" s="399">
        <v>159000</v>
      </c>
      <c r="F1962" s="1529">
        <f>E1962*C1962</f>
        <v>68211000</v>
      </c>
      <c r="G1962" s="447"/>
      <c r="S1962" s="1190"/>
    </row>
    <row r="1963" spans="1:19" x14ac:dyDescent="0.25">
      <c r="A1963" s="720"/>
      <c r="B1963" s="396" t="s">
        <v>1954</v>
      </c>
      <c r="C1963" s="392">
        <v>46</v>
      </c>
      <c r="D1963" s="393" t="s">
        <v>984</v>
      </c>
      <c r="E1963" s="399">
        <v>534000</v>
      </c>
      <c r="F1963" s="1529">
        <f t="shared" ref="F1963:F1966" si="34">E1963*C1963</f>
        <v>24564000</v>
      </c>
      <c r="G1963" s="447"/>
      <c r="S1963" s="1190"/>
    </row>
    <row r="1964" spans="1:19" x14ac:dyDescent="0.25">
      <c r="A1964" s="720"/>
      <c r="B1964" s="1523" t="s">
        <v>1937</v>
      </c>
      <c r="C1964" s="1600">
        <v>1630</v>
      </c>
      <c r="D1964" s="1520" t="s">
        <v>180</v>
      </c>
      <c r="E1964" s="1521">
        <v>3000</v>
      </c>
      <c r="F1964" s="1529">
        <f t="shared" si="34"/>
        <v>4890000</v>
      </c>
      <c r="G1964" s="447"/>
      <c r="S1964" s="1190"/>
    </row>
    <row r="1965" spans="1:19" x14ac:dyDescent="0.25">
      <c r="A1965" s="720"/>
      <c r="B1965" s="1523" t="s">
        <v>1958</v>
      </c>
      <c r="C1965" s="1601">
        <v>1711</v>
      </c>
      <c r="D1965" s="1520" t="s">
        <v>123</v>
      </c>
      <c r="E1965" s="1521">
        <v>105000</v>
      </c>
      <c r="F1965" s="1529">
        <f t="shared" si="34"/>
        <v>179655000</v>
      </c>
      <c r="G1965" s="447"/>
      <c r="S1965" s="1190"/>
    </row>
    <row r="1966" spans="1:19" x14ac:dyDescent="0.25">
      <c r="A1966" s="720"/>
      <c r="B1966" s="1536" t="s">
        <v>1943</v>
      </c>
      <c r="C1966" s="1537">
        <v>1</v>
      </c>
      <c r="D1966" s="1538" t="s">
        <v>123</v>
      </c>
      <c r="E1966" s="1539">
        <v>250000</v>
      </c>
      <c r="F1966" s="1529">
        <f t="shared" si="34"/>
        <v>250000</v>
      </c>
      <c r="G1966" s="447"/>
      <c r="S1966" s="1190"/>
    </row>
    <row r="1967" spans="1:19" ht="15.75" thickBot="1" x14ac:dyDescent="0.3">
      <c r="A1967" s="720"/>
      <c r="B1967" s="1536" t="s">
        <v>1944</v>
      </c>
      <c r="C1967" s="1537">
        <v>1</v>
      </c>
      <c r="D1967" s="1538" t="s">
        <v>123</v>
      </c>
      <c r="E1967" s="1539">
        <v>500000</v>
      </c>
      <c r="F1967" s="1529">
        <f>E1967*C1967</f>
        <v>500000</v>
      </c>
      <c r="G1967" s="447"/>
      <c r="S1967" s="1190"/>
    </row>
    <row r="1968" spans="1:19" ht="15.75" thickBot="1" x14ac:dyDescent="0.3">
      <c r="A1968" s="1524"/>
      <c r="B1968" s="1912" t="s">
        <v>613</v>
      </c>
      <c r="C1968" s="1913"/>
      <c r="D1968" s="1913"/>
      <c r="E1968" s="1914"/>
      <c r="F1968" s="1525">
        <f>SUM(F1962:F1967)</f>
        <v>278070000</v>
      </c>
      <c r="G1968" s="1526"/>
      <c r="S1968" s="1190"/>
    </row>
    <row r="1969" spans="1:19" ht="15.75" thickBot="1" x14ac:dyDescent="0.3">
      <c r="A1969" s="1524"/>
      <c r="B1969" s="1912" t="s">
        <v>27</v>
      </c>
      <c r="C1969" s="1913"/>
      <c r="D1969" s="1913"/>
      <c r="E1969" s="1914"/>
      <c r="F1969" s="1525">
        <f>F1968+F1960+F1956</f>
        <v>331798000</v>
      </c>
      <c r="G1969" s="1526" t="s">
        <v>2387</v>
      </c>
      <c r="J1969" s="1190">
        <f>F1969</f>
        <v>331798000</v>
      </c>
      <c r="S1969" s="1190"/>
    </row>
    <row r="1970" spans="1:19" x14ac:dyDescent="0.25">
      <c r="A1970" s="1807" t="s">
        <v>614</v>
      </c>
      <c r="B1970" s="1807"/>
      <c r="C1970" s="5" t="s">
        <v>28</v>
      </c>
      <c r="D1970" s="1808" t="s">
        <v>1698</v>
      </c>
      <c r="E1970" s="1808"/>
      <c r="F1970" s="1808"/>
      <c r="G1970" s="441"/>
    </row>
    <row r="1971" spans="1:19" x14ac:dyDescent="0.25">
      <c r="A1971" s="1807" t="s">
        <v>29</v>
      </c>
      <c r="B1971" s="1807"/>
      <c r="C1971" s="5"/>
      <c r="D1971" s="1809" t="s">
        <v>2990</v>
      </c>
      <c r="E1971" s="1809"/>
      <c r="F1971" s="1809"/>
      <c r="G1971" s="441"/>
    </row>
    <row r="1972" spans="1:19" x14ac:dyDescent="0.25">
      <c r="A1972" s="1"/>
      <c r="B1972" s="3"/>
      <c r="C1972" s="5"/>
      <c r="D1972" s="7"/>
      <c r="E1972" s="17"/>
      <c r="F1972" s="17"/>
      <c r="G1972" s="441"/>
    </row>
    <row r="1973" spans="1:19" x14ac:dyDescent="0.25">
      <c r="A1973" s="1"/>
      <c r="B1973" s="3"/>
      <c r="C1973" s="5"/>
      <c r="D1973" s="7"/>
      <c r="E1973" s="17"/>
      <c r="F1973" s="17"/>
      <c r="G1973" s="441"/>
    </row>
    <row r="1974" spans="1:19" x14ac:dyDescent="0.25">
      <c r="A1974" s="1807"/>
      <c r="B1974" s="1807"/>
      <c r="C1974" s="5"/>
      <c r="D1974" s="7"/>
      <c r="E1974" s="1807"/>
      <c r="F1974" s="1807"/>
      <c r="G1974" s="441"/>
    </row>
    <row r="1975" spans="1:19" x14ac:dyDescent="0.25">
      <c r="A1975" s="1807" t="s">
        <v>30</v>
      </c>
      <c r="B1975" s="1807"/>
      <c r="C1975" s="5"/>
      <c r="D1975" s="1807" t="s">
        <v>2991</v>
      </c>
      <c r="E1975" s="1807"/>
      <c r="F1975" s="1807"/>
      <c r="G1975" s="441"/>
    </row>
    <row r="1976" spans="1:19" x14ac:dyDescent="0.25">
      <c r="A1976" s="1541"/>
      <c r="B1976" s="1541"/>
      <c r="C1976" s="1541"/>
      <c r="D1976" s="1541"/>
      <c r="E1976" s="1541"/>
      <c r="F1976" s="1541"/>
      <c r="G1976" s="1541"/>
      <c r="S1976" s="1190"/>
    </row>
    <row r="1977" spans="1:19" x14ac:dyDescent="0.25">
      <c r="A1977" s="1541"/>
      <c r="B1977" s="1541"/>
      <c r="C1977" s="1541"/>
      <c r="D1977" s="1541"/>
      <c r="E1977" s="1541"/>
      <c r="F1977" s="1541"/>
      <c r="G1977" s="1541"/>
      <c r="S1977" s="1190"/>
    </row>
    <row r="1978" spans="1:19" x14ac:dyDescent="0.25">
      <c r="A1978" s="1911" t="s">
        <v>0</v>
      </c>
      <c r="B1978" s="1911"/>
      <c r="C1978" s="1911"/>
      <c r="D1978" s="1911"/>
      <c r="E1978" s="1911"/>
      <c r="F1978" s="1911"/>
      <c r="G1978" s="1911"/>
      <c r="S1978" s="1190"/>
    </row>
    <row r="1979" spans="1:19" x14ac:dyDescent="0.25">
      <c r="A1979" s="1911" t="s">
        <v>1</v>
      </c>
      <c r="B1979" s="1911"/>
      <c r="C1979" s="1911"/>
      <c r="D1979" s="1911"/>
      <c r="E1979" s="1911"/>
      <c r="F1979" s="1911"/>
      <c r="G1979" s="1911"/>
      <c r="S1979" s="1190"/>
    </row>
    <row r="1980" spans="1:19" x14ac:dyDescent="0.25">
      <c r="A1980" s="1911" t="s">
        <v>1697</v>
      </c>
      <c r="B1980" s="1911"/>
      <c r="C1980" s="1911"/>
      <c r="D1980" s="1911"/>
      <c r="E1980" s="1911"/>
      <c r="F1980" s="1911"/>
      <c r="G1980" s="1911"/>
      <c r="S1980" s="1190"/>
    </row>
    <row r="1981" spans="1:19" x14ac:dyDescent="0.25">
      <c r="A1981" s="1441"/>
      <c r="B1981" s="1442"/>
      <c r="C1981" s="1443"/>
      <c r="D1981" s="1443"/>
      <c r="E1981" s="1444"/>
      <c r="F1981" s="1444"/>
      <c r="G1981" s="1444"/>
      <c r="S1981" s="1190"/>
    </row>
    <row r="1982" spans="1:19" x14ac:dyDescent="0.25">
      <c r="A1982" s="1444" t="s">
        <v>1913</v>
      </c>
      <c r="B1982" s="1445"/>
      <c r="C1982" s="1446"/>
      <c r="D1982" s="1446"/>
      <c r="E1982" s="1447"/>
      <c r="F1982" s="1447"/>
      <c r="G1982" s="1444"/>
      <c r="S1982" s="1190"/>
    </row>
    <row r="1983" spans="1:19" ht="24.75" x14ac:dyDescent="0.25">
      <c r="A1983" s="1511" t="s">
        <v>814</v>
      </c>
      <c r="B1983" s="1512" t="s">
        <v>1959</v>
      </c>
      <c r="C1983" s="1446"/>
      <c r="D1983" s="1446"/>
      <c r="E1983" s="1447" t="s">
        <v>1915</v>
      </c>
      <c r="F1983" s="1447"/>
      <c r="G1983" s="1444"/>
      <c r="S1983" s="1190"/>
    </row>
    <row r="1984" spans="1:19" ht="75" x14ac:dyDescent="0.25">
      <c r="A1984" s="1513" t="s">
        <v>858</v>
      </c>
      <c r="B1984" s="1514" t="s">
        <v>2902</v>
      </c>
      <c r="C1984" s="1446"/>
      <c r="D1984" s="1446"/>
      <c r="E1984" s="1447" t="s">
        <v>1917</v>
      </c>
      <c r="F1984" s="1447"/>
      <c r="G1984" s="1511"/>
      <c r="S1984" s="1190"/>
    </row>
    <row r="1985" spans="1:19" ht="30" x14ac:dyDescent="0.25">
      <c r="A1985" s="1513" t="s">
        <v>1918</v>
      </c>
      <c r="B1985" s="1514" t="s">
        <v>2265</v>
      </c>
      <c r="C1985" s="1446"/>
      <c r="D1985" s="1446"/>
      <c r="E1985" s="1447"/>
      <c r="F1985" s="1447"/>
      <c r="G1985" s="1511"/>
      <c r="S1985" s="1190"/>
    </row>
    <row r="1986" spans="1:19" x14ac:dyDescent="0.25">
      <c r="A1986" s="1444" t="s">
        <v>1920</v>
      </c>
      <c r="B1986" s="1445" t="s">
        <v>63</v>
      </c>
      <c r="C1986" s="1446"/>
      <c r="D1986" s="1446"/>
      <c r="E1986" s="1444"/>
      <c r="F1986" s="1444"/>
      <c r="G1986" s="1444"/>
      <c r="S1986" s="1190"/>
    </row>
    <row r="1987" spans="1:19" x14ac:dyDescent="0.25">
      <c r="A1987" s="1511" t="s">
        <v>64</v>
      </c>
      <c r="B1987" s="1512" t="s">
        <v>65</v>
      </c>
      <c r="C1987" s="1446"/>
      <c r="D1987" s="1446"/>
      <c r="E1987" s="1511"/>
      <c r="F1987" s="1511"/>
      <c r="G1987" s="1511"/>
      <c r="S1987" s="1190"/>
    </row>
    <row r="1988" spans="1:19" x14ac:dyDescent="0.25">
      <c r="A1988" s="536"/>
      <c r="B1988" s="538"/>
      <c r="C1988" s="1515"/>
      <c r="D1988" s="1515"/>
      <c r="E1988" s="536"/>
      <c r="F1988" s="536"/>
      <c r="G1988" s="536"/>
      <c r="S1988" s="1190"/>
    </row>
    <row r="1989" spans="1:19" ht="24" x14ac:dyDescent="0.25">
      <c r="A1989" s="802" t="s">
        <v>31</v>
      </c>
      <c r="B1989" s="802" t="s">
        <v>12</v>
      </c>
      <c r="C1989" s="1960" t="s">
        <v>13</v>
      </c>
      <c r="D1989" s="1961"/>
      <c r="E1989" s="1516" t="s">
        <v>14</v>
      </c>
      <c r="F1989" s="786" t="s">
        <v>15</v>
      </c>
      <c r="G1989" s="1517" t="s">
        <v>301</v>
      </c>
      <c r="S1989" s="1190"/>
    </row>
    <row r="1990" spans="1:19" x14ac:dyDescent="0.25">
      <c r="A1990" s="446">
        <v>1</v>
      </c>
      <c r="B1990" s="443">
        <v>2</v>
      </c>
      <c r="C1990" s="1838">
        <v>3</v>
      </c>
      <c r="D1990" s="1839"/>
      <c r="E1990" s="710">
        <v>4</v>
      </c>
      <c r="F1990" s="392">
        <v>5</v>
      </c>
      <c r="G1990" s="447">
        <v>7</v>
      </c>
      <c r="S1990" s="1190"/>
    </row>
    <row r="1991" spans="1:19" x14ac:dyDescent="0.25">
      <c r="A1991" s="541" t="s">
        <v>2248</v>
      </c>
      <c r="B1991" s="1518" t="s">
        <v>1962</v>
      </c>
      <c r="C1991" s="1519"/>
      <c r="D1991" s="1520"/>
      <c r="E1991" s="1521"/>
      <c r="F1991" s="1522"/>
      <c r="G1991" s="447"/>
      <c r="S1991" s="1190"/>
    </row>
    <row r="1992" spans="1:19" x14ac:dyDescent="0.25">
      <c r="A1992" s="541" t="s">
        <v>2249</v>
      </c>
      <c r="B1992" s="1518" t="s">
        <v>1964</v>
      </c>
      <c r="C1992" s="1519"/>
      <c r="D1992" s="1520"/>
      <c r="E1992" s="1521"/>
      <c r="F1992" s="1522"/>
      <c r="G1992" s="447"/>
      <c r="S1992" s="1190"/>
    </row>
    <row r="1993" spans="1:19" ht="24" x14ac:dyDescent="0.25">
      <c r="A1993" s="541" t="s">
        <v>2250</v>
      </c>
      <c r="B1993" s="1518" t="s">
        <v>1952</v>
      </c>
      <c r="C1993" s="559"/>
      <c r="D1993" s="1520"/>
      <c r="E1993" s="1521"/>
      <c r="F1993" s="1522"/>
      <c r="G1993" s="447"/>
      <c r="S1993" s="1190"/>
    </row>
    <row r="1994" spans="1:19" ht="15.75" thickBot="1" x14ac:dyDescent="0.3">
      <c r="A1994" s="544"/>
      <c r="B1994" s="1523" t="s">
        <v>2815</v>
      </c>
      <c r="C1994" s="559">
        <v>1</v>
      </c>
      <c r="D1994" s="1520" t="s">
        <v>252</v>
      </c>
      <c r="E1994" s="1521">
        <v>356000</v>
      </c>
      <c r="F1994" s="1522">
        <f>E1994*C1994</f>
        <v>356000</v>
      </c>
      <c r="G1994" s="447"/>
      <c r="S1994" s="1190"/>
    </row>
    <row r="1995" spans="1:19" ht="15.75" thickBot="1" x14ac:dyDescent="0.3">
      <c r="A1995" s="576"/>
      <c r="B1995" s="1912" t="s">
        <v>613</v>
      </c>
      <c r="C1995" s="1913"/>
      <c r="D1995" s="1913"/>
      <c r="E1995" s="1914"/>
      <c r="F1995" s="1525">
        <f>SUM(F1994:F1994)</f>
        <v>356000</v>
      </c>
      <c r="G1995" s="447"/>
      <c r="S1995" s="1190"/>
    </row>
    <row r="1996" spans="1:19" x14ac:dyDescent="0.25">
      <c r="A1996" s="541" t="s">
        <v>2252</v>
      </c>
      <c r="B1996" s="1527" t="s">
        <v>1927</v>
      </c>
      <c r="C1996" s="1524"/>
      <c r="D1996" s="1528"/>
      <c r="E1996" s="576"/>
      <c r="F1996" s="1529"/>
      <c r="G1996" s="447"/>
      <c r="S1996" s="1190"/>
    </row>
    <row r="1997" spans="1:19" x14ac:dyDescent="0.25">
      <c r="A1997" s="541"/>
      <c r="B1997" s="719" t="s">
        <v>1928</v>
      </c>
      <c r="C1997" s="392">
        <v>9</v>
      </c>
      <c r="D1997" s="393" t="s">
        <v>461</v>
      </c>
      <c r="E1997" s="924">
        <v>143000</v>
      </c>
      <c r="F1997" s="1522">
        <f>E1997*C1997</f>
        <v>1287000</v>
      </c>
      <c r="G1997" s="447"/>
      <c r="S1997" s="1190"/>
    </row>
    <row r="1998" spans="1:19" ht="15.75" thickBot="1" x14ac:dyDescent="0.3">
      <c r="A1998" s="541"/>
      <c r="B1998" s="1530" t="s">
        <v>1929</v>
      </c>
      <c r="C1998" s="1531">
        <v>18</v>
      </c>
      <c r="D1998" s="1064" t="s">
        <v>461</v>
      </c>
      <c r="E1998" s="1542">
        <v>130000</v>
      </c>
      <c r="F1998" s="1533">
        <f>E1998*C1998</f>
        <v>2340000</v>
      </c>
      <c r="G1998" s="447"/>
      <c r="S1998" s="1190"/>
    </row>
    <row r="1999" spans="1:19" ht="15.75" thickBot="1" x14ac:dyDescent="0.3">
      <c r="A1999" s="1534"/>
      <c r="B1999" s="1915" t="s">
        <v>613</v>
      </c>
      <c r="C1999" s="1916"/>
      <c r="D1999" s="1916"/>
      <c r="E1999" s="1917"/>
      <c r="F1999" s="1525">
        <f>SUM(F1997:F1998)</f>
        <v>3627000</v>
      </c>
      <c r="G1999" s="1526"/>
      <c r="S1999" s="1190"/>
    </row>
    <row r="2000" spans="1:19" x14ac:dyDescent="0.25">
      <c r="A2000" s="541" t="s">
        <v>2262</v>
      </c>
      <c r="B2000" s="1535" t="s">
        <v>1930</v>
      </c>
      <c r="C2000" s="1524"/>
      <c r="D2000" s="1528"/>
      <c r="E2000" s="576"/>
      <c r="F2000" s="1529"/>
      <c r="G2000" s="447"/>
      <c r="S2000" s="1190"/>
    </row>
    <row r="2001" spans="1:20" ht="33" x14ac:dyDescent="0.25">
      <c r="A2001" s="720"/>
      <c r="B2001" s="1582" t="s">
        <v>2266</v>
      </c>
      <c r="C2001" s="1524">
        <v>10</v>
      </c>
      <c r="D2001" s="1528" t="s">
        <v>984</v>
      </c>
      <c r="E2001" s="1580">
        <v>687000</v>
      </c>
      <c r="F2001" s="1529">
        <f>E2001*C2001</f>
        <v>6870000</v>
      </c>
      <c r="G2001" s="447"/>
      <c r="S2001" s="1190"/>
    </row>
    <row r="2002" spans="1:20" ht="16.5" x14ac:dyDescent="0.25">
      <c r="A2002" s="720"/>
      <c r="B2002" s="1582" t="s">
        <v>2258</v>
      </c>
      <c r="C2002" s="1524">
        <v>1609</v>
      </c>
      <c r="D2002" s="1528" t="s">
        <v>180</v>
      </c>
      <c r="E2002" s="1580">
        <v>3000</v>
      </c>
      <c r="F2002" s="1529">
        <f t="shared" ref="F2002:F2003" si="35">E2002*C2002</f>
        <v>4827000</v>
      </c>
      <c r="G2002" s="447"/>
      <c r="S2002" s="1190"/>
    </row>
    <row r="2003" spans="1:20" ht="16.5" x14ac:dyDescent="0.25">
      <c r="A2003" s="720"/>
      <c r="B2003" s="1582" t="s">
        <v>1932</v>
      </c>
      <c r="C2003" s="1524">
        <v>4</v>
      </c>
      <c r="D2003" s="1528" t="s">
        <v>984</v>
      </c>
      <c r="E2003" s="1580">
        <v>626000</v>
      </c>
      <c r="F2003" s="1529">
        <f t="shared" si="35"/>
        <v>2504000</v>
      </c>
      <c r="G2003" s="447"/>
      <c r="H2003" s="175"/>
      <c r="S2003" s="1190"/>
    </row>
    <row r="2004" spans="1:20" ht="15.75" thickBot="1" x14ac:dyDescent="0.3">
      <c r="A2004" s="544"/>
      <c r="B2004" s="1536"/>
      <c r="C2004" s="1537"/>
      <c r="D2004" s="1538"/>
      <c r="E2004" s="1539"/>
      <c r="F2004" s="1533"/>
      <c r="G2004" s="447"/>
      <c r="H2004" s="175"/>
      <c r="S2004" s="1190"/>
    </row>
    <row r="2005" spans="1:20" ht="15.75" thickBot="1" x14ac:dyDescent="0.3">
      <c r="A2005" s="1524"/>
      <c r="B2005" s="1912" t="s">
        <v>613</v>
      </c>
      <c r="C2005" s="1913"/>
      <c r="D2005" s="1913"/>
      <c r="E2005" s="1914"/>
      <c r="F2005" s="1525">
        <f>SUM(F2001:F2003)</f>
        <v>14201000</v>
      </c>
      <c r="G2005" s="1526"/>
      <c r="S2005" s="1190"/>
    </row>
    <row r="2006" spans="1:20" ht="15.75" thickBot="1" x14ac:dyDescent="0.3">
      <c r="A2006" s="1524"/>
      <c r="B2006" s="1912" t="s">
        <v>27</v>
      </c>
      <c r="C2006" s="1913"/>
      <c r="D2006" s="1913"/>
      <c r="E2006" s="1914"/>
      <c r="F2006" s="1525">
        <f>F2005+F1999+F1995</f>
        <v>18184000</v>
      </c>
      <c r="G2006" s="1526" t="s">
        <v>2625</v>
      </c>
      <c r="J2006" s="1190"/>
      <c r="S2006" s="1190">
        <f>F2006</f>
        <v>18184000</v>
      </c>
      <c r="T2006" s="1190"/>
    </row>
    <row r="2007" spans="1:20" x14ac:dyDescent="0.25">
      <c r="A2007" s="1807" t="s">
        <v>614</v>
      </c>
      <c r="B2007" s="1807"/>
      <c r="C2007" s="5" t="s">
        <v>28</v>
      </c>
      <c r="D2007" s="1808" t="s">
        <v>1698</v>
      </c>
      <c r="E2007" s="1808"/>
      <c r="F2007" s="1808"/>
      <c r="G2007" s="441"/>
    </row>
    <row r="2008" spans="1:20" x14ac:dyDescent="0.25">
      <c r="A2008" s="1807" t="s">
        <v>29</v>
      </c>
      <c r="B2008" s="1807"/>
      <c r="C2008" s="5"/>
      <c r="D2008" s="1809" t="s">
        <v>2990</v>
      </c>
      <c r="E2008" s="1809"/>
      <c r="F2008" s="1809"/>
      <c r="G2008" s="441"/>
    </row>
    <row r="2009" spans="1:20" x14ac:dyDescent="0.25">
      <c r="A2009" s="1"/>
      <c r="B2009" s="3"/>
      <c r="C2009" s="5"/>
      <c r="D2009" s="7"/>
      <c r="E2009" s="17"/>
      <c r="F2009" s="17"/>
      <c r="G2009" s="441"/>
    </row>
    <row r="2010" spans="1:20" x14ac:dyDescent="0.25">
      <c r="A2010" s="1"/>
      <c r="B2010" s="3"/>
      <c r="C2010" s="5"/>
      <c r="D2010" s="7"/>
      <c r="E2010" s="17"/>
      <c r="F2010" s="17"/>
      <c r="G2010" s="441"/>
    </row>
    <row r="2011" spans="1:20" x14ac:dyDescent="0.25">
      <c r="A2011" s="1807"/>
      <c r="B2011" s="1807"/>
      <c r="C2011" s="5"/>
      <c r="D2011" s="7"/>
      <c r="E2011" s="1807"/>
      <c r="F2011" s="1807"/>
      <c r="G2011" s="441"/>
    </row>
    <row r="2012" spans="1:20" x14ac:dyDescent="0.25">
      <c r="A2012" s="1807" t="s">
        <v>30</v>
      </c>
      <c r="B2012" s="1807"/>
      <c r="C2012" s="5"/>
      <c r="D2012" s="1807" t="s">
        <v>2991</v>
      </c>
      <c r="E2012" s="1807"/>
      <c r="F2012" s="1807"/>
      <c r="G2012" s="441"/>
    </row>
    <row r="2013" spans="1:20" x14ac:dyDescent="0.25">
      <c r="A2013" s="7"/>
      <c r="B2013" s="1329"/>
      <c r="C2013" s="1329"/>
      <c r="D2013" s="1329"/>
      <c r="E2013" s="1329"/>
      <c r="F2013" s="1330"/>
      <c r="G2013" s="138"/>
      <c r="S2013" s="1190"/>
    </row>
    <row r="2014" spans="1:20" x14ac:dyDescent="0.25">
      <c r="A2014" s="7"/>
      <c r="B2014" s="1329"/>
      <c r="C2014" s="1329"/>
      <c r="D2014" s="1329"/>
      <c r="E2014" s="1329"/>
      <c r="F2014" s="1330"/>
      <c r="G2014" s="138"/>
      <c r="S2014" s="1190"/>
    </row>
    <row r="2015" spans="1:20" x14ac:dyDescent="0.25">
      <c r="A2015" s="7"/>
      <c r="B2015" s="1329"/>
      <c r="C2015" s="1329"/>
      <c r="D2015" s="1329"/>
      <c r="E2015" s="1329"/>
      <c r="F2015" s="1330"/>
      <c r="G2015" s="138"/>
      <c r="S2015" s="1190"/>
    </row>
    <row r="2016" spans="1:20" x14ac:dyDescent="0.25">
      <c r="A2016" s="136"/>
      <c r="B2016" s="136"/>
      <c r="C2016" s="5"/>
      <c r="D2016" s="136"/>
      <c r="E2016" s="136"/>
      <c r="F2016" s="1328"/>
      <c r="G2016" s="5"/>
    </row>
    <row r="2017" spans="1:11" s="1541" customFormat="1" x14ac:dyDescent="0.25">
      <c r="A2017" s="1045"/>
      <c r="B2017" s="1045"/>
      <c r="C2017" s="441"/>
      <c r="D2017" s="1045"/>
      <c r="E2017" s="1045"/>
      <c r="F2017" s="1045"/>
      <c r="G2017" s="441"/>
    </row>
    <row r="2018" spans="1:11" x14ac:dyDescent="0.25">
      <c r="A2018" s="1886" t="s">
        <v>1968</v>
      </c>
      <c r="B2018" s="1886"/>
      <c r="C2018" s="1886"/>
      <c r="D2018" s="1886"/>
      <c r="E2018" s="1886"/>
      <c r="F2018" s="1886"/>
      <c r="G2018" s="1886"/>
    </row>
    <row r="2019" spans="1:11" x14ac:dyDescent="0.25">
      <c r="A2019" s="1865" t="s">
        <v>1</v>
      </c>
      <c r="B2019" s="1865"/>
      <c r="C2019" s="1865"/>
      <c r="D2019" s="1865"/>
      <c r="E2019" s="1865"/>
      <c r="F2019" s="1865"/>
      <c r="G2019" s="1865"/>
    </row>
    <row r="2020" spans="1:11" x14ac:dyDescent="0.25">
      <c r="A2020" s="1865" t="s">
        <v>1697</v>
      </c>
      <c r="B2020" s="1865"/>
      <c r="C2020" s="1865"/>
      <c r="D2020" s="1865"/>
      <c r="E2020" s="1865"/>
      <c r="F2020" s="1865"/>
      <c r="G2020" s="1865"/>
    </row>
    <row r="2021" spans="1:11" x14ac:dyDescent="0.25">
      <c r="A2021" s="370"/>
      <c r="B2021" s="279"/>
      <c r="C2021" s="274"/>
      <c r="D2021" s="274"/>
      <c r="E2021" s="277"/>
      <c r="F2021" s="106"/>
      <c r="G2021" s="279"/>
    </row>
    <row r="2022" spans="1:11" ht="30" x14ac:dyDescent="0.25">
      <c r="A2022" s="275" t="s">
        <v>583</v>
      </c>
      <c r="B2022" s="276" t="s">
        <v>786</v>
      </c>
      <c r="C2022" s="274"/>
      <c r="D2022" s="274"/>
      <c r="E2022" s="598" t="s">
        <v>6</v>
      </c>
      <c r="F2022" s="277"/>
      <c r="G2022" s="278"/>
    </row>
    <row r="2023" spans="1:11" ht="30" x14ac:dyDescent="0.25">
      <c r="A2023" s="275" t="s">
        <v>1047</v>
      </c>
      <c r="B2023" s="276" t="s">
        <v>1046</v>
      </c>
      <c r="C2023" s="274"/>
      <c r="D2023" s="274"/>
      <c r="E2023" s="598" t="s">
        <v>9</v>
      </c>
      <c r="F2023" s="277"/>
      <c r="G2023" s="278"/>
    </row>
    <row r="2024" spans="1:11" ht="45" x14ac:dyDescent="0.25">
      <c r="A2024" s="275" t="s">
        <v>1045</v>
      </c>
      <c r="B2024" s="279" t="s">
        <v>1044</v>
      </c>
      <c r="C2024" s="279"/>
      <c r="D2024" s="274"/>
      <c r="E2024" s="106"/>
      <c r="F2024" s="277"/>
      <c r="G2024" s="278"/>
    </row>
    <row r="2025" spans="1:11" ht="30" x14ac:dyDescent="0.25">
      <c r="A2025" s="279" t="s">
        <v>560</v>
      </c>
      <c r="B2025" s="279" t="s">
        <v>63</v>
      </c>
      <c r="C2025" s="274"/>
      <c r="D2025" s="274"/>
      <c r="E2025" s="277"/>
      <c r="F2025" s="277"/>
      <c r="G2025" s="278"/>
    </row>
    <row r="2026" spans="1:11" x14ac:dyDescent="0.25">
      <c r="A2026" s="274"/>
      <c r="B2026" s="279"/>
      <c r="C2026" s="274"/>
      <c r="D2026" s="274"/>
      <c r="E2026" s="106"/>
      <c r="F2026" s="106"/>
      <c r="G2026" s="279"/>
    </row>
    <row r="2027" spans="1:11" ht="45" x14ac:dyDescent="0.25">
      <c r="A2027" s="599" t="s">
        <v>640</v>
      </c>
      <c r="B2027" s="600" t="s">
        <v>12</v>
      </c>
      <c r="C2027" s="1866" t="s">
        <v>13</v>
      </c>
      <c r="D2027" s="1866"/>
      <c r="E2027" s="602" t="s">
        <v>14</v>
      </c>
      <c r="F2027" s="601" t="s">
        <v>15</v>
      </c>
      <c r="G2027" s="603" t="s">
        <v>301</v>
      </c>
    </row>
    <row r="2028" spans="1:11" x14ac:dyDescent="0.25">
      <c r="A2028" s="604">
        <v>1</v>
      </c>
      <c r="B2028" s="601">
        <v>2</v>
      </c>
      <c r="C2028" s="1820">
        <v>3</v>
      </c>
      <c r="D2028" s="1821"/>
      <c r="E2028" s="607">
        <v>4</v>
      </c>
      <c r="F2028" s="605">
        <v>5</v>
      </c>
      <c r="G2028" s="608"/>
    </row>
    <row r="2029" spans="1:11" ht="30" x14ac:dyDescent="0.25">
      <c r="A2029" s="609" t="s">
        <v>1043</v>
      </c>
      <c r="B2029" s="1721" t="s">
        <v>855</v>
      </c>
      <c r="C2029" s="610"/>
      <c r="D2029" s="611"/>
      <c r="E2029" s="612"/>
      <c r="F2029" s="1722"/>
      <c r="G2029" s="252"/>
    </row>
    <row r="2030" spans="1:11" ht="30" x14ac:dyDescent="0.25">
      <c r="A2030" s="609" t="s">
        <v>1042</v>
      </c>
      <c r="B2030" s="1721" t="s">
        <v>854</v>
      </c>
      <c r="C2030" s="610"/>
      <c r="D2030" s="611"/>
      <c r="E2030" s="612"/>
      <c r="F2030" s="1722"/>
      <c r="G2030" s="252"/>
    </row>
    <row r="2031" spans="1:11" ht="60" x14ac:dyDescent="0.25">
      <c r="A2031" s="1723" t="s">
        <v>1041</v>
      </c>
      <c r="B2031" s="613" t="s">
        <v>146</v>
      </c>
      <c r="C2031" s="1724"/>
      <c r="D2031" s="1725"/>
      <c r="E2031" s="614"/>
      <c r="F2031" s="1723"/>
      <c r="G2031" s="252"/>
    </row>
    <row r="2032" spans="1:11" x14ac:dyDescent="0.25">
      <c r="A2032" s="609"/>
      <c r="B2032" s="615" t="s">
        <v>1762</v>
      </c>
      <c r="C2032" s="605">
        <v>6</v>
      </c>
      <c r="D2032" s="606" t="s">
        <v>148</v>
      </c>
      <c r="E2032" s="616">
        <v>500000</v>
      </c>
      <c r="F2032" s="617">
        <f>C2032*E2032</f>
        <v>3000000</v>
      </c>
      <c r="G2032" s="618" t="s">
        <v>1682</v>
      </c>
      <c r="K2032" s="1190">
        <f>F2032</f>
        <v>3000000</v>
      </c>
    </row>
    <row r="2033" spans="1:21" ht="30" x14ac:dyDescent="0.25">
      <c r="A2033" s="609"/>
      <c r="B2033" s="615" t="s">
        <v>1762</v>
      </c>
      <c r="C2033" s="605">
        <v>6</v>
      </c>
      <c r="D2033" s="606" t="s">
        <v>148</v>
      </c>
      <c r="E2033" s="616">
        <v>500000</v>
      </c>
      <c r="F2033" s="617">
        <f>C2033*E2033</f>
        <v>3000000</v>
      </c>
      <c r="G2033" s="618" t="s">
        <v>2626</v>
      </c>
      <c r="T2033" s="1190">
        <f>F2033</f>
        <v>3000000</v>
      </c>
    </row>
    <row r="2034" spans="1:21" ht="30" x14ac:dyDescent="0.25">
      <c r="A2034" s="609"/>
      <c r="B2034" s="615" t="s">
        <v>1040</v>
      </c>
      <c r="C2034" s="605">
        <f>2*9</f>
        <v>18</v>
      </c>
      <c r="D2034" s="606" t="s">
        <v>148</v>
      </c>
      <c r="E2034" s="616">
        <v>4200000</v>
      </c>
      <c r="F2034" s="617">
        <f>C2034*E2034</f>
        <v>75600000</v>
      </c>
      <c r="G2034" s="618" t="s">
        <v>1682</v>
      </c>
      <c r="K2034" s="1190">
        <f>F2034</f>
        <v>75600000</v>
      </c>
    </row>
    <row r="2035" spans="1:21" ht="30" x14ac:dyDescent="0.25">
      <c r="A2035" s="609"/>
      <c r="B2035" s="615" t="s">
        <v>1763</v>
      </c>
      <c r="C2035" s="605">
        <f>2*3</f>
        <v>6</v>
      </c>
      <c r="D2035" s="606" t="s">
        <v>148</v>
      </c>
      <c r="E2035" s="616">
        <v>4200000</v>
      </c>
      <c r="F2035" s="617">
        <f>C2035*E2035</f>
        <v>25200000</v>
      </c>
      <c r="G2035" s="618" t="s">
        <v>2626</v>
      </c>
      <c r="T2035" s="1190">
        <f>F2035</f>
        <v>25200000</v>
      </c>
    </row>
    <row r="2036" spans="1:21" x14ac:dyDescent="0.25">
      <c r="A2036" s="609"/>
      <c r="B2036" s="615"/>
      <c r="C2036" s="605"/>
      <c r="D2036" s="606"/>
      <c r="E2036" s="616"/>
      <c r="F2036" s="617"/>
      <c r="G2036" s="618"/>
    </row>
    <row r="2037" spans="1:21" x14ac:dyDescent="0.25">
      <c r="A2037" s="609"/>
      <c r="B2037" s="615" t="s">
        <v>1039</v>
      </c>
      <c r="C2037" s="605">
        <v>1</v>
      </c>
      <c r="D2037" s="606" t="s">
        <v>248</v>
      </c>
      <c r="E2037" s="616">
        <v>3000000</v>
      </c>
      <c r="F2037" s="617">
        <f>C2037*E2037</f>
        <v>3000000</v>
      </c>
      <c r="G2037" s="618" t="s">
        <v>1682</v>
      </c>
      <c r="K2037" s="1190">
        <f>F2037</f>
        <v>3000000</v>
      </c>
    </row>
    <row r="2038" spans="1:21" ht="30" x14ac:dyDescent="0.25">
      <c r="A2038" s="1734" t="s">
        <v>1038</v>
      </c>
      <c r="B2038" s="1743" t="s">
        <v>1037</v>
      </c>
      <c r="C2038" s="1744"/>
      <c r="D2038" s="1745"/>
      <c r="E2038" s="1746"/>
      <c r="F2038" s="1747"/>
      <c r="G2038" s="1616"/>
    </row>
    <row r="2039" spans="1:21" x14ac:dyDescent="0.25">
      <c r="A2039" s="620"/>
      <c r="B2039" s="621" t="s">
        <v>449</v>
      </c>
      <c r="C2039" s="605">
        <v>8000</v>
      </c>
      <c r="D2039" s="606" t="s">
        <v>312</v>
      </c>
      <c r="E2039" s="622">
        <v>250</v>
      </c>
      <c r="F2039" s="617">
        <f>C2039*E2039</f>
        <v>2000000</v>
      </c>
      <c r="G2039" s="618" t="s">
        <v>1682</v>
      </c>
      <c r="K2039" s="1190">
        <f>F2039</f>
        <v>2000000</v>
      </c>
    </row>
    <row r="2040" spans="1:21" x14ac:dyDescent="0.25">
      <c r="A2040" s="620"/>
      <c r="B2040" s="1726" t="s">
        <v>1035</v>
      </c>
      <c r="C2040" s="605">
        <v>12</v>
      </c>
      <c r="D2040" s="606" t="s">
        <v>204</v>
      </c>
      <c r="E2040" s="623">
        <v>300000</v>
      </c>
      <c r="F2040" s="617">
        <f>C2040*E2040</f>
        <v>3600000</v>
      </c>
      <c r="G2040" s="618" t="s">
        <v>1682</v>
      </c>
      <c r="K2040" s="1190">
        <f t="shared" ref="K2040:K2041" si="36">F2040</f>
        <v>3600000</v>
      </c>
    </row>
    <row r="2041" spans="1:21" ht="30" x14ac:dyDescent="0.25">
      <c r="A2041" s="620"/>
      <c r="B2041" s="1726" t="s">
        <v>1034</v>
      </c>
      <c r="C2041" s="605">
        <v>1</v>
      </c>
      <c r="D2041" s="606" t="s">
        <v>123</v>
      </c>
      <c r="E2041" s="623">
        <v>150000</v>
      </c>
      <c r="F2041" s="617">
        <f>C2041*E2041</f>
        <v>150000</v>
      </c>
      <c r="G2041" s="618" t="s">
        <v>1682</v>
      </c>
      <c r="K2041" s="1190">
        <f t="shared" si="36"/>
        <v>150000</v>
      </c>
    </row>
    <row r="2042" spans="1:21" ht="29.25" x14ac:dyDescent="0.25">
      <c r="A2042" s="609" t="s">
        <v>1033</v>
      </c>
      <c r="B2042" s="1727" t="s">
        <v>1032</v>
      </c>
      <c r="C2042" s="605"/>
      <c r="D2042" s="606"/>
      <c r="E2042" s="616"/>
      <c r="F2042" s="617"/>
      <c r="G2042" s="618"/>
    </row>
    <row r="2043" spans="1:21" ht="45" x14ac:dyDescent="0.25">
      <c r="A2043" s="609"/>
      <c r="B2043" s="1728" t="s">
        <v>1031</v>
      </c>
      <c r="C2043" s="605">
        <v>365</v>
      </c>
      <c r="D2043" s="606" t="s">
        <v>1030</v>
      </c>
      <c r="E2043" s="616">
        <v>7000</v>
      </c>
      <c r="F2043" s="617">
        <f t="shared" ref="F2043:F2055" si="37">C2043*E2043</f>
        <v>2555000</v>
      </c>
      <c r="G2043" s="618" t="s">
        <v>1682</v>
      </c>
      <c r="K2043" s="1190">
        <f t="shared" ref="K2043:K2049" si="38">F2043</f>
        <v>2555000</v>
      </c>
      <c r="U2043" s="1190"/>
    </row>
    <row r="2044" spans="1:21" ht="30" x14ac:dyDescent="0.25">
      <c r="A2044" s="609"/>
      <c r="B2044" s="1728" t="s">
        <v>2964</v>
      </c>
      <c r="C2044" s="605">
        <v>288</v>
      </c>
      <c r="D2044" s="606" t="s">
        <v>1030</v>
      </c>
      <c r="E2044" s="616">
        <v>220000</v>
      </c>
      <c r="F2044" s="617">
        <f t="shared" si="37"/>
        <v>63360000</v>
      </c>
      <c r="G2044" s="618" t="s">
        <v>1690</v>
      </c>
      <c r="K2044" s="1190"/>
      <c r="Q2044" s="1190">
        <f>F2044</f>
        <v>63360000</v>
      </c>
      <c r="U2044" s="1190"/>
    </row>
    <row r="2045" spans="1:21" x14ac:dyDescent="0.25">
      <c r="A2045" s="609"/>
      <c r="B2045" s="1728" t="s">
        <v>1029</v>
      </c>
      <c r="C2045" s="605">
        <v>12</v>
      </c>
      <c r="D2045" s="606" t="s">
        <v>148</v>
      </c>
      <c r="E2045" s="616">
        <v>100000</v>
      </c>
      <c r="F2045" s="617">
        <f t="shared" si="37"/>
        <v>1200000</v>
      </c>
      <c r="G2045" s="618" t="s">
        <v>1682</v>
      </c>
      <c r="K2045" s="1190">
        <f t="shared" si="38"/>
        <v>1200000</v>
      </c>
      <c r="U2045" s="1190"/>
    </row>
    <row r="2046" spans="1:21" x14ac:dyDescent="0.25">
      <c r="A2046" s="609"/>
      <c r="B2046" s="1728" t="s">
        <v>1028</v>
      </c>
      <c r="C2046" s="605">
        <v>48</v>
      </c>
      <c r="D2046" s="606" t="s">
        <v>102</v>
      </c>
      <c r="E2046" s="616">
        <v>240000</v>
      </c>
      <c r="F2046" s="617">
        <f t="shared" si="37"/>
        <v>11520000</v>
      </c>
      <c r="G2046" s="618" t="s">
        <v>1682</v>
      </c>
      <c r="K2046" s="1190">
        <f t="shared" si="38"/>
        <v>11520000</v>
      </c>
      <c r="U2046" s="1190"/>
    </row>
    <row r="2047" spans="1:21" x14ac:dyDescent="0.25">
      <c r="A2047" s="620"/>
      <c r="B2047" s="1726" t="s">
        <v>1027</v>
      </c>
      <c r="C2047" s="605">
        <v>4</v>
      </c>
      <c r="D2047" s="606" t="s">
        <v>123</v>
      </c>
      <c r="E2047" s="616">
        <v>160000</v>
      </c>
      <c r="F2047" s="617">
        <f t="shared" si="37"/>
        <v>640000</v>
      </c>
      <c r="G2047" s="618" t="s">
        <v>1682</v>
      </c>
      <c r="K2047" s="1190">
        <f t="shared" si="38"/>
        <v>640000</v>
      </c>
    </row>
    <row r="2048" spans="1:21" x14ac:dyDescent="0.25">
      <c r="A2048" s="620"/>
      <c r="B2048" s="1726" t="s">
        <v>133</v>
      </c>
      <c r="C2048" s="605">
        <v>6</v>
      </c>
      <c r="D2048" s="606" t="s">
        <v>123</v>
      </c>
      <c r="E2048" s="616">
        <v>6600</v>
      </c>
      <c r="F2048" s="617">
        <f t="shared" si="37"/>
        <v>39600</v>
      </c>
      <c r="G2048" s="618" t="s">
        <v>1682</v>
      </c>
      <c r="K2048" s="1190">
        <f t="shared" si="38"/>
        <v>39600</v>
      </c>
    </row>
    <row r="2049" spans="1:20" ht="45" x14ac:dyDescent="0.25">
      <c r="A2049" s="620"/>
      <c r="B2049" s="1726" t="s">
        <v>1026</v>
      </c>
      <c r="C2049" s="605">
        <v>1000</v>
      </c>
      <c r="D2049" s="606" t="s">
        <v>123</v>
      </c>
      <c r="E2049" s="616">
        <v>15000</v>
      </c>
      <c r="F2049" s="617">
        <f t="shared" si="37"/>
        <v>15000000</v>
      </c>
      <c r="G2049" s="618" t="s">
        <v>1682</v>
      </c>
      <c r="K2049" s="1190">
        <f t="shared" si="38"/>
        <v>15000000</v>
      </c>
    </row>
    <row r="2050" spans="1:20" ht="30" x14ac:dyDescent="0.25">
      <c r="A2050" s="624"/>
      <c r="B2050" s="625" t="s">
        <v>1025</v>
      </c>
      <c r="C2050" s="605">
        <v>10</v>
      </c>
      <c r="D2050" s="606" t="s">
        <v>204</v>
      </c>
      <c r="E2050" s="626">
        <v>350000</v>
      </c>
      <c r="F2050" s="617">
        <f t="shared" si="37"/>
        <v>3500000</v>
      </c>
      <c r="G2050" s="618" t="s">
        <v>1682</v>
      </c>
      <c r="K2050" s="1190">
        <f t="shared" ref="K2050:K2055" si="39">F2050</f>
        <v>3500000</v>
      </c>
    </row>
    <row r="2051" spans="1:20" x14ac:dyDescent="0.25">
      <c r="A2051" s="624"/>
      <c r="B2051" s="625" t="s">
        <v>943</v>
      </c>
      <c r="C2051" s="605">
        <v>10</v>
      </c>
      <c r="D2051" s="606" t="s">
        <v>102</v>
      </c>
      <c r="E2051" s="626">
        <v>80000</v>
      </c>
      <c r="F2051" s="617">
        <f t="shared" si="37"/>
        <v>800000</v>
      </c>
      <c r="G2051" s="618" t="s">
        <v>1682</v>
      </c>
      <c r="K2051" s="1190">
        <f t="shared" si="39"/>
        <v>800000</v>
      </c>
    </row>
    <row r="2052" spans="1:20" ht="30" x14ac:dyDescent="0.25">
      <c r="A2052" s="624"/>
      <c r="B2052" s="625" t="s">
        <v>1764</v>
      </c>
      <c r="C2052" s="605">
        <v>1</v>
      </c>
      <c r="D2052" s="606" t="s">
        <v>204</v>
      </c>
      <c r="E2052" s="626">
        <v>3000000</v>
      </c>
      <c r="F2052" s="617">
        <f t="shared" si="37"/>
        <v>3000000</v>
      </c>
      <c r="G2052" s="618" t="s">
        <v>1682</v>
      </c>
      <c r="K2052" s="1190">
        <f t="shared" si="39"/>
        <v>3000000</v>
      </c>
    </row>
    <row r="2053" spans="1:20" x14ac:dyDescent="0.25">
      <c r="A2053" s="624"/>
      <c r="B2053" s="625" t="s">
        <v>1024</v>
      </c>
      <c r="C2053" s="605">
        <v>10</v>
      </c>
      <c r="D2053" s="606" t="s">
        <v>102</v>
      </c>
      <c r="E2053" s="626">
        <v>350000</v>
      </c>
      <c r="F2053" s="617">
        <f t="shared" si="37"/>
        <v>3500000</v>
      </c>
      <c r="G2053" s="618" t="s">
        <v>1682</v>
      </c>
      <c r="K2053" s="1190">
        <f t="shared" si="39"/>
        <v>3500000</v>
      </c>
    </row>
    <row r="2054" spans="1:20" ht="30" x14ac:dyDescent="0.25">
      <c r="A2054" s="624"/>
      <c r="B2054" s="625" t="s">
        <v>1023</v>
      </c>
      <c r="C2054" s="605">
        <v>10</v>
      </c>
      <c r="D2054" s="606" t="s">
        <v>102</v>
      </c>
      <c r="E2054" s="626">
        <v>180000</v>
      </c>
      <c r="F2054" s="617">
        <f t="shared" si="37"/>
        <v>1800000</v>
      </c>
      <c r="G2054" s="618" t="s">
        <v>1682</v>
      </c>
      <c r="K2054" s="1190">
        <f t="shared" si="39"/>
        <v>1800000</v>
      </c>
    </row>
    <row r="2055" spans="1:20" x14ac:dyDescent="0.25">
      <c r="A2055" s="624"/>
      <c r="B2055" s="625" t="s">
        <v>1022</v>
      </c>
      <c r="C2055" s="605">
        <v>10</v>
      </c>
      <c r="D2055" s="606" t="s">
        <v>1021</v>
      </c>
      <c r="E2055" s="626">
        <v>30000</v>
      </c>
      <c r="F2055" s="617">
        <f t="shared" si="37"/>
        <v>300000</v>
      </c>
      <c r="G2055" s="618" t="s">
        <v>1682</v>
      </c>
      <c r="K2055" s="1190">
        <f t="shared" si="39"/>
        <v>300000</v>
      </c>
    </row>
    <row r="2056" spans="1:20" ht="30" x14ac:dyDescent="0.25">
      <c r="A2056" s="609" t="s">
        <v>1020</v>
      </c>
      <c r="B2056" s="615" t="s">
        <v>1019</v>
      </c>
      <c r="C2056" s="605"/>
      <c r="D2056" s="606"/>
      <c r="E2056" s="616"/>
      <c r="F2056" s="617"/>
      <c r="G2056" s="618"/>
    </row>
    <row r="2057" spans="1:20" x14ac:dyDescent="0.25">
      <c r="A2057" s="620"/>
      <c r="B2057" s="625" t="s">
        <v>1018</v>
      </c>
      <c r="C2057" s="605"/>
      <c r="D2057" s="606"/>
      <c r="E2057" s="616"/>
      <c r="F2057" s="617"/>
      <c r="G2057" s="618"/>
    </row>
    <row r="2058" spans="1:20" ht="30" x14ac:dyDescent="0.25">
      <c r="A2058" s="620"/>
      <c r="B2058" s="615" t="s">
        <v>1017</v>
      </c>
      <c r="C2058" s="605">
        <v>365</v>
      </c>
      <c r="D2058" s="606" t="s">
        <v>738</v>
      </c>
      <c r="E2058" s="627">
        <v>15000</v>
      </c>
      <c r="F2058" s="617">
        <f>C2058*E2058</f>
        <v>5475000</v>
      </c>
      <c r="G2058" s="618" t="s">
        <v>1682</v>
      </c>
      <c r="K2058" s="1190">
        <f>F2058</f>
        <v>5475000</v>
      </c>
    </row>
    <row r="2059" spans="1:20" ht="45" x14ac:dyDescent="0.25">
      <c r="A2059" s="620"/>
      <c r="B2059" s="615" t="s">
        <v>1016</v>
      </c>
      <c r="C2059" s="605">
        <v>24</v>
      </c>
      <c r="D2059" s="606" t="s">
        <v>186</v>
      </c>
      <c r="E2059" s="627">
        <v>50000</v>
      </c>
      <c r="F2059" s="617">
        <f>C2059*E2059</f>
        <v>1200000</v>
      </c>
      <c r="G2059" s="618" t="s">
        <v>1682</v>
      </c>
      <c r="K2059" s="1190">
        <f t="shared" ref="K2059:K2060" si="40">F2059</f>
        <v>1200000</v>
      </c>
    </row>
    <row r="2060" spans="1:20" ht="30" x14ac:dyDescent="0.25">
      <c r="A2060" s="620"/>
      <c r="B2060" s="1729" t="s">
        <v>1015</v>
      </c>
      <c r="C2060" s="605">
        <v>1</v>
      </c>
      <c r="D2060" s="606" t="s">
        <v>159</v>
      </c>
      <c r="E2060" s="627">
        <v>1800000</v>
      </c>
      <c r="F2060" s="617">
        <f>C2060*E2060</f>
        <v>1800000</v>
      </c>
      <c r="G2060" s="618" t="s">
        <v>1682</v>
      </c>
      <c r="K2060" s="1190">
        <f t="shared" si="40"/>
        <v>1800000</v>
      </c>
    </row>
    <row r="2061" spans="1:20" x14ac:dyDescent="0.25">
      <c r="A2061" s="609" t="s">
        <v>1014</v>
      </c>
      <c r="B2061" s="625" t="s">
        <v>569</v>
      </c>
      <c r="C2061" s="605"/>
      <c r="D2061" s="606"/>
      <c r="E2061" s="616"/>
      <c r="F2061" s="617"/>
      <c r="G2061" s="618"/>
    </row>
    <row r="2062" spans="1:20" ht="30" x14ac:dyDescent="0.25">
      <c r="A2062" s="609" t="s">
        <v>1013</v>
      </c>
      <c r="B2062" s="625" t="s">
        <v>1012</v>
      </c>
      <c r="C2062" s="605"/>
      <c r="D2062" s="606"/>
      <c r="E2062" s="616"/>
      <c r="F2062" s="617"/>
      <c r="G2062" s="618"/>
    </row>
    <row r="2063" spans="1:20" ht="45" x14ac:dyDescent="0.25">
      <c r="A2063" s="620"/>
      <c r="B2063" s="625" t="s">
        <v>1765</v>
      </c>
      <c r="C2063" s="605">
        <f>2*3</f>
        <v>6</v>
      </c>
      <c r="D2063" s="606" t="s">
        <v>22</v>
      </c>
      <c r="E2063" s="616">
        <v>1700000</v>
      </c>
      <c r="F2063" s="617">
        <f t="shared" ref="F2063:F2068" si="41">C2063*E2063</f>
        <v>10200000</v>
      </c>
      <c r="G2063" s="618" t="s">
        <v>2626</v>
      </c>
      <c r="T2063" s="1190">
        <f>F2063</f>
        <v>10200000</v>
      </c>
    </row>
    <row r="2064" spans="1:20" ht="45" x14ac:dyDescent="0.25">
      <c r="A2064" s="620"/>
      <c r="B2064" s="625" t="s">
        <v>1766</v>
      </c>
      <c r="C2064" s="605">
        <f>2*9</f>
        <v>18</v>
      </c>
      <c r="D2064" s="606" t="s">
        <v>22</v>
      </c>
      <c r="E2064" s="616">
        <v>1700000</v>
      </c>
      <c r="F2064" s="617">
        <f t="shared" si="41"/>
        <v>30600000</v>
      </c>
      <c r="G2064" s="618" t="s">
        <v>1682</v>
      </c>
      <c r="K2064" s="1190">
        <f>F2064</f>
        <v>30600000</v>
      </c>
    </row>
    <row r="2065" spans="1:20" ht="45" x14ac:dyDescent="0.25">
      <c r="A2065" s="620"/>
      <c r="B2065" s="625" t="s">
        <v>1767</v>
      </c>
      <c r="C2065" s="605">
        <f>6*3</f>
        <v>18</v>
      </c>
      <c r="D2065" s="606" t="s">
        <v>22</v>
      </c>
      <c r="E2065" s="616">
        <v>1600000</v>
      </c>
      <c r="F2065" s="617">
        <f t="shared" si="41"/>
        <v>28800000</v>
      </c>
      <c r="G2065" s="618" t="s">
        <v>2626</v>
      </c>
      <c r="T2065" s="1190">
        <f>F2065</f>
        <v>28800000</v>
      </c>
    </row>
    <row r="2066" spans="1:20" ht="45" x14ac:dyDescent="0.25">
      <c r="A2066" s="620"/>
      <c r="B2066" s="625" t="s">
        <v>1768</v>
      </c>
      <c r="C2066" s="605">
        <f>6*9</f>
        <v>54</v>
      </c>
      <c r="D2066" s="606" t="s">
        <v>22</v>
      </c>
      <c r="E2066" s="616">
        <v>1600000</v>
      </c>
      <c r="F2066" s="617">
        <f t="shared" si="41"/>
        <v>86400000</v>
      </c>
      <c r="G2066" s="618" t="s">
        <v>1682</v>
      </c>
      <c r="K2066" s="1190">
        <f>F2066</f>
        <v>86400000</v>
      </c>
    </row>
    <row r="2067" spans="1:20" ht="30" x14ac:dyDescent="0.25">
      <c r="A2067" s="620"/>
      <c r="B2067" s="625" t="s">
        <v>2920</v>
      </c>
      <c r="C2067" s="605">
        <f>2*3</f>
        <v>6</v>
      </c>
      <c r="D2067" s="606" t="s">
        <v>22</v>
      </c>
      <c r="E2067" s="616">
        <v>1600000</v>
      </c>
      <c r="F2067" s="617">
        <f t="shared" si="41"/>
        <v>9600000</v>
      </c>
      <c r="G2067" s="618" t="s">
        <v>1682</v>
      </c>
      <c r="K2067" s="1190">
        <f>F2067</f>
        <v>9600000</v>
      </c>
      <c r="T2067" s="1190"/>
    </row>
    <row r="2068" spans="1:20" ht="30" x14ac:dyDescent="0.25">
      <c r="A2068" s="620"/>
      <c r="B2068" s="625" t="s">
        <v>2921</v>
      </c>
      <c r="C2068" s="605">
        <f>2*9</f>
        <v>18</v>
      </c>
      <c r="D2068" s="606" t="s">
        <v>22</v>
      </c>
      <c r="E2068" s="616">
        <v>1600000</v>
      </c>
      <c r="F2068" s="617">
        <f t="shared" si="41"/>
        <v>28800000</v>
      </c>
      <c r="G2068" s="618" t="s">
        <v>1682</v>
      </c>
      <c r="K2068" s="1190">
        <f>F2068</f>
        <v>28800000</v>
      </c>
    </row>
    <row r="2069" spans="1:20" ht="30" x14ac:dyDescent="0.25">
      <c r="A2069" s="620" t="s">
        <v>1011</v>
      </c>
      <c r="B2069" s="625" t="s">
        <v>1010</v>
      </c>
      <c r="C2069" s="605"/>
      <c r="D2069" s="606"/>
      <c r="E2069" s="616"/>
      <c r="F2069" s="617"/>
      <c r="G2069" s="618"/>
    </row>
    <row r="2070" spans="1:20" ht="30" x14ac:dyDescent="0.25">
      <c r="A2070" s="620" t="s">
        <v>1009</v>
      </c>
      <c r="B2070" s="625" t="s">
        <v>1008</v>
      </c>
      <c r="C2070" s="605"/>
      <c r="D2070" s="606"/>
      <c r="E2070" s="616"/>
      <c r="F2070" s="617"/>
      <c r="G2070" s="618"/>
    </row>
    <row r="2071" spans="1:20" x14ac:dyDescent="0.25">
      <c r="A2071" s="620"/>
      <c r="B2071" s="618" t="s">
        <v>1007</v>
      </c>
      <c r="C2071" s="605">
        <v>2</v>
      </c>
      <c r="D2071" s="606" t="s">
        <v>152</v>
      </c>
      <c r="E2071" s="627">
        <v>5000000</v>
      </c>
      <c r="F2071" s="617">
        <f>C2071*E2071</f>
        <v>10000000</v>
      </c>
      <c r="G2071" s="618" t="s">
        <v>1682</v>
      </c>
      <c r="K2071" s="1190">
        <f>F2071</f>
        <v>10000000</v>
      </c>
    </row>
    <row r="2072" spans="1:20" x14ac:dyDescent="0.25">
      <c r="A2072" s="620"/>
      <c r="B2072" s="618" t="s">
        <v>1006</v>
      </c>
      <c r="C2072" s="605">
        <v>6</v>
      </c>
      <c r="D2072" s="606" t="s">
        <v>152</v>
      </c>
      <c r="E2072" s="627">
        <v>500000</v>
      </c>
      <c r="F2072" s="617">
        <f>C2072*E2072</f>
        <v>3000000</v>
      </c>
      <c r="G2072" s="618" t="s">
        <v>1682</v>
      </c>
      <c r="K2072" s="1190">
        <f t="shared" ref="K2072:K2074" si="42">F2072</f>
        <v>3000000</v>
      </c>
    </row>
    <row r="2073" spans="1:20" x14ac:dyDescent="0.25">
      <c r="A2073" s="620"/>
      <c r="B2073" s="618" t="s">
        <v>1005</v>
      </c>
      <c r="C2073" s="605">
        <v>1</v>
      </c>
      <c r="D2073" s="606" t="s">
        <v>152</v>
      </c>
      <c r="E2073" s="627">
        <v>2700000</v>
      </c>
      <c r="F2073" s="617">
        <f>C2073*E2073</f>
        <v>2700000</v>
      </c>
      <c r="G2073" s="618" t="s">
        <v>1682</v>
      </c>
      <c r="K2073" s="1190">
        <f t="shared" si="42"/>
        <v>2700000</v>
      </c>
    </row>
    <row r="2074" spans="1:20" x14ac:dyDescent="0.25">
      <c r="A2074" s="620"/>
      <c r="B2074" s="618" t="s">
        <v>1004</v>
      </c>
      <c r="C2074" s="605">
        <v>2</v>
      </c>
      <c r="D2074" s="606" t="s">
        <v>152</v>
      </c>
      <c r="E2074" s="627">
        <v>1000000</v>
      </c>
      <c r="F2074" s="617">
        <f>C2074*E2074</f>
        <v>2000000</v>
      </c>
      <c r="G2074" s="618" t="s">
        <v>1682</v>
      </c>
      <c r="K2074" s="1190">
        <f t="shared" si="42"/>
        <v>2000000</v>
      </c>
    </row>
    <row r="2075" spans="1:20" x14ac:dyDescent="0.25">
      <c r="A2075" s="609" t="s">
        <v>1003</v>
      </c>
      <c r="B2075" s="625" t="s">
        <v>243</v>
      </c>
      <c r="C2075" s="605"/>
      <c r="D2075" s="606"/>
      <c r="E2075" s="616"/>
      <c r="F2075" s="617"/>
      <c r="G2075" s="618"/>
    </row>
    <row r="2076" spans="1:20" ht="45" x14ac:dyDescent="0.25">
      <c r="A2076" s="609" t="s">
        <v>1002</v>
      </c>
      <c r="B2076" s="625" t="s">
        <v>1001</v>
      </c>
      <c r="C2076" s="605"/>
      <c r="D2076" s="606"/>
      <c r="E2076" s="616"/>
      <c r="F2076" s="617"/>
      <c r="G2076" s="618"/>
    </row>
    <row r="2077" spans="1:20" ht="30" x14ac:dyDescent="0.25">
      <c r="A2077" s="609"/>
      <c r="B2077" s="615" t="s">
        <v>1000</v>
      </c>
      <c r="C2077" s="605">
        <v>3</v>
      </c>
      <c r="D2077" s="606" t="s">
        <v>129</v>
      </c>
      <c r="E2077" s="616">
        <v>1000000</v>
      </c>
      <c r="F2077" s="617">
        <f>C2077*E2077</f>
        <v>3000000</v>
      </c>
      <c r="G2077" s="618" t="s">
        <v>1682</v>
      </c>
      <c r="K2077" s="1190">
        <f>F2077</f>
        <v>3000000</v>
      </c>
    </row>
    <row r="2078" spans="1:20" ht="30" x14ac:dyDescent="0.25">
      <c r="A2078" s="620"/>
      <c r="B2078" s="615" t="s">
        <v>999</v>
      </c>
      <c r="C2078" s="605">
        <v>3</v>
      </c>
      <c r="D2078" s="606" t="s">
        <v>129</v>
      </c>
      <c r="E2078" s="616">
        <v>2000000</v>
      </c>
      <c r="F2078" s="617">
        <f>C2078*E2078</f>
        <v>6000000</v>
      </c>
      <c r="G2078" s="618" t="s">
        <v>1682</v>
      </c>
      <c r="K2078" s="1190">
        <f>F2078</f>
        <v>6000000</v>
      </c>
    </row>
    <row r="2079" spans="1:20" ht="30" x14ac:dyDescent="0.25">
      <c r="A2079" s="609" t="s">
        <v>998</v>
      </c>
      <c r="B2079" s="618" t="s">
        <v>245</v>
      </c>
      <c r="C2079" s="605"/>
      <c r="D2079" s="606"/>
      <c r="E2079" s="617"/>
      <c r="F2079" s="617"/>
      <c r="G2079" s="618"/>
    </row>
    <row r="2080" spans="1:20" ht="30" x14ac:dyDescent="0.25">
      <c r="A2080" s="620"/>
      <c r="B2080" s="628" t="s">
        <v>997</v>
      </c>
      <c r="C2080" s="605">
        <v>3</v>
      </c>
      <c r="D2080" s="606" t="s">
        <v>152</v>
      </c>
      <c r="E2080" s="616">
        <v>500000</v>
      </c>
      <c r="F2080" s="617">
        <f t="shared" ref="F2080:F2088" si="43">C2080*E2080</f>
        <v>1500000</v>
      </c>
      <c r="G2080" s="618" t="s">
        <v>1682</v>
      </c>
      <c r="K2080" s="1190">
        <f t="shared" ref="K2080:K2086" si="44">F2080</f>
        <v>1500000</v>
      </c>
    </row>
    <row r="2081" spans="1:21" ht="30" x14ac:dyDescent="0.25">
      <c r="A2081" s="620"/>
      <c r="B2081" s="628" t="s">
        <v>996</v>
      </c>
      <c r="C2081" s="605">
        <v>12</v>
      </c>
      <c r="D2081" s="606" t="s">
        <v>152</v>
      </c>
      <c r="E2081" s="616">
        <v>1000000</v>
      </c>
      <c r="F2081" s="617">
        <f t="shared" si="43"/>
        <v>12000000</v>
      </c>
      <c r="G2081" s="618" t="s">
        <v>1682</v>
      </c>
      <c r="K2081" s="1190">
        <f t="shared" si="44"/>
        <v>12000000</v>
      </c>
    </row>
    <row r="2082" spans="1:21" x14ac:dyDescent="0.25">
      <c r="A2082" s="620"/>
      <c r="B2082" s="628" t="s">
        <v>995</v>
      </c>
      <c r="C2082" s="605">
        <v>1</v>
      </c>
      <c r="D2082" s="606" t="s">
        <v>129</v>
      </c>
      <c r="E2082" s="616">
        <v>515000</v>
      </c>
      <c r="F2082" s="617">
        <f t="shared" si="43"/>
        <v>515000</v>
      </c>
      <c r="G2082" s="618" t="s">
        <v>1682</v>
      </c>
      <c r="K2082" s="1190">
        <f t="shared" si="44"/>
        <v>515000</v>
      </c>
      <c r="U2082" s="1190"/>
    </row>
    <row r="2083" spans="1:21" x14ac:dyDescent="0.25">
      <c r="A2083" s="620"/>
      <c r="B2083" s="628" t="s">
        <v>994</v>
      </c>
      <c r="C2083" s="605">
        <v>1</v>
      </c>
      <c r="D2083" s="606" t="s">
        <v>129</v>
      </c>
      <c r="E2083" s="616">
        <v>4000000</v>
      </c>
      <c r="F2083" s="617">
        <f t="shared" si="43"/>
        <v>4000000</v>
      </c>
      <c r="G2083" s="618" t="s">
        <v>1682</v>
      </c>
      <c r="K2083" s="1190">
        <f t="shared" si="44"/>
        <v>4000000</v>
      </c>
    </row>
    <row r="2084" spans="1:21" x14ac:dyDescent="0.25">
      <c r="A2084" s="620"/>
      <c r="B2084" s="628" t="s">
        <v>993</v>
      </c>
      <c r="C2084" s="605">
        <v>2</v>
      </c>
      <c r="D2084" s="606" t="s">
        <v>129</v>
      </c>
      <c r="E2084" s="616">
        <v>5000000</v>
      </c>
      <c r="F2084" s="617">
        <f t="shared" si="43"/>
        <v>10000000</v>
      </c>
      <c r="G2084" s="618" t="s">
        <v>1682</v>
      </c>
      <c r="K2084" s="1190">
        <f t="shared" si="44"/>
        <v>10000000</v>
      </c>
    </row>
    <row r="2085" spans="1:21" x14ac:dyDescent="0.25">
      <c r="A2085" s="620"/>
      <c r="B2085" s="628" t="s">
        <v>992</v>
      </c>
      <c r="C2085" s="605">
        <v>1</v>
      </c>
      <c r="D2085" s="606" t="s">
        <v>129</v>
      </c>
      <c r="E2085" s="616">
        <v>505000</v>
      </c>
      <c r="F2085" s="617">
        <f t="shared" si="43"/>
        <v>505000</v>
      </c>
      <c r="G2085" s="618" t="s">
        <v>1682</v>
      </c>
      <c r="K2085" s="1190">
        <f t="shared" si="44"/>
        <v>505000</v>
      </c>
      <c r="T2085" s="1190"/>
    </row>
    <row r="2086" spans="1:21" x14ac:dyDescent="0.25">
      <c r="A2086" s="620"/>
      <c r="B2086" s="618" t="s">
        <v>991</v>
      </c>
      <c r="C2086" s="605">
        <v>1</v>
      </c>
      <c r="D2086" s="606" t="s">
        <v>259</v>
      </c>
      <c r="E2086" s="627">
        <v>1200000</v>
      </c>
      <c r="F2086" s="617">
        <f t="shared" si="43"/>
        <v>1200000</v>
      </c>
      <c r="G2086" s="618" t="s">
        <v>1682</v>
      </c>
      <c r="K2086" s="1190">
        <f t="shared" si="44"/>
        <v>1200000</v>
      </c>
    </row>
    <row r="2087" spans="1:21" x14ac:dyDescent="0.25">
      <c r="A2087" s="620"/>
      <c r="B2087" s="618" t="s">
        <v>990</v>
      </c>
      <c r="C2087" s="605">
        <v>1</v>
      </c>
      <c r="D2087" s="606" t="s">
        <v>989</v>
      </c>
      <c r="E2087" s="627">
        <v>20000000</v>
      </c>
      <c r="F2087" s="617">
        <f t="shared" si="43"/>
        <v>20000000</v>
      </c>
      <c r="G2087" s="618" t="s">
        <v>1682</v>
      </c>
      <c r="K2087" s="1190">
        <f t="shared" ref="K2087:K2088" si="45">F2087</f>
        <v>20000000</v>
      </c>
    </row>
    <row r="2088" spans="1:21" ht="30" x14ac:dyDescent="0.25">
      <c r="A2088" s="620"/>
      <c r="B2088" s="618" t="s">
        <v>1769</v>
      </c>
      <c r="C2088" s="629">
        <v>2</v>
      </c>
      <c r="D2088" s="629" t="s">
        <v>129</v>
      </c>
      <c r="E2088" s="627">
        <v>10000000</v>
      </c>
      <c r="F2088" s="617">
        <f t="shared" si="43"/>
        <v>20000000</v>
      </c>
      <c r="G2088" s="618" t="s">
        <v>1682</v>
      </c>
      <c r="K2088" s="1190">
        <f t="shared" si="45"/>
        <v>20000000</v>
      </c>
    </row>
    <row r="2089" spans="1:21" x14ac:dyDescent="0.25">
      <c r="A2089" s="620"/>
      <c r="B2089" s="625"/>
      <c r="C2089" s="629"/>
      <c r="D2089" s="629"/>
      <c r="E2089" s="627"/>
      <c r="F2089" s="617"/>
      <c r="G2089" s="618"/>
      <c r="K2089" s="1190"/>
    </row>
    <row r="2090" spans="1:21" x14ac:dyDescent="0.25">
      <c r="A2090" s="620"/>
      <c r="B2090" s="1727" t="s">
        <v>2421</v>
      </c>
      <c r="C2090" s="605"/>
      <c r="D2090" s="606"/>
      <c r="E2090" s="627"/>
      <c r="F2090" s="617"/>
      <c r="G2090" s="618"/>
    </row>
    <row r="2091" spans="1:21" x14ac:dyDescent="0.25">
      <c r="A2091" s="620" t="s">
        <v>1043</v>
      </c>
      <c r="B2091" s="1727" t="s">
        <v>323</v>
      </c>
      <c r="C2091" s="605"/>
      <c r="D2091" s="606"/>
      <c r="E2091" s="627"/>
      <c r="F2091" s="617"/>
      <c r="G2091" s="618"/>
    </row>
    <row r="2092" spans="1:21" ht="29.25" x14ac:dyDescent="0.25">
      <c r="A2092" s="620" t="s">
        <v>1042</v>
      </c>
      <c r="B2092" s="1727" t="s">
        <v>88</v>
      </c>
      <c r="C2092" s="605"/>
      <c r="D2092" s="606"/>
      <c r="E2092" s="627"/>
      <c r="F2092" s="617"/>
      <c r="G2092" s="618"/>
    </row>
    <row r="2093" spans="1:21" ht="43.5" x14ac:dyDescent="0.25">
      <c r="A2093" s="620" t="s">
        <v>2422</v>
      </c>
      <c r="B2093" s="1727" t="s">
        <v>2423</v>
      </c>
      <c r="C2093" s="605"/>
      <c r="D2093" s="606"/>
      <c r="E2093" s="627"/>
      <c r="F2093" s="617"/>
      <c r="G2093" s="618"/>
    </row>
    <row r="2094" spans="1:21" x14ac:dyDescent="0.25">
      <c r="A2094" s="620"/>
      <c r="B2094" s="625" t="s">
        <v>2424</v>
      </c>
      <c r="C2094" s="605">
        <v>24</v>
      </c>
      <c r="D2094" s="606" t="s">
        <v>123</v>
      </c>
      <c r="E2094" s="1148">
        <v>3000</v>
      </c>
      <c r="F2094" s="617">
        <f t="shared" ref="F2094:F2140" si="46">C2094*E2094</f>
        <v>72000</v>
      </c>
      <c r="G2094" s="1730" t="s">
        <v>1682</v>
      </c>
      <c r="K2094" s="1190">
        <f>F2094</f>
        <v>72000</v>
      </c>
    </row>
    <row r="2095" spans="1:21" x14ac:dyDescent="0.25">
      <c r="A2095" s="620"/>
      <c r="B2095" s="625" t="s">
        <v>2425</v>
      </c>
      <c r="C2095" s="605">
        <v>12</v>
      </c>
      <c r="D2095" s="606" t="s">
        <v>123</v>
      </c>
      <c r="E2095" s="1148">
        <v>20000</v>
      </c>
      <c r="F2095" s="617">
        <f t="shared" si="46"/>
        <v>240000</v>
      </c>
      <c r="G2095" s="1730" t="s">
        <v>1682</v>
      </c>
      <c r="K2095" s="1190">
        <f t="shared" ref="K2095:K2145" si="47">F2095</f>
        <v>240000</v>
      </c>
    </row>
    <row r="2096" spans="1:21" x14ac:dyDescent="0.25">
      <c r="A2096" s="620"/>
      <c r="B2096" s="625" t="s">
        <v>663</v>
      </c>
      <c r="C2096" s="605">
        <v>5</v>
      </c>
      <c r="D2096" s="606" t="s">
        <v>123</v>
      </c>
      <c r="E2096" s="1148">
        <v>10000</v>
      </c>
      <c r="F2096" s="617">
        <f t="shared" si="46"/>
        <v>50000</v>
      </c>
      <c r="G2096" s="1730" t="s">
        <v>1682</v>
      </c>
      <c r="K2096" s="1190">
        <f t="shared" si="47"/>
        <v>50000</v>
      </c>
    </row>
    <row r="2097" spans="1:11" ht="86.25" x14ac:dyDescent="0.25">
      <c r="A2097" s="620" t="s">
        <v>1041</v>
      </c>
      <c r="B2097" s="1727" t="s">
        <v>1076</v>
      </c>
      <c r="C2097" s="605"/>
      <c r="D2097" s="606"/>
      <c r="E2097" s="1148"/>
      <c r="F2097" s="617"/>
      <c r="G2097" s="1730"/>
      <c r="K2097" s="1190">
        <f t="shared" si="47"/>
        <v>0</v>
      </c>
    </row>
    <row r="2098" spans="1:11" x14ac:dyDescent="0.25">
      <c r="A2098" s="620"/>
      <c r="B2098" s="625" t="s">
        <v>2426</v>
      </c>
      <c r="C2098" s="605">
        <v>12</v>
      </c>
      <c r="D2098" s="606" t="s">
        <v>123</v>
      </c>
      <c r="E2098" s="1148">
        <v>20000</v>
      </c>
      <c r="F2098" s="617">
        <f t="shared" si="46"/>
        <v>240000</v>
      </c>
      <c r="G2098" s="1730" t="s">
        <v>1682</v>
      </c>
      <c r="K2098" s="1190">
        <f t="shared" si="47"/>
        <v>240000</v>
      </c>
    </row>
    <row r="2099" spans="1:11" ht="30" x14ac:dyDescent="0.25">
      <c r="A2099" s="620"/>
      <c r="B2099" s="625" t="s">
        <v>2427</v>
      </c>
      <c r="C2099" s="605">
        <v>1</v>
      </c>
      <c r="D2099" s="606" t="s">
        <v>2428</v>
      </c>
      <c r="E2099" s="1148">
        <v>9000000</v>
      </c>
      <c r="F2099" s="617">
        <f t="shared" si="46"/>
        <v>9000000</v>
      </c>
      <c r="G2099" s="1730" t="s">
        <v>1682</v>
      </c>
      <c r="K2099" s="1190">
        <f t="shared" si="47"/>
        <v>9000000</v>
      </c>
    </row>
    <row r="2100" spans="1:11" ht="86.25" x14ac:dyDescent="0.25">
      <c r="A2100" s="620" t="s">
        <v>2429</v>
      </c>
      <c r="B2100" s="1727" t="s">
        <v>2430</v>
      </c>
      <c r="C2100" s="605"/>
      <c r="D2100" s="606"/>
      <c r="E2100" s="1148"/>
      <c r="F2100" s="617"/>
      <c r="G2100" s="1730"/>
      <c r="K2100" s="1190">
        <f t="shared" si="47"/>
        <v>0</v>
      </c>
    </row>
    <row r="2101" spans="1:11" x14ac:dyDescent="0.25">
      <c r="A2101" s="620"/>
      <c r="B2101" s="625" t="s">
        <v>2431</v>
      </c>
      <c r="C2101" s="605">
        <v>12</v>
      </c>
      <c r="D2101" s="606" t="s">
        <v>123</v>
      </c>
      <c r="E2101" s="1148">
        <v>50000</v>
      </c>
      <c r="F2101" s="617">
        <f t="shared" si="46"/>
        <v>600000</v>
      </c>
      <c r="G2101" s="1730" t="s">
        <v>1682</v>
      </c>
      <c r="K2101" s="1190">
        <f t="shared" si="47"/>
        <v>600000</v>
      </c>
    </row>
    <row r="2102" spans="1:11" x14ac:dyDescent="0.25">
      <c r="A2102" s="620"/>
      <c r="B2102" s="625" t="s">
        <v>2432</v>
      </c>
      <c r="C2102" s="605">
        <v>12</v>
      </c>
      <c r="D2102" s="606" t="s">
        <v>123</v>
      </c>
      <c r="E2102" s="1148">
        <v>40000</v>
      </c>
      <c r="F2102" s="617">
        <f t="shared" si="46"/>
        <v>480000</v>
      </c>
      <c r="G2102" s="1730" t="s">
        <v>1682</v>
      </c>
      <c r="K2102" s="1190">
        <f t="shared" si="47"/>
        <v>480000</v>
      </c>
    </row>
    <row r="2103" spans="1:11" x14ac:dyDescent="0.25">
      <c r="A2103" s="620"/>
      <c r="B2103" s="625" t="s">
        <v>2433</v>
      </c>
      <c r="C2103" s="605">
        <v>12</v>
      </c>
      <c r="D2103" s="606" t="s">
        <v>123</v>
      </c>
      <c r="E2103" s="1148">
        <v>57100</v>
      </c>
      <c r="F2103" s="617">
        <f t="shared" si="46"/>
        <v>685200</v>
      </c>
      <c r="G2103" s="1730" t="s">
        <v>1682</v>
      </c>
      <c r="K2103" s="1190">
        <f t="shared" si="47"/>
        <v>685200</v>
      </c>
    </row>
    <row r="2104" spans="1:11" x14ac:dyDescent="0.25">
      <c r="A2104" s="620"/>
      <c r="B2104" s="625" t="s">
        <v>2434</v>
      </c>
      <c r="C2104" s="605">
        <v>6</v>
      </c>
      <c r="D2104" s="606" t="s">
        <v>123</v>
      </c>
      <c r="E2104" s="1148">
        <v>15000</v>
      </c>
      <c r="F2104" s="617">
        <f t="shared" si="46"/>
        <v>90000</v>
      </c>
      <c r="G2104" s="1730" t="s">
        <v>1682</v>
      </c>
      <c r="K2104" s="1190">
        <f t="shared" si="47"/>
        <v>90000</v>
      </c>
    </row>
    <row r="2105" spans="1:11" x14ac:dyDescent="0.25">
      <c r="A2105" s="620"/>
      <c r="B2105" s="625" t="s">
        <v>2435</v>
      </c>
      <c r="C2105" s="605">
        <v>6</v>
      </c>
      <c r="D2105" s="606" t="s">
        <v>123</v>
      </c>
      <c r="E2105" s="1148">
        <v>60000</v>
      </c>
      <c r="F2105" s="617">
        <f t="shared" si="46"/>
        <v>360000</v>
      </c>
      <c r="G2105" s="1730" t="s">
        <v>1682</v>
      </c>
      <c r="K2105" s="1190">
        <f t="shared" si="47"/>
        <v>360000</v>
      </c>
    </row>
    <row r="2106" spans="1:11" x14ac:dyDescent="0.25">
      <c r="A2106" s="620"/>
      <c r="B2106" s="625" t="s">
        <v>2436</v>
      </c>
      <c r="C2106" s="605">
        <v>6</v>
      </c>
      <c r="D2106" s="606" t="s">
        <v>123</v>
      </c>
      <c r="E2106" s="1148">
        <v>10000</v>
      </c>
      <c r="F2106" s="617">
        <f t="shared" si="46"/>
        <v>60000</v>
      </c>
      <c r="G2106" s="1730" t="s">
        <v>1682</v>
      </c>
      <c r="K2106" s="1190">
        <f t="shared" si="47"/>
        <v>60000</v>
      </c>
    </row>
    <row r="2107" spans="1:11" x14ac:dyDescent="0.25">
      <c r="A2107" s="620"/>
      <c r="B2107" s="625" t="s">
        <v>1054</v>
      </c>
      <c r="C2107" s="605">
        <v>6</v>
      </c>
      <c r="D2107" s="606" t="s">
        <v>123</v>
      </c>
      <c r="E2107" s="1148">
        <v>30000</v>
      </c>
      <c r="F2107" s="617">
        <f t="shared" si="46"/>
        <v>180000</v>
      </c>
      <c r="G2107" s="1730" t="s">
        <v>1682</v>
      </c>
      <c r="K2107" s="1190">
        <f t="shared" si="47"/>
        <v>180000</v>
      </c>
    </row>
    <row r="2108" spans="1:11" x14ac:dyDescent="0.25">
      <c r="A2108" s="620"/>
      <c r="B2108" s="625" t="s">
        <v>2437</v>
      </c>
      <c r="C2108" s="605">
        <v>6</v>
      </c>
      <c r="D2108" s="606" t="s">
        <v>123</v>
      </c>
      <c r="E2108" s="1148">
        <v>17000</v>
      </c>
      <c r="F2108" s="617">
        <f t="shared" si="46"/>
        <v>102000</v>
      </c>
      <c r="G2108" s="1730" t="s">
        <v>1682</v>
      </c>
      <c r="K2108" s="1190">
        <f t="shared" si="47"/>
        <v>102000</v>
      </c>
    </row>
    <row r="2109" spans="1:11" ht="30" x14ac:dyDescent="0.25">
      <c r="A2109" s="620"/>
      <c r="B2109" s="625" t="s">
        <v>2438</v>
      </c>
      <c r="C2109" s="605">
        <v>12</v>
      </c>
      <c r="D2109" s="606" t="s">
        <v>123</v>
      </c>
      <c r="E2109" s="1148">
        <v>15000</v>
      </c>
      <c r="F2109" s="617">
        <f t="shared" si="46"/>
        <v>180000</v>
      </c>
      <c r="G2109" s="1730" t="s">
        <v>1682</v>
      </c>
      <c r="K2109" s="1190">
        <f t="shared" si="47"/>
        <v>180000</v>
      </c>
    </row>
    <row r="2110" spans="1:11" ht="29.25" x14ac:dyDescent="0.25">
      <c r="A2110" s="620" t="s">
        <v>2429</v>
      </c>
      <c r="B2110" s="1727" t="s">
        <v>2439</v>
      </c>
      <c r="C2110" s="605"/>
      <c r="D2110" s="606"/>
      <c r="E2110" s="1148"/>
      <c r="F2110" s="617"/>
      <c r="G2110" s="1730" t="s">
        <v>1682</v>
      </c>
      <c r="K2110" s="1190">
        <f t="shared" si="47"/>
        <v>0</v>
      </c>
    </row>
    <row r="2111" spans="1:11" ht="30" x14ac:dyDescent="0.25">
      <c r="A2111" s="620"/>
      <c r="B2111" s="625" t="s">
        <v>2440</v>
      </c>
      <c r="C2111" s="605">
        <v>365</v>
      </c>
      <c r="D2111" s="606" t="s">
        <v>186</v>
      </c>
      <c r="E2111" s="1148">
        <v>15000</v>
      </c>
      <c r="F2111" s="617">
        <f t="shared" si="46"/>
        <v>5475000</v>
      </c>
      <c r="G2111" s="1730" t="s">
        <v>1682</v>
      </c>
      <c r="K2111" s="1190">
        <f t="shared" si="47"/>
        <v>5475000</v>
      </c>
    </row>
    <row r="2112" spans="1:11" ht="60" x14ac:dyDescent="0.25">
      <c r="A2112" s="620"/>
      <c r="B2112" s="625" t="s">
        <v>2441</v>
      </c>
      <c r="C2112" s="605">
        <v>24</v>
      </c>
      <c r="D2112" s="606" t="s">
        <v>186</v>
      </c>
      <c r="E2112" s="1148">
        <v>50000</v>
      </c>
      <c r="F2112" s="617">
        <f t="shared" si="46"/>
        <v>1200000</v>
      </c>
      <c r="G2112" s="1730" t="s">
        <v>1682</v>
      </c>
      <c r="K2112" s="1190">
        <f t="shared" si="47"/>
        <v>1200000</v>
      </c>
    </row>
    <row r="2113" spans="1:11" ht="29.25" x14ac:dyDescent="0.25">
      <c r="A2113" s="620" t="s">
        <v>1033</v>
      </c>
      <c r="B2113" s="1727" t="s">
        <v>1271</v>
      </c>
      <c r="C2113" s="605"/>
      <c r="D2113" s="606"/>
      <c r="E2113" s="1148"/>
      <c r="F2113" s="617"/>
      <c r="G2113" s="1730"/>
      <c r="K2113" s="1190">
        <f t="shared" si="47"/>
        <v>0</v>
      </c>
    </row>
    <row r="2114" spans="1:11" x14ac:dyDescent="0.25">
      <c r="A2114" s="620"/>
      <c r="B2114" s="625" t="s">
        <v>2442</v>
      </c>
      <c r="C2114" s="605">
        <v>6</v>
      </c>
      <c r="D2114" s="606" t="s">
        <v>123</v>
      </c>
      <c r="E2114" s="1148">
        <v>234000</v>
      </c>
      <c r="F2114" s="617">
        <f t="shared" si="46"/>
        <v>1404000</v>
      </c>
      <c r="G2114" s="1730" t="s">
        <v>1682</v>
      </c>
      <c r="K2114" s="1190">
        <f t="shared" si="47"/>
        <v>1404000</v>
      </c>
    </row>
    <row r="2115" spans="1:11" x14ac:dyDescent="0.25">
      <c r="A2115" s="620"/>
      <c r="B2115" s="625" t="s">
        <v>2443</v>
      </c>
      <c r="C2115" s="605">
        <v>10</v>
      </c>
      <c r="D2115" s="606" t="s">
        <v>123</v>
      </c>
      <c r="E2115" s="1148">
        <v>112000</v>
      </c>
      <c r="F2115" s="617">
        <f t="shared" si="46"/>
        <v>1120000</v>
      </c>
      <c r="G2115" s="1730" t="s">
        <v>1682</v>
      </c>
      <c r="K2115" s="1190">
        <f t="shared" si="47"/>
        <v>1120000</v>
      </c>
    </row>
    <row r="2116" spans="1:11" x14ac:dyDescent="0.25">
      <c r="A2116" s="620"/>
      <c r="B2116" s="625" t="s">
        <v>2444</v>
      </c>
      <c r="C2116" s="605">
        <v>4</v>
      </c>
      <c r="D2116" s="606" t="s">
        <v>123</v>
      </c>
      <c r="E2116" s="1148">
        <v>20000</v>
      </c>
      <c r="F2116" s="617">
        <f t="shared" si="46"/>
        <v>80000</v>
      </c>
      <c r="G2116" s="1730" t="s">
        <v>1682</v>
      </c>
      <c r="K2116" s="1190">
        <f t="shared" si="47"/>
        <v>80000</v>
      </c>
    </row>
    <row r="2117" spans="1:11" x14ac:dyDescent="0.25">
      <c r="A2117" s="620"/>
      <c r="B2117" s="625" t="s">
        <v>2445</v>
      </c>
      <c r="C2117" s="605">
        <v>1</v>
      </c>
      <c r="D2117" s="606" t="s">
        <v>123</v>
      </c>
      <c r="E2117" s="1148">
        <v>26000</v>
      </c>
      <c r="F2117" s="617">
        <f t="shared" si="46"/>
        <v>26000</v>
      </c>
      <c r="G2117" s="1730" t="s">
        <v>1682</v>
      </c>
      <c r="K2117" s="1190">
        <f t="shared" si="47"/>
        <v>26000</v>
      </c>
    </row>
    <row r="2118" spans="1:11" x14ac:dyDescent="0.25">
      <c r="A2118" s="620"/>
      <c r="B2118" s="625" t="s">
        <v>2446</v>
      </c>
      <c r="C2118" s="605">
        <v>3</v>
      </c>
      <c r="D2118" s="606" t="s">
        <v>123</v>
      </c>
      <c r="E2118" s="1148">
        <v>185000</v>
      </c>
      <c r="F2118" s="617">
        <f t="shared" si="46"/>
        <v>555000</v>
      </c>
      <c r="G2118" s="1730" t="s">
        <v>1682</v>
      </c>
      <c r="K2118" s="1190">
        <f t="shared" si="47"/>
        <v>555000</v>
      </c>
    </row>
    <row r="2119" spans="1:11" x14ac:dyDescent="0.25">
      <c r="A2119" s="620"/>
      <c r="B2119" s="625" t="s">
        <v>2447</v>
      </c>
      <c r="C2119" s="605">
        <v>12</v>
      </c>
      <c r="D2119" s="606" t="s">
        <v>123</v>
      </c>
      <c r="E2119" s="1148">
        <v>25000</v>
      </c>
      <c r="F2119" s="617">
        <f t="shared" si="46"/>
        <v>300000</v>
      </c>
      <c r="G2119" s="1730" t="s">
        <v>1682</v>
      </c>
      <c r="K2119" s="1190">
        <f t="shared" si="47"/>
        <v>300000</v>
      </c>
    </row>
    <row r="2120" spans="1:11" x14ac:dyDescent="0.25">
      <c r="A2120" s="620"/>
      <c r="B2120" s="625" t="s">
        <v>2448</v>
      </c>
      <c r="C2120" s="605">
        <v>2</v>
      </c>
      <c r="D2120" s="606" t="s">
        <v>123</v>
      </c>
      <c r="E2120" s="1148">
        <v>25000</v>
      </c>
      <c r="F2120" s="617">
        <f t="shared" si="46"/>
        <v>50000</v>
      </c>
      <c r="G2120" s="1730" t="s">
        <v>1682</v>
      </c>
      <c r="K2120" s="1190">
        <f t="shared" si="47"/>
        <v>50000</v>
      </c>
    </row>
    <row r="2121" spans="1:11" x14ac:dyDescent="0.25">
      <c r="A2121" s="620"/>
      <c r="B2121" s="625" t="s">
        <v>2449</v>
      </c>
      <c r="C2121" s="605">
        <v>2</v>
      </c>
      <c r="D2121" s="606" t="s">
        <v>123</v>
      </c>
      <c r="E2121" s="1148">
        <v>150000</v>
      </c>
      <c r="F2121" s="617">
        <f t="shared" si="46"/>
        <v>300000</v>
      </c>
      <c r="G2121" s="1730" t="s">
        <v>1682</v>
      </c>
      <c r="K2121" s="1190">
        <f t="shared" si="47"/>
        <v>300000</v>
      </c>
    </row>
    <row r="2122" spans="1:11" x14ac:dyDescent="0.25">
      <c r="A2122" s="620"/>
      <c r="B2122" s="625" t="s">
        <v>2450</v>
      </c>
      <c r="C2122" s="605">
        <v>2</v>
      </c>
      <c r="D2122" s="606" t="s">
        <v>123</v>
      </c>
      <c r="E2122" s="1148">
        <v>120000</v>
      </c>
      <c r="F2122" s="617">
        <f t="shared" si="46"/>
        <v>240000</v>
      </c>
      <c r="G2122" s="1730" t="s">
        <v>1682</v>
      </c>
      <c r="K2122" s="1190">
        <f t="shared" si="47"/>
        <v>240000</v>
      </c>
    </row>
    <row r="2123" spans="1:11" x14ac:dyDescent="0.25">
      <c r="A2123" s="620"/>
      <c r="B2123" s="625" t="s">
        <v>2451</v>
      </c>
      <c r="C2123" s="605">
        <v>2</v>
      </c>
      <c r="D2123" s="606" t="s">
        <v>123</v>
      </c>
      <c r="E2123" s="1148">
        <v>120000</v>
      </c>
      <c r="F2123" s="617">
        <f t="shared" si="46"/>
        <v>240000</v>
      </c>
      <c r="G2123" s="1730" t="s">
        <v>1682</v>
      </c>
      <c r="K2123" s="1190">
        <f t="shared" si="47"/>
        <v>240000</v>
      </c>
    </row>
    <row r="2124" spans="1:11" x14ac:dyDescent="0.25">
      <c r="A2124" s="620"/>
      <c r="B2124" s="625" t="s">
        <v>359</v>
      </c>
      <c r="C2124" s="605">
        <v>6</v>
      </c>
      <c r="D2124" s="606" t="s">
        <v>565</v>
      </c>
      <c r="E2124" s="1148">
        <v>45000</v>
      </c>
      <c r="F2124" s="617">
        <f t="shared" si="46"/>
        <v>270000</v>
      </c>
      <c r="G2124" s="1730" t="s">
        <v>1682</v>
      </c>
      <c r="K2124" s="1190">
        <f t="shared" si="47"/>
        <v>270000</v>
      </c>
    </row>
    <row r="2125" spans="1:11" x14ac:dyDescent="0.25">
      <c r="A2125" s="620"/>
      <c r="B2125" s="625" t="s">
        <v>2452</v>
      </c>
      <c r="C2125" s="605">
        <v>2</v>
      </c>
      <c r="D2125" s="606" t="s">
        <v>312</v>
      </c>
      <c r="E2125" s="1148">
        <v>405000</v>
      </c>
      <c r="F2125" s="617">
        <f t="shared" si="46"/>
        <v>810000</v>
      </c>
      <c r="G2125" s="1730" t="s">
        <v>1682</v>
      </c>
      <c r="K2125" s="1190">
        <f t="shared" si="47"/>
        <v>810000</v>
      </c>
    </row>
    <row r="2126" spans="1:11" x14ac:dyDescent="0.25">
      <c r="A2126" s="620"/>
      <c r="B2126" s="625" t="s">
        <v>2453</v>
      </c>
      <c r="C2126" s="605">
        <v>500</v>
      </c>
      <c r="D2126" s="606" t="s">
        <v>123</v>
      </c>
      <c r="E2126" s="1148">
        <v>6043</v>
      </c>
      <c r="F2126" s="617">
        <f t="shared" si="46"/>
        <v>3021500</v>
      </c>
      <c r="G2126" s="1730" t="s">
        <v>1682</v>
      </c>
      <c r="K2126" s="1190">
        <f t="shared" si="47"/>
        <v>3021500</v>
      </c>
    </row>
    <row r="2127" spans="1:11" ht="29.25" x14ac:dyDescent="0.25">
      <c r="A2127" s="620" t="s">
        <v>2454</v>
      </c>
      <c r="B2127" s="1727" t="s">
        <v>2455</v>
      </c>
      <c r="C2127" s="605"/>
      <c r="D2127" s="606"/>
      <c r="E2127" s="1148"/>
      <c r="F2127" s="617">
        <f t="shared" si="46"/>
        <v>0</v>
      </c>
      <c r="G2127" s="1730"/>
      <c r="K2127" s="1190">
        <f t="shared" si="47"/>
        <v>0</v>
      </c>
    </row>
    <row r="2128" spans="1:11" x14ac:dyDescent="0.25">
      <c r="A2128" s="620"/>
      <c r="B2128" s="625" t="s">
        <v>2456</v>
      </c>
      <c r="C2128" s="605">
        <v>36</v>
      </c>
      <c r="D2128" s="606" t="s">
        <v>144</v>
      </c>
      <c r="E2128" s="1148">
        <v>35000</v>
      </c>
      <c r="F2128" s="617">
        <f t="shared" si="46"/>
        <v>1260000</v>
      </c>
      <c r="G2128" s="1730" t="s">
        <v>1682</v>
      </c>
      <c r="K2128" s="1190">
        <f t="shared" si="47"/>
        <v>1260000</v>
      </c>
    </row>
    <row r="2129" spans="1:11" x14ac:dyDescent="0.25">
      <c r="A2129" s="620" t="s">
        <v>1014</v>
      </c>
      <c r="B2129" s="1727" t="s">
        <v>569</v>
      </c>
      <c r="C2129" s="605"/>
      <c r="D2129" s="606"/>
      <c r="E2129" s="1148"/>
      <c r="F2129" s="617"/>
      <c r="G2129" s="1730"/>
      <c r="K2129" s="1190">
        <f t="shared" si="47"/>
        <v>0</v>
      </c>
    </row>
    <row r="2130" spans="1:11" ht="43.5" x14ac:dyDescent="0.25">
      <c r="A2130" s="620" t="s">
        <v>2457</v>
      </c>
      <c r="B2130" s="1727" t="s">
        <v>2458</v>
      </c>
      <c r="C2130" s="605"/>
      <c r="D2130" s="606"/>
      <c r="E2130" s="1148"/>
      <c r="F2130" s="617"/>
      <c r="G2130" s="1730" t="s">
        <v>1682</v>
      </c>
      <c r="K2130" s="1190">
        <f t="shared" si="47"/>
        <v>0</v>
      </c>
    </row>
    <row r="2131" spans="1:11" x14ac:dyDescent="0.25">
      <c r="A2131" s="620"/>
      <c r="B2131" s="625" t="s">
        <v>2459</v>
      </c>
      <c r="C2131" s="605">
        <v>12</v>
      </c>
      <c r="D2131" s="606" t="s">
        <v>22</v>
      </c>
      <c r="E2131" s="1148">
        <v>1000000</v>
      </c>
      <c r="F2131" s="617">
        <f>E2131*C2131</f>
        <v>12000000</v>
      </c>
      <c r="G2131" s="1730" t="s">
        <v>1682</v>
      </c>
      <c r="K2131" s="1190">
        <f t="shared" si="47"/>
        <v>12000000</v>
      </c>
    </row>
    <row r="2132" spans="1:11" x14ac:dyDescent="0.25">
      <c r="A2132" s="620"/>
      <c r="B2132" s="625" t="s">
        <v>2460</v>
      </c>
      <c r="C2132" s="605">
        <v>12</v>
      </c>
      <c r="D2132" s="606" t="s">
        <v>22</v>
      </c>
      <c r="E2132" s="1148">
        <v>1000000</v>
      </c>
      <c r="F2132" s="617">
        <f>E2132*C2132</f>
        <v>12000000</v>
      </c>
      <c r="G2132" s="1730" t="s">
        <v>1682</v>
      </c>
      <c r="K2132" s="1190">
        <f t="shared" si="47"/>
        <v>12000000</v>
      </c>
    </row>
    <row r="2133" spans="1:11" x14ac:dyDescent="0.25">
      <c r="A2133" s="620"/>
      <c r="B2133" s="625" t="s">
        <v>2461</v>
      </c>
      <c r="C2133" s="605">
        <v>12</v>
      </c>
      <c r="D2133" s="606" t="s">
        <v>22</v>
      </c>
      <c r="E2133" s="1148">
        <v>1000000</v>
      </c>
      <c r="F2133" s="617">
        <f>E2133*C2133</f>
        <v>12000000</v>
      </c>
      <c r="G2133" s="1730" t="s">
        <v>1682</v>
      </c>
      <c r="K2133" s="1190">
        <f t="shared" si="47"/>
        <v>12000000</v>
      </c>
    </row>
    <row r="2134" spans="1:11" x14ac:dyDescent="0.25">
      <c r="A2134" s="620" t="s">
        <v>1013</v>
      </c>
      <c r="B2134" s="1727" t="s">
        <v>2462</v>
      </c>
      <c r="C2134" s="605"/>
      <c r="D2134" s="606"/>
      <c r="E2134" s="1148"/>
      <c r="F2134" s="617"/>
      <c r="G2134" s="1730"/>
      <c r="K2134" s="1190">
        <f t="shared" si="47"/>
        <v>0</v>
      </c>
    </row>
    <row r="2135" spans="1:11" ht="30" x14ac:dyDescent="0.25">
      <c r="A2135" s="620"/>
      <c r="B2135" s="625" t="s">
        <v>2463</v>
      </c>
      <c r="C2135" s="605">
        <f>4*12</f>
        <v>48</v>
      </c>
      <c r="D2135" s="606" t="s">
        <v>22</v>
      </c>
      <c r="E2135" s="1148">
        <v>1500000</v>
      </c>
      <c r="F2135" s="617">
        <f>E2135*C2135</f>
        <v>72000000</v>
      </c>
      <c r="G2135" s="1730" t="s">
        <v>1682</v>
      </c>
      <c r="K2135" s="1190">
        <f t="shared" si="47"/>
        <v>72000000</v>
      </c>
    </row>
    <row r="2136" spans="1:11" ht="29.25" x14ac:dyDescent="0.25">
      <c r="A2136" s="620" t="s">
        <v>1011</v>
      </c>
      <c r="B2136" s="1727" t="s">
        <v>1010</v>
      </c>
      <c r="C2136" s="605"/>
      <c r="D2136" s="606"/>
      <c r="E2136" s="1148"/>
      <c r="F2136" s="617">
        <f t="shared" si="46"/>
        <v>0</v>
      </c>
      <c r="G2136" s="1730"/>
      <c r="K2136" s="1190">
        <f t="shared" si="47"/>
        <v>0</v>
      </c>
    </row>
    <row r="2137" spans="1:11" ht="29.25" x14ac:dyDescent="0.25">
      <c r="A2137" s="620" t="s">
        <v>2464</v>
      </c>
      <c r="B2137" s="1727" t="s">
        <v>2465</v>
      </c>
      <c r="C2137" s="605"/>
      <c r="D2137" s="606"/>
      <c r="E2137" s="1148"/>
      <c r="F2137" s="617">
        <f t="shared" si="46"/>
        <v>0</v>
      </c>
      <c r="G2137" s="1730"/>
      <c r="K2137" s="1190">
        <f t="shared" si="47"/>
        <v>0</v>
      </c>
    </row>
    <row r="2138" spans="1:11" x14ac:dyDescent="0.25">
      <c r="A2138" s="620"/>
      <c r="B2138" s="625" t="s">
        <v>2466</v>
      </c>
      <c r="C2138" s="605">
        <v>12</v>
      </c>
      <c r="D2138" s="606" t="s">
        <v>148</v>
      </c>
      <c r="E2138" s="1148">
        <v>500000</v>
      </c>
      <c r="F2138" s="617">
        <f t="shared" si="46"/>
        <v>6000000</v>
      </c>
      <c r="G2138" s="1730" t="s">
        <v>1682</v>
      </c>
      <c r="K2138" s="1190">
        <f t="shared" si="47"/>
        <v>6000000</v>
      </c>
    </row>
    <row r="2139" spans="1:11" ht="29.25" x14ac:dyDescent="0.25">
      <c r="A2139" s="620" t="s">
        <v>2467</v>
      </c>
      <c r="B2139" s="1727" t="s">
        <v>2468</v>
      </c>
      <c r="C2139" s="605"/>
      <c r="D2139" s="606"/>
      <c r="E2139" s="1148"/>
      <c r="F2139" s="617">
        <f t="shared" si="46"/>
        <v>0</v>
      </c>
      <c r="G2139" s="1730"/>
      <c r="K2139" s="1190">
        <f t="shared" si="47"/>
        <v>0</v>
      </c>
    </row>
    <row r="2140" spans="1:11" ht="30" x14ac:dyDescent="0.25">
      <c r="A2140" s="620"/>
      <c r="B2140" s="625" t="s">
        <v>2469</v>
      </c>
      <c r="C2140" s="605">
        <v>24</v>
      </c>
      <c r="D2140" s="606" t="s">
        <v>2470</v>
      </c>
      <c r="E2140" s="1148">
        <v>20000</v>
      </c>
      <c r="F2140" s="617">
        <f t="shared" si="46"/>
        <v>480000</v>
      </c>
      <c r="G2140" s="1730" t="s">
        <v>1682</v>
      </c>
      <c r="K2140" s="1190">
        <f t="shared" si="47"/>
        <v>480000</v>
      </c>
    </row>
    <row r="2141" spans="1:11" ht="29.25" x14ac:dyDescent="0.25">
      <c r="A2141" s="620" t="s">
        <v>1003</v>
      </c>
      <c r="B2141" s="1727" t="s">
        <v>243</v>
      </c>
      <c r="C2141" s="605"/>
      <c r="D2141" s="606"/>
      <c r="E2141" s="1148"/>
      <c r="F2141" s="617"/>
      <c r="G2141" s="1730"/>
      <c r="K2141" s="1190">
        <f t="shared" si="47"/>
        <v>0</v>
      </c>
    </row>
    <row r="2142" spans="1:11" ht="57.75" x14ac:dyDescent="0.25">
      <c r="A2142" s="620" t="s">
        <v>1002</v>
      </c>
      <c r="B2142" s="1727" t="s">
        <v>2471</v>
      </c>
      <c r="C2142" s="605"/>
      <c r="D2142" s="606"/>
      <c r="E2142" s="1148"/>
      <c r="F2142" s="617"/>
      <c r="G2142" s="1730"/>
      <c r="K2142" s="1190">
        <f t="shared" si="47"/>
        <v>0</v>
      </c>
    </row>
    <row r="2143" spans="1:11" ht="30" x14ac:dyDescent="0.25">
      <c r="A2143" s="620"/>
      <c r="B2143" s="625" t="s">
        <v>2472</v>
      </c>
      <c r="C2143" s="605">
        <v>1</v>
      </c>
      <c r="D2143" s="606" t="s">
        <v>252</v>
      </c>
      <c r="E2143" s="1148">
        <v>2000000</v>
      </c>
      <c r="F2143" s="617">
        <f>C2143*E2143</f>
        <v>2000000</v>
      </c>
      <c r="G2143" s="1730" t="s">
        <v>1682</v>
      </c>
      <c r="K2143" s="1190">
        <f t="shared" si="47"/>
        <v>2000000</v>
      </c>
    </row>
    <row r="2144" spans="1:11" ht="57.75" x14ac:dyDescent="0.25">
      <c r="A2144" s="620" t="s">
        <v>998</v>
      </c>
      <c r="B2144" s="1727" t="s">
        <v>245</v>
      </c>
      <c r="C2144" s="605"/>
      <c r="D2144" s="606"/>
      <c r="E2144" s="1148"/>
      <c r="F2144" s="617"/>
      <c r="G2144" s="1730"/>
      <c r="K2144" s="1190">
        <f t="shared" si="47"/>
        <v>0</v>
      </c>
    </row>
    <row r="2145" spans="1:11" ht="30" x14ac:dyDescent="0.25">
      <c r="A2145" s="620"/>
      <c r="B2145" s="625" t="s">
        <v>2473</v>
      </c>
      <c r="C2145" s="605">
        <v>3</v>
      </c>
      <c r="D2145" s="606" t="s">
        <v>129</v>
      </c>
      <c r="E2145" s="1148">
        <v>1000000</v>
      </c>
      <c r="F2145" s="617">
        <f>E2145*C2145</f>
        <v>3000000</v>
      </c>
      <c r="G2145" s="1730" t="s">
        <v>1682</v>
      </c>
      <c r="K2145" s="1190">
        <f t="shared" si="47"/>
        <v>3000000</v>
      </c>
    </row>
    <row r="2146" spans="1:11" x14ac:dyDescent="0.25">
      <c r="A2146" s="620"/>
      <c r="B2146" s="615"/>
      <c r="C2146" s="629"/>
      <c r="D2146" s="629"/>
      <c r="E2146" s="616"/>
      <c r="F2146" s="617"/>
      <c r="G2146" s="618"/>
    </row>
    <row r="2147" spans="1:11" x14ac:dyDescent="0.25">
      <c r="A2147" s="604"/>
      <c r="B2147" s="1934" t="s">
        <v>988</v>
      </c>
      <c r="C2147" s="1935"/>
      <c r="D2147" s="1935"/>
      <c r="E2147" s="1936"/>
      <c r="F2147" s="630">
        <f>SUM(F2032:F2145)</f>
        <v>670230300</v>
      </c>
      <c r="G2147" s="631"/>
    </row>
    <row r="2148" spans="1:11" x14ac:dyDescent="0.25">
      <c r="A2148" s="1807" t="s">
        <v>614</v>
      </c>
      <c r="B2148" s="1807"/>
      <c r="C2148" s="5" t="s">
        <v>28</v>
      </c>
      <c r="D2148" s="1808" t="s">
        <v>1698</v>
      </c>
      <c r="E2148" s="1808"/>
      <c r="F2148" s="1808"/>
      <c r="G2148" s="5"/>
    </row>
    <row r="2149" spans="1:11" x14ac:dyDescent="0.25">
      <c r="A2149" s="1807" t="s">
        <v>29</v>
      </c>
      <c r="B2149" s="1807"/>
      <c r="C2149" s="5"/>
      <c r="D2149" s="1809" t="s">
        <v>2990</v>
      </c>
      <c r="E2149" s="1809"/>
      <c r="F2149" s="1809"/>
      <c r="G2149" s="5"/>
    </row>
    <row r="2150" spans="1:11" x14ac:dyDescent="0.25">
      <c r="A2150" s="1"/>
      <c r="B2150" s="3"/>
      <c r="C2150" s="5"/>
      <c r="D2150" s="7"/>
      <c r="E2150" s="17"/>
      <c r="F2150" s="1731"/>
      <c r="G2150" s="5"/>
    </row>
    <row r="2151" spans="1:11" x14ac:dyDescent="0.25">
      <c r="A2151" s="1"/>
      <c r="B2151" s="3"/>
      <c r="C2151" s="5"/>
      <c r="D2151" s="7"/>
      <c r="E2151" s="17"/>
      <c r="F2151" s="1731"/>
      <c r="G2151" s="5"/>
    </row>
    <row r="2152" spans="1:11" x14ac:dyDescent="0.25">
      <c r="A2152" s="1807"/>
      <c r="B2152" s="1807"/>
      <c r="C2152" s="5"/>
      <c r="D2152" s="7"/>
      <c r="E2152" s="1810"/>
      <c r="F2152" s="1807"/>
      <c r="G2152" s="5"/>
    </row>
    <row r="2153" spans="1:11" x14ac:dyDescent="0.25">
      <c r="A2153" s="1807" t="s">
        <v>30</v>
      </c>
      <c r="B2153" s="1807"/>
      <c r="C2153" s="5"/>
      <c r="D2153" s="1807" t="s">
        <v>2991</v>
      </c>
      <c r="E2153" s="1807"/>
      <c r="F2153" s="1807"/>
      <c r="G2153" s="5"/>
    </row>
    <row r="2156" spans="1:11" x14ac:dyDescent="0.25">
      <c r="A2156" s="1816" t="s">
        <v>1</v>
      </c>
      <c r="B2156" s="1816"/>
      <c r="C2156" s="1816"/>
      <c r="D2156" s="1816"/>
      <c r="E2156" s="1816"/>
      <c r="F2156" s="1816"/>
      <c r="G2156" s="1816"/>
    </row>
    <row r="2157" spans="1:11" x14ac:dyDescent="0.25">
      <c r="A2157" s="1816" t="s">
        <v>861</v>
      </c>
      <c r="B2157" s="1816"/>
      <c r="C2157" s="1816"/>
      <c r="D2157" s="1816"/>
      <c r="E2157" s="1816"/>
      <c r="F2157" s="1816"/>
      <c r="G2157" s="1816"/>
    </row>
    <row r="2158" spans="1:11" x14ac:dyDescent="0.25">
      <c r="A2158" s="1816" t="s">
        <v>1697</v>
      </c>
      <c r="B2158" s="1816"/>
      <c r="C2158" s="1816"/>
      <c r="D2158" s="1816"/>
      <c r="E2158" s="1816"/>
      <c r="F2158" s="1816"/>
      <c r="G2158" s="1816"/>
    </row>
    <row r="2159" spans="1:11" x14ac:dyDescent="0.25">
      <c r="A2159" s="370"/>
      <c r="B2159" s="280"/>
      <c r="C2159" s="280"/>
      <c r="D2159" s="280"/>
      <c r="E2159" s="280"/>
      <c r="F2159" s="632"/>
      <c r="G2159" s="279"/>
    </row>
    <row r="2160" spans="1:11" x14ac:dyDescent="0.25">
      <c r="A2160" s="275" t="s">
        <v>1048</v>
      </c>
      <c r="B2160" s="275" t="s">
        <v>813</v>
      </c>
      <c r="C2160" s="275"/>
      <c r="D2160" s="275"/>
      <c r="E2160" s="633"/>
      <c r="F2160" s="275"/>
      <c r="G2160" s="278"/>
    </row>
    <row r="2161" spans="1:17" x14ac:dyDescent="0.25">
      <c r="A2161" s="275" t="s">
        <v>584</v>
      </c>
      <c r="B2161" s="275" t="s">
        <v>1046</v>
      </c>
      <c r="C2161" s="275"/>
      <c r="D2161" s="275"/>
      <c r="E2161" s="634"/>
      <c r="F2161" s="275"/>
      <c r="G2161" s="278"/>
    </row>
    <row r="2162" spans="1:17" ht="90" x14ac:dyDescent="0.25">
      <c r="A2162" s="275" t="s">
        <v>586</v>
      </c>
      <c r="B2162" s="276" t="s">
        <v>1049</v>
      </c>
      <c r="C2162" s="275"/>
      <c r="D2162" s="275"/>
      <c r="E2162" s="282"/>
      <c r="F2162" s="275"/>
      <c r="G2162" s="278"/>
    </row>
    <row r="2163" spans="1:17" ht="30" x14ac:dyDescent="0.25">
      <c r="A2163" s="279" t="s">
        <v>560</v>
      </c>
      <c r="B2163" s="280" t="s">
        <v>63</v>
      </c>
      <c r="C2163" s="280"/>
      <c r="D2163" s="280"/>
      <c r="E2163" s="280"/>
      <c r="F2163" s="280"/>
      <c r="G2163" s="278"/>
    </row>
    <row r="2164" spans="1:17" x14ac:dyDescent="0.25">
      <c r="A2164" s="274"/>
      <c r="B2164" s="280"/>
      <c r="C2164" s="280"/>
      <c r="D2164" s="280"/>
      <c r="E2164" s="632"/>
      <c r="F2164" s="632"/>
      <c r="G2164" s="279"/>
    </row>
    <row r="2165" spans="1:17" ht="45" x14ac:dyDescent="0.25">
      <c r="A2165" s="601" t="s">
        <v>500</v>
      </c>
      <c r="B2165" s="601" t="s">
        <v>12</v>
      </c>
      <c r="C2165" s="1866" t="s">
        <v>13</v>
      </c>
      <c r="D2165" s="1866"/>
      <c r="E2165" s="602" t="s">
        <v>14</v>
      </c>
      <c r="F2165" s="601" t="s">
        <v>15</v>
      </c>
      <c r="G2165" s="603" t="s">
        <v>301</v>
      </c>
    </row>
    <row r="2166" spans="1:17" x14ac:dyDescent="0.25">
      <c r="A2166" s="604">
        <v>1</v>
      </c>
      <c r="B2166" s="604">
        <v>2</v>
      </c>
      <c r="C2166" s="1820">
        <v>3</v>
      </c>
      <c r="D2166" s="1821"/>
      <c r="E2166" s="607">
        <v>4</v>
      </c>
      <c r="F2166" s="605">
        <v>5</v>
      </c>
      <c r="G2166" s="608">
        <v>6</v>
      </c>
    </row>
    <row r="2167" spans="1:17" ht="28.5" x14ac:dyDescent="0.25">
      <c r="A2167" s="609" t="s">
        <v>1043</v>
      </c>
      <c r="B2167" s="635" t="s">
        <v>86</v>
      </c>
      <c r="C2167" s="1820">
        <v>3</v>
      </c>
      <c r="D2167" s="1821"/>
      <c r="E2167" s="636"/>
      <c r="F2167" s="636"/>
      <c r="G2167" s="601"/>
    </row>
    <row r="2168" spans="1:17" ht="28.5" x14ac:dyDescent="0.25">
      <c r="A2168" s="609" t="s">
        <v>1042</v>
      </c>
      <c r="B2168" s="635" t="s">
        <v>1050</v>
      </c>
      <c r="C2168" s="605"/>
      <c r="D2168" s="606"/>
      <c r="E2168" s="637"/>
      <c r="F2168" s="637"/>
      <c r="G2168" s="618"/>
    </row>
    <row r="2169" spans="1:17" ht="30" x14ac:dyDescent="0.25">
      <c r="A2169" s="609" t="s">
        <v>1038</v>
      </c>
      <c r="B2169" s="619" t="s">
        <v>1037</v>
      </c>
      <c r="C2169" s="605"/>
      <c r="D2169" s="606"/>
      <c r="E2169" s="638"/>
      <c r="F2169" s="637"/>
      <c r="G2169" s="618"/>
    </row>
    <row r="2170" spans="1:17" ht="30" x14ac:dyDescent="0.25">
      <c r="A2170" s="620"/>
      <c r="B2170" s="639" t="s">
        <v>1036</v>
      </c>
      <c r="C2170" s="640">
        <v>200</v>
      </c>
      <c r="D2170" s="641" t="s">
        <v>460</v>
      </c>
      <c r="E2170" s="642">
        <v>6000</v>
      </c>
      <c r="F2170" s="637">
        <f>E2170*C2170</f>
        <v>1200000</v>
      </c>
      <c r="G2170" s="618" t="s">
        <v>1690</v>
      </c>
      <c r="Q2170" s="1190">
        <f>F2170</f>
        <v>1200000</v>
      </c>
    </row>
    <row r="2171" spans="1:17" ht="30" x14ac:dyDescent="0.25">
      <c r="A2171" s="620"/>
      <c r="B2171" s="639" t="s">
        <v>1051</v>
      </c>
      <c r="C2171" s="640">
        <v>5</v>
      </c>
      <c r="D2171" s="641" t="s">
        <v>123</v>
      </c>
      <c r="E2171" s="642">
        <v>200000</v>
      </c>
      <c r="F2171" s="637">
        <f>E2171*C2171</f>
        <v>1000000</v>
      </c>
      <c r="G2171" s="618" t="s">
        <v>1690</v>
      </c>
      <c r="Q2171" s="1190">
        <f t="shared" ref="Q2171:Q2193" si="48">F2171</f>
        <v>1000000</v>
      </c>
    </row>
    <row r="2172" spans="1:17" x14ac:dyDescent="0.25">
      <c r="A2172" s="620"/>
      <c r="B2172" s="624"/>
      <c r="C2172" s="640"/>
      <c r="D2172" s="641"/>
      <c r="E2172" s="638"/>
      <c r="F2172" s="643"/>
      <c r="G2172" s="618"/>
      <c r="Q2172" s="1190"/>
    </row>
    <row r="2173" spans="1:17" ht="30" x14ac:dyDescent="0.25">
      <c r="A2173" s="609" t="s">
        <v>1052</v>
      </c>
      <c r="B2173" s="618" t="s">
        <v>354</v>
      </c>
      <c r="C2173" s="640"/>
      <c r="D2173" s="641"/>
      <c r="E2173" s="638"/>
      <c r="F2173" s="644"/>
      <c r="G2173" s="645"/>
      <c r="Q2173" s="1190"/>
    </row>
    <row r="2174" spans="1:17" ht="45" x14ac:dyDescent="0.25">
      <c r="A2174" s="1734"/>
      <c r="B2174" s="1735" t="s">
        <v>3005</v>
      </c>
      <c r="C2174" s="1736">
        <f>29*12*2</f>
        <v>696</v>
      </c>
      <c r="D2174" s="1737" t="s">
        <v>448</v>
      </c>
      <c r="E2174" s="1738">
        <v>15000</v>
      </c>
      <c r="F2174" s="1739">
        <f>E2174*C2174</f>
        <v>10440000</v>
      </c>
      <c r="G2174" s="1740" t="s">
        <v>1682</v>
      </c>
      <c r="K2174" s="175">
        <f>F2174</f>
        <v>10440000</v>
      </c>
      <c r="Q2174" s="1190"/>
    </row>
    <row r="2175" spans="1:17" ht="30" x14ac:dyDescent="0.25">
      <c r="A2175" s="624"/>
      <c r="B2175" s="618" t="s">
        <v>1053</v>
      </c>
      <c r="C2175" s="640">
        <v>240</v>
      </c>
      <c r="D2175" s="641" t="s">
        <v>565</v>
      </c>
      <c r="E2175" s="638">
        <v>15000</v>
      </c>
      <c r="F2175" s="644">
        <f t="shared" ref="F2175:F2190" si="49">E2175*C2175</f>
        <v>3600000</v>
      </c>
      <c r="G2175" s="618" t="s">
        <v>1690</v>
      </c>
      <c r="Q2175" s="1190">
        <f t="shared" si="48"/>
        <v>3600000</v>
      </c>
    </row>
    <row r="2176" spans="1:17" x14ac:dyDescent="0.25">
      <c r="A2176" s="624"/>
      <c r="B2176" s="624"/>
      <c r="C2176" s="640"/>
      <c r="D2176" s="641"/>
      <c r="E2176" s="638"/>
      <c r="F2176" s="644">
        <f t="shared" si="49"/>
        <v>0</v>
      </c>
      <c r="G2176" s="645"/>
      <c r="Q2176" s="1190"/>
    </row>
    <row r="2177" spans="1:17" x14ac:dyDescent="0.25">
      <c r="A2177" s="609" t="s">
        <v>1033</v>
      </c>
      <c r="B2177" s="646" t="s">
        <v>1032</v>
      </c>
      <c r="C2177" s="640"/>
      <c r="D2177" s="641"/>
      <c r="E2177" s="642"/>
      <c r="F2177" s="644">
        <f t="shared" si="49"/>
        <v>0</v>
      </c>
      <c r="G2177" s="618"/>
      <c r="Q2177" s="1190"/>
    </row>
    <row r="2178" spans="1:17" ht="30" x14ac:dyDescent="0.25">
      <c r="A2178" s="1734"/>
      <c r="B2178" s="1741" t="s">
        <v>3004</v>
      </c>
      <c r="C2178" s="1736">
        <v>39</v>
      </c>
      <c r="D2178" s="1737" t="s">
        <v>123</v>
      </c>
      <c r="E2178" s="1742">
        <v>10000</v>
      </c>
      <c r="F2178" s="1739">
        <f>E2178*C2178</f>
        <v>390000</v>
      </c>
      <c r="G2178" s="1735" t="s">
        <v>1682</v>
      </c>
      <c r="K2178" s="175">
        <f>F2178</f>
        <v>390000</v>
      </c>
      <c r="Q2178" s="1190"/>
    </row>
    <row r="2179" spans="1:17" x14ac:dyDescent="0.25">
      <c r="A2179" s="620"/>
      <c r="B2179" s="639" t="s">
        <v>1054</v>
      </c>
      <c r="C2179" s="605">
        <v>5</v>
      </c>
      <c r="D2179" s="606" t="s">
        <v>123</v>
      </c>
      <c r="E2179" s="642">
        <v>30000</v>
      </c>
      <c r="F2179" s="644">
        <f t="shared" si="49"/>
        <v>150000</v>
      </c>
      <c r="G2179" s="618" t="s">
        <v>1690</v>
      </c>
      <c r="Q2179" s="1190">
        <f t="shared" si="48"/>
        <v>150000</v>
      </c>
    </row>
    <row r="2180" spans="1:17" x14ac:dyDescent="0.25">
      <c r="A2180" s="620"/>
      <c r="B2180" s="639" t="s">
        <v>133</v>
      </c>
      <c r="C2180" s="605">
        <v>6</v>
      </c>
      <c r="D2180" s="606" t="s">
        <v>123</v>
      </c>
      <c r="E2180" s="642">
        <v>6600</v>
      </c>
      <c r="F2180" s="644">
        <f t="shared" si="49"/>
        <v>39600</v>
      </c>
      <c r="G2180" s="618" t="s">
        <v>1690</v>
      </c>
      <c r="Q2180" s="1190">
        <f t="shared" si="48"/>
        <v>39600</v>
      </c>
    </row>
    <row r="2181" spans="1:17" x14ac:dyDescent="0.25">
      <c r="A2181" s="620"/>
      <c r="B2181" s="639" t="s">
        <v>132</v>
      </c>
      <c r="C2181" s="605">
        <v>6</v>
      </c>
      <c r="D2181" s="606" t="s">
        <v>123</v>
      </c>
      <c r="E2181" s="642">
        <v>46800</v>
      </c>
      <c r="F2181" s="644">
        <f t="shared" si="49"/>
        <v>280800</v>
      </c>
      <c r="G2181" s="618" t="s">
        <v>1690</v>
      </c>
      <c r="Q2181" s="1190">
        <f t="shared" si="48"/>
        <v>280800</v>
      </c>
    </row>
    <row r="2182" spans="1:17" x14ac:dyDescent="0.25">
      <c r="A2182" s="620"/>
      <c r="B2182" s="624" t="s">
        <v>1055</v>
      </c>
      <c r="C2182" s="640">
        <v>10</v>
      </c>
      <c r="D2182" s="641" t="s">
        <v>102</v>
      </c>
      <c r="E2182" s="647">
        <v>160000</v>
      </c>
      <c r="F2182" s="644">
        <f t="shared" si="49"/>
        <v>1600000</v>
      </c>
      <c r="G2182" s="618" t="s">
        <v>1690</v>
      </c>
      <c r="Q2182" s="1190">
        <f t="shared" si="48"/>
        <v>1600000</v>
      </c>
    </row>
    <row r="2183" spans="1:17" x14ac:dyDescent="0.25">
      <c r="A2183" s="620"/>
      <c r="B2183" s="624" t="s">
        <v>944</v>
      </c>
      <c r="C2183" s="640">
        <v>10</v>
      </c>
      <c r="D2183" s="641" t="s">
        <v>102</v>
      </c>
      <c r="E2183" s="647">
        <v>160000</v>
      </c>
      <c r="F2183" s="644">
        <f t="shared" si="49"/>
        <v>1600000</v>
      </c>
      <c r="G2183" s="618" t="s">
        <v>1690</v>
      </c>
      <c r="Q2183" s="1190">
        <f t="shared" si="48"/>
        <v>1600000</v>
      </c>
    </row>
    <row r="2184" spans="1:17" x14ac:dyDescent="0.25">
      <c r="A2184" s="620"/>
      <c r="B2184" s="624" t="s">
        <v>943</v>
      </c>
      <c r="C2184" s="640">
        <v>10</v>
      </c>
      <c r="D2184" s="641" t="s">
        <v>102</v>
      </c>
      <c r="E2184" s="647">
        <v>80000</v>
      </c>
      <c r="F2184" s="644">
        <f t="shared" si="49"/>
        <v>800000</v>
      </c>
      <c r="G2184" s="618" t="s">
        <v>1690</v>
      </c>
      <c r="Q2184" s="1190">
        <f t="shared" si="48"/>
        <v>800000</v>
      </c>
    </row>
    <row r="2185" spans="1:17" x14ac:dyDescent="0.25">
      <c r="A2185" s="620"/>
      <c r="B2185" s="624" t="s">
        <v>1056</v>
      </c>
      <c r="C2185" s="640">
        <v>10</v>
      </c>
      <c r="D2185" s="641" t="s">
        <v>102</v>
      </c>
      <c r="E2185" s="647">
        <v>200000</v>
      </c>
      <c r="F2185" s="644">
        <f t="shared" si="49"/>
        <v>2000000</v>
      </c>
      <c r="G2185" s="618" t="s">
        <v>1690</v>
      </c>
      <c r="Q2185" s="1190">
        <f t="shared" si="48"/>
        <v>2000000</v>
      </c>
    </row>
    <row r="2186" spans="1:17" x14ac:dyDescent="0.25">
      <c r="A2186" s="620"/>
      <c r="B2186" s="624" t="s">
        <v>1057</v>
      </c>
      <c r="C2186" s="640">
        <v>10</v>
      </c>
      <c r="D2186" s="641" t="s">
        <v>1021</v>
      </c>
      <c r="E2186" s="647">
        <v>33600</v>
      </c>
      <c r="F2186" s="644">
        <f t="shared" si="49"/>
        <v>336000</v>
      </c>
      <c r="G2186" s="618" t="s">
        <v>1690</v>
      </c>
      <c r="Q2186" s="1190">
        <f t="shared" si="48"/>
        <v>336000</v>
      </c>
    </row>
    <row r="2187" spans="1:17" x14ac:dyDescent="0.25">
      <c r="A2187" s="620"/>
      <c r="B2187" s="648" t="s">
        <v>1058</v>
      </c>
      <c r="C2187" s="649">
        <v>12</v>
      </c>
      <c r="D2187" s="650" t="s">
        <v>102</v>
      </c>
      <c r="E2187" s="651">
        <v>34700</v>
      </c>
      <c r="F2187" s="644">
        <f t="shared" si="49"/>
        <v>416400</v>
      </c>
      <c r="G2187" s="618" t="s">
        <v>1690</v>
      </c>
      <c r="Q2187" s="1190">
        <f t="shared" si="48"/>
        <v>416400</v>
      </c>
    </row>
    <row r="2188" spans="1:17" x14ac:dyDescent="0.25">
      <c r="A2188" s="620"/>
      <c r="B2188" s="628" t="s">
        <v>1059</v>
      </c>
      <c r="C2188" s="640">
        <v>12</v>
      </c>
      <c r="D2188" s="641" t="s">
        <v>1060</v>
      </c>
      <c r="E2188" s="642">
        <v>100000</v>
      </c>
      <c r="F2188" s="644">
        <f t="shared" si="49"/>
        <v>1200000</v>
      </c>
      <c r="G2188" s="618" t="s">
        <v>1690</v>
      </c>
      <c r="Q2188" s="1190">
        <f t="shared" si="48"/>
        <v>1200000</v>
      </c>
    </row>
    <row r="2189" spans="1:17" x14ac:dyDescent="0.25">
      <c r="A2189" s="620"/>
      <c r="B2189" s="628" t="s">
        <v>1061</v>
      </c>
      <c r="C2189" s="640">
        <v>12</v>
      </c>
      <c r="D2189" s="641" t="s">
        <v>102</v>
      </c>
      <c r="E2189" s="642">
        <v>22500</v>
      </c>
      <c r="F2189" s="644">
        <f t="shared" si="49"/>
        <v>270000</v>
      </c>
      <c r="G2189" s="618" t="s">
        <v>1690</v>
      </c>
      <c r="Q2189" s="1190">
        <f t="shared" si="48"/>
        <v>270000</v>
      </c>
    </row>
    <row r="2190" spans="1:17" x14ac:dyDescent="0.25">
      <c r="A2190" s="620"/>
      <c r="B2190" s="628" t="s">
        <v>1062</v>
      </c>
      <c r="C2190" s="640">
        <v>6</v>
      </c>
      <c r="D2190" s="641" t="s">
        <v>102</v>
      </c>
      <c r="E2190" s="642">
        <v>142500</v>
      </c>
      <c r="F2190" s="644">
        <f t="shared" si="49"/>
        <v>855000</v>
      </c>
      <c r="G2190" s="618" t="s">
        <v>1690</v>
      </c>
      <c r="Q2190" s="1190">
        <f t="shared" si="48"/>
        <v>855000</v>
      </c>
    </row>
    <row r="2191" spans="1:17" x14ac:dyDescent="0.25">
      <c r="A2191" s="609" t="s">
        <v>1014</v>
      </c>
      <c r="B2191" s="646" t="s">
        <v>569</v>
      </c>
      <c r="C2191" s="640"/>
      <c r="D2191" s="641"/>
      <c r="E2191" s="638"/>
      <c r="F2191" s="642"/>
      <c r="G2191" s="618"/>
      <c r="Q2191" s="1190"/>
    </row>
    <row r="2192" spans="1:17" x14ac:dyDescent="0.25">
      <c r="A2192" s="609" t="s">
        <v>1013</v>
      </c>
      <c r="B2192" s="646" t="s">
        <v>1063</v>
      </c>
      <c r="C2192" s="640"/>
      <c r="D2192" s="641"/>
      <c r="E2192" s="642"/>
      <c r="F2192" s="644"/>
      <c r="G2192" s="645"/>
      <c r="Q2192" s="1190"/>
    </row>
    <row r="2193" spans="1:23" ht="45" x14ac:dyDescent="0.25">
      <c r="A2193" s="624"/>
      <c r="B2193" s="618" t="s">
        <v>1064</v>
      </c>
      <c r="C2193" s="640">
        <f>20*12</f>
        <v>240</v>
      </c>
      <c r="D2193" s="641" t="s">
        <v>22</v>
      </c>
      <c r="E2193" s="642">
        <v>50000</v>
      </c>
      <c r="F2193" s="644">
        <f>E2193*C2193</f>
        <v>12000000</v>
      </c>
      <c r="G2193" s="618" t="s">
        <v>1690</v>
      </c>
      <c r="Q2193" s="1190">
        <f t="shared" si="48"/>
        <v>12000000</v>
      </c>
    </row>
    <row r="2194" spans="1:23" x14ac:dyDescent="0.25">
      <c r="A2194" s="624"/>
      <c r="B2194" s="618"/>
      <c r="C2194" s="640"/>
      <c r="D2194" s="641"/>
      <c r="E2194" s="642"/>
      <c r="F2194" s="644"/>
      <c r="G2194" s="645"/>
      <c r="Q2194" s="1190"/>
    </row>
    <row r="2195" spans="1:23" x14ac:dyDescent="0.25">
      <c r="A2195" s="624"/>
      <c r="B2195" s="1933" t="s">
        <v>988</v>
      </c>
      <c r="C2195" s="1933"/>
      <c r="D2195" s="1933"/>
      <c r="E2195" s="1933"/>
      <c r="F2195" s="642">
        <f>SUM(F2170:F2193)</f>
        <v>38177800</v>
      </c>
      <c r="G2195" s="618"/>
      <c r="Q2195" s="1190"/>
      <c r="W2195" s="1190"/>
    </row>
    <row r="2196" spans="1:23" x14ac:dyDescent="0.25">
      <c r="A2196" s="1807" t="s">
        <v>614</v>
      </c>
      <c r="B2196" s="1807"/>
      <c r="C2196" s="5" t="s">
        <v>28</v>
      </c>
      <c r="D2196" s="1808" t="s">
        <v>1698</v>
      </c>
      <c r="E2196" s="1808"/>
      <c r="F2196" s="1808"/>
      <c r="G2196" s="5"/>
      <c r="Q2196" s="1190"/>
    </row>
    <row r="2197" spans="1:23" x14ac:dyDescent="0.25">
      <c r="A2197" s="1807" t="s">
        <v>29</v>
      </c>
      <c r="B2197" s="1807"/>
      <c r="C2197" s="5"/>
      <c r="D2197" s="1809" t="s">
        <v>2990</v>
      </c>
      <c r="E2197" s="1809"/>
      <c r="F2197" s="1809"/>
      <c r="G2197" s="5"/>
    </row>
    <row r="2198" spans="1:23" x14ac:dyDescent="0.25">
      <c r="A2198" s="1"/>
      <c r="B2198" s="3"/>
      <c r="C2198" s="5"/>
      <c r="D2198" s="7"/>
      <c r="E2198" s="17"/>
      <c r="F2198" s="17"/>
      <c r="G2198" s="5"/>
    </row>
    <row r="2199" spans="1:23" x14ac:dyDescent="0.25">
      <c r="A2199" s="1"/>
      <c r="B2199" s="3"/>
      <c r="C2199" s="5"/>
      <c r="D2199" s="7"/>
      <c r="E2199" s="17"/>
      <c r="F2199" s="17"/>
      <c r="G2199" s="5"/>
    </row>
    <row r="2200" spans="1:23" x14ac:dyDescent="0.25">
      <c r="A2200" s="1807"/>
      <c r="B2200" s="1807"/>
      <c r="C2200" s="5"/>
      <c r="D2200" s="7"/>
      <c r="E2200" s="1807"/>
      <c r="F2200" s="1807"/>
      <c r="G2200" s="5"/>
    </row>
    <row r="2201" spans="1:23" x14ac:dyDescent="0.25">
      <c r="A2201" s="1807" t="s">
        <v>30</v>
      </c>
      <c r="B2201" s="1807"/>
      <c r="C2201" s="5"/>
      <c r="D2201" s="1807" t="s">
        <v>2991</v>
      </c>
      <c r="E2201" s="1807"/>
      <c r="F2201" s="1807"/>
      <c r="G2201" s="5"/>
    </row>
    <row r="2203" spans="1:23" x14ac:dyDescent="0.25">
      <c r="A2203" s="1816" t="s">
        <v>1</v>
      </c>
      <c r="B2203" s="1816"/>
      <c r="C2203" s="1816"/>
      <c r="D2203" s="1816"/>
      <c r="E2203" s="1816"/>
      <c r="F2203" s="1816"/>
      <c r="G2203" s="1816"/>
    </row>
    <row r="2204" spans="1:23" x14ac:dyDescent="0.25">
      <c r="A2204" s="1816" t="s">
        <v>861</v>
      </c>
      <c r="B2204" s="1816"/>
      <c r="C2204" s="1816"/>
      <c r="D2204" s="1816"/>
      <c r="E2204" s="1816"/>
      <c r="F2204" s="1816"/>
      <c r="G2204" s="1816"/>
    </row>
    <row r="2205" spans="1:23" x14ac:dyDescent="0.25">
      <c r="A2205" s="1816" t="s">
        <v>1697</v>
      </c>
      <c r="B2205" s="1816"/>
      <c r="C2205" s="1816"/>
      <c r="D2205" s="1816"/>
      <c r="E2205" s="1816"/>
      <c r="F2205" s="1816"/>
      <c r="G2205" s="1816"/>
    </row>
    <row r="2206" spans="1:23" x14ac:dyDescent="0.25">
      <c r="A2206" s="370"/>
      <c r="B2206" s="280"/>
      <c r="C2206" s="280"/>
      <c r="D2206" s="280"/>
      <c r="E2206" s="280"/>
      <c r="F2206" s="632"/>
      <c r="G2206" s="279"/>
    </row>
    <row r="2207" spans="1:23" x14ac:dyDescent="0.25">
      <c r="A2207" s="275" t="s">
        <v>583</v>
      </c>
      <c r="B2207" s="275" t="s">
        <v>786</v>
      </c>
      <c r="C2207" s="275"/>
      <c r="D2207" s="275"/>
      <c r="E2207" s="633" t="s">
        <v>6</v>
      </c>
      <c r="F2207" s="275"/>
      <c r="G2207" s="278"/>
    </row>
    <row r="2208" spans="1:23" x14ac:dyDescent="0.25">
      <c r="A2208" s="275" t="s">
        <v>584</v>
      </c>
      <c r="B2208" s="275" t="s">
        <v>1046</v>
      </c>
      <c r="C2208" s="275"/>
      <c r="D2208" s="275"/>
      <c r="E2208" s="634" t="s">
        <v>9</v>
      </c>
      <c r="F2208" s="275"/>
      <c r="G2208" s="278"/>
    </row>
    <row r="2209" spans="1:7" ht="45" x14ac:dyDescent="0.25">
      <c r="A2209" s="281" t="s">
        <v>586</v>
      </c>
      <c r="B2209" s="279" t="s">
        <v>1078</v>
      </c>
      <c r="C2209" s="279"/>
      <c r="D2209" s="275"/>
      <c r="E2209" s="282"/>
      <c r="F2209" s="275"/>
      <c r="G2209" s="278"/>
    </row>
    <row r="2210" spans="1:7" ht="30" x14ac:dyDescent="0.25">
      <c r="A2210" s="279" t="s">
        <v>560</v>
      </c>
      <c r="B2210" s="280" t="s">
        <v>63</v>
      </c>
      <c r="C2210" s="280"/>
      <c r="D2210" s="280"/>
      <c r="E2210" s="280"/>
      <c r="F2210" s="280"/>
      <c r="G2210" s="278"/>
    </row>
    <row r="2211" spans="1:7" x14ac:dyDescent="0.25">
      <c r="A2211" s="240"/>
      <c r="B2211" s="240"/>
      <c r="C2211" s="240"/>
      <c r="D2211" s="240"/>
      <c r="E2211" s="240"/>
      <c r="F2211" s="240"/>
      <c r="G2211" s="278"/>
    </row>
    <row r="2212" spans="1:7" ht="45" x14ac:dyDescent="0.25">
      <c r="A2212" s="601" t="s">
        <v>300</v>
      </c>
      <c r="B2212" s="601" t="s">
        <v>12</v>
      </c>
      <c r="C2212" s="1866" t="s">
        <v>13</v>
      </c>
      <c r="D2212" s="1866"/>
      <c r="E2212" s="602" t="s">
        <v>14</v>
      </c>
      <c r="F2212" s="601" t="s">
        <v>15</v>
      </c>
      <c r="G2212" s="603" t="s">
        <v>301</v>
      </c>
    </row>
    <row r="2213" spans="1:7" x14ac:dyDescent="0.25">
      <c r="A2213" s="604">
        <v>1</v>
      </c>
      <c r="B2213" s="604">
        <v>2</v>
      </c>
      <c r="C2213" s="1820">
        <v>3</v>
      </c>
      <c r="D2213" s="1821"/>
      <c r="E2213" s="607">
        <v>4</v>
      </c>
      <c r="F2213" s="605">
        <v>5</v>
      </c>
      <c r="G2213" s="608">
        <v>6</v>
      </c>
    </row>
    <row r="2214" spans="1:7" ht="30" x14ac:dyDescent="0.25">
      <c r="A2214" s="609" t="s">
        <v>1043</v>
      </c>
      <c r="B2214" s="621" t="s">
        <v>1077</v>
      </c>
      <c r="C2214" s="605"/>
      <c r="D2214" s="606"/>
      <c r="E2214" s="652"/>
      <c r="F2214" s="652"/>
      <c r="G2214" s="601"/>
    </row>
    <row r="2215" spans="1:7" x14ac:dyDescent="0.25">
      <c r="A2215" s="609" t="s">
        <v>1042</v>
      </c>
      <c r="B2215" s="620" t="s">
        <v>88</v>
      </c>
      <c r="C2215" s="640"/>
      <c r="D2215" s="641"/>
      <c r="E2215" s="642"/>
      <c r="F2215" s="642"/>
      <c r="G2215" s="618"/>
    </row>
    <row r="2216" spans="1:7" ht="60" x14ac:dyDescent="0.25">
      <c r="A2216" s="609" t="s">
        <v>1041</v>
      </c>
      <c r="B2216" s="621" t="s">
        <v>1076</v>
      </c>
      <c r="C2216" s="640"/>
      <c r="D2216" s="641"/>
      <c r="E2216" s="642"/>
      <c r="F2216" s="642"/>
      <c r="G2216" s="618"/>
    </row>
    <row r="2217" spans="1:7" ht="30" x14ac:dyDescent="0.25">
      <c r="A2217" s="620"/>
      <c r="B2217" s="653" t="s">
        <v>1075</v>
      </c>
      <c r="C2217" s="605">
        <v>12</v>
      </c>
      <c r="D2217" s="606" t="s">
        <v>210</v>
      </c>
      <c r="E2217" s="617">
        <v>300000</v>
      </c>
      <c r="F2217" s="617">
        <f>C2217*E2217</f>
        <v>3600000</v>
      </c>
      <c r="G2217" s="618"/>
    </row>
    <row r="2218" spans="1:7" x14ac:dyDescent="0.25">
      <c r="A2218" s="609" t="s">
        <v>1033</v>
      </c>
      <c r="B2218" s="654" t="s">
        <v>1032</v>
      </c>
      <c r="C2218" s="605"/>
      <c r="D2218" s="606"/>
      <c r="E2218" s="617"/>
      <c r="F2218" s="617"/>
      <c r="G2218" s="618"/>
    </row>
    <row r="2219" spans="1:7" ht="30" x14ac:dyDescent="0.25">
      <c r="A2219" s="620"/>
      <c r="B2219" s="655" t="s">
        <v>1074</v>
      </c>
      <c r="C2219" s="605">
        <v>13</v>
      </c>
      <c r="D2219" s="606" t="s">
        <v>123</v>
      </c>
      <c r="E2219" s="617">
        <v>432000</v>
      </c>
      <c r="F2219" s="617">
        <f>C2219*E2219</f>
        <v>5616000</v>
      </c>
      <c r="G2219" s="618"/>
    </row>
    <row r="2220" spans="1:7" x14ac:dyDescent="0.25">
      <c r="A2220" s="620"/>
      <c r="B2220" s="655" t="s">
        <v>1073</v>
      </c>
      <c r="C2220" s="605">
        <v>2</v>
      </c>
      <c r="D2220" s="606" t="s">
        <v>123</v>
      </c>
      <c r="E2220" s="617">
        <v>120000</v>
      </c>
      <c r="F2220" s="617">
        <f>C2220*E2220</f>
        <v>240000</v>
      </c>
      <c r="G2220" s="618"/>
    </row>
    <row r="2221" spans="1:7" ht="30" x14ac:dyDescent="0.25">
      <c r="A2221" s="620"/>
      <c r="B2221" s="653" t="s">
        <v>1072</v>
      </c>
      <c r="C2221" s="605">
        <v>290</v>
      </c>
      <c r="D2221" s="606" t="s">
        <v>123</v>
      </c>
      <c r="E2221" s="617">
        <v>10000</v>
      </c>
      <c r="F2221" s="617">
        <f>C2221*E2221</f>
        <v>2900000</v>
      </c>
      <c r="G2221" s="618"/>
    </row>
    <row r="2222" spans="1:7" ht="30" x14ac:dyDescent="0.25">
      <c r="A2222" s="609" t="s">
        <v>1033</v>
      </c>
      <c r="B2222" s="653" t="s">
        <v>1071</v>
      </c>
      <c r="C2222" s="605"/>
      <c r="D2222" s="606"/>
      <c r="E2222" s="617"/>
      <c r="F2222" s="617"/>
      <c r="G2222" s="618"/>
    </row>
    <row r="2223" spans="1:7" ht="30" x14ac:dyDescent="0.25">
      <c r="A2223" s="609"/>
      <c r="B2223" s="625" t="s">
        <v>1025</v>
      </c>
      <c r="C2223" s="605">
        <v>3</v>
      </c>
      <c r="D2223" s="606" t="s">
        <v>204</v>
      </c>
      <c r="E2223" s="626">
        <v>400000</v>
      </c>
      <c r="F2223" s="617">
        <f>C2223*E2223</f>
        <v>1200000</v>
      </c>
      <c r="G2223" s="618"/>
    </row>
    <row r="2224" spans="1:7" x14ac:dyDescent="0.25">
      <c r="A2224" s="609"/>
      <c r="B2224" s="625" t="s">
        <v>943</v>
      </c>
      <c r="C2224" s="605">
        <v>3</v>
      </c>
      <c r="D2224" s="606" t="s">
        <v>102</v>
      </c>
      <c r="E2224" s="626">
        <v>80000</v>
      </c>
      <c r="F2224" s="617">
        <f>C2224*E2224</f>
        <v>240000</v>
      </c>
      <c r="G2224" s="618"/>
    </row>
    <row r="2225" spans="1:7" x14ac:dyDescent="0.25">
      <c r="A2225" s="609"/>
      <c r="B2225" s="625" t="s">
        <v>1770</v>
      </c>
      <c r="C2225" s="605">
        <v>3</v>
      </c>
      <c r="D2225" s="606" t="s">
        <v>102</v>
      </c>
      <c r="E2225" s="626">
        <v>350000</v>
      </c>
      <c r="F2225" s="617">
        <f>C2225*E2225</f>
        <v>1050000</v>
      </c>
      <c r="G2225" s="618"/>
    </row>
    <row r="2226" spans="1:7" ht="30" x14ac:dyDescent="0.25">
      <c r="A2226" s="609"/>
      <c r="B2226" s="625" t="s">
        <v>1023</v>
      </c>
      <c r="C2226" s="605">
        <v>3</v>
      </c>
      <c r="D2226" s="606" t="s">
        <v>102</v>
      </c>
      <c r="E2226" s="626">
        <v>180000</v>
      </c>
      <c r="F2226" s="617">
        <f>C2226*E2226</f>
        <v>540000</v>
      </c>
      <c r="G2226" s="618"/>
    </row>
    <row r="2227" spans="1:7" x14ac:dyDescent="0.25">
      <c r="A2227" s="609"/>
      <c r="B2227" s="625" t="s">
        <v>1022</v>
      </c>
      <c r="C2227" s="605">
        <v>3</v>
      </c>
      <c r="D2227" s="606" t="s">
        <v>1021</v>
      </c>
      <c r="E2227" s="626">
        <v>30000</v>
      </c>
      <c r="F2227" s="617">
        <f>C2227*E2227</f>
        <v>90000</v>
      </c>
      <c r="G2227" s="618"/>
    </row>
    <row r="2228" spans="1:7" x14ac:dyDescent="0.25">
      <c r="A2228" s="609" t="s">
        <v>1014</v>
      </c>
      <c r="B2228" s="620" t="s">
        <v>1070</v>
      </c>
      <c r="C2228" s="605"/>
      <c r="D2228" s="606"/>
      <c r="E2228" s="617"/>
      <c r="F2228" s="617"/>
      <c r="G2228" s="618"/>
    </row>
    <row r="2229" spans="1:7" x14ac:dyDescent="0.25">
      <c r="A2229" s="609" t="s">
        <v>1013</v>
      </c>
      <c r="B2229" s="620" t="s">
        <v>1012</v>
      </c>
      <c r="C2229" s="605"/>
      <c r="D2229" s="606"/>
      <c r="E2229" s="617"/>
      <c r="F2229" s="617"/>
      <c r="G2229" s="618"/>
    </row>
    <row r="2230" spans="1:7" ht="60" x14ac:dyDescent="0.25">
      <c r="A2230" s="620"/>
      <c r="B2230" s="621" t="s">
        <v>1771</v>
      </c>
      <c r="C2230" s="605">
        <f>2*3</f>
        <v>6</v>
      </c>
      <c r="D2230" s="606" t="s">
        <v>22</v>
      </c>
      <c r="E2230" s="617">
        <v>1600000</v>
      </c>
      <c r="F2230" s="617">
        <f>C2230*E2230</f>
        <v>9600000</v>
      </c>
      <c r="G2230" s="618"/>
    </row>
    <row r="2231" spans="1:7" ht="60" x14ac:dyDescent="0.25">
      <c r="A2231" s="620"/>
      <c r="B2231" s="621" t="s">
        <v>1772</v>
      </c>
      <c r="C2231" s="605">
        <f>2*9</f>
        <v>18</v>
      </c>
      <c r="D2231" s="606" t="s">
        <v>22</v>
      </c>
      <c r="E2231" s="617">
        <v>1600000</v>
      </c>
      <c r="F2231" s="617">
        <f>C2231*E2231</f>
        <v>28800000</v>
      </c>
      <c r="G2231" s="618"/>
    </row>
    <row r="2232" spans="1:7" ht="30" x14ac:dyDescent="0.25">
      <c r="A2232" s="620"/>
      <c r="B2232" s="621" t="s">
        <v>1773</v>
      </c>
      <c r="C2232" s="605">
        <v>3</v>
      </c>
      <c r="D2232" s="606" t="s">
        <v>22</v>
      </c>
      <c r="E2232" s="617">
        <v>1600000</v>
      </c>
      <c r="F2232" s="617">
        <f>C2232*E2232</f>
        <v>4800000</v>
      </c>
      <c r="G2232" s="618"/>
    </row>
    <row r="2233" spans="1:7" ht="30" x14ac:dyDescent="0.25">
      <c r="A2233" s="620"/>
      <c r="B2233" s="621" t="s">
        <v>1774</v>
      </c>
      <c r="C2233" s="605">
        <v>9</v>
      </c>
      <c r="D2233" s="606" t="s">
        <v>22</v>
      </c>
      <c r="E2233" s="617">
        <v>1600000</v>
      </c>
      <c r="F2233" s="617">
        <f>C2233*E2233</f>
        <v>14400000</v>
      </c>
      <c r="G2233" s="618"/>
    </row>
    <row r="2234" spans="1:7" ht="45" x14ac:dyDescent="0.25">
      <c r="A2234" s="620"/>
      <c r="B2234" s="621" t="s">
        <v>1775</v>
      </c>
      <c r="C2234" s="605">
        <f>16*3</f>
        <v>48</v>
      </c>
      <c r="D2234" s="606" t="s">
        <v>461</v>
      </c>
      <c r="E2234" s="617">
        <v>100000</v>
      </c>
      <c r="F2234" s="617">
        <f>E2234*C2234</f>
        <v>4800000</v>
      </c>
      <c r="G2234" s="618"/>
    </row>
    <row r="2235" spans="1:7" ht="45" x14ac:dyDescent="0.25">
      <c r="A2235" s="620"/>
      <c r="B2235" s="621" t="s">
        <v>1776</v>
      </c>
      <c r="C2235" s="605">
        <f>16*17</f>
        <v>272</v>
      </c>
      <c r="D2235" s="606" t="s">
        <v>461</v>
      </c>
      <c r="E2235" s="617">
        <v>100000</v>
      </c>
      <c r="F2235" s="617">
        <f>E2235*C2235</f>
        <v>27200000</v>
      </c>
      <c r="G2235" s="618"/>
    </row>
    <row r="2236" spans="1:7" x14ac:dyDescent="0.25">
      <c r="A2236" s="620"/>
      <c r="B2236" s="621"/>
      <c r="C2236" s="605"/>
      <c r="D2236" s="606"/>
      <c r="E2236" s="617"/>
      <c r="F2236" s="617"/>
      <c r="G2236" s="618"/>
    </row>
    <row r="2237" spans="1:7" x14ac:dyDescent="0.25">
      <c r="A2237" s="609" t="s">
        <v>1003</v>
      </c>
      <c r="B2237" s="621" t="s">
        <v>243</v>
      </c>
      <c r="C2237" s="605"/>
      <c r="D2237" s="606"/>
      <c r="E2237" s="617"/>
      <c r="F2237" s="617"/>
      <c r="G2237" s="618"/>
    </row>
    <row r="2238" spans="1:7" ht="30" x14ac:dyDescent="0.25">
      <c r="A2238" s="609" t="s">
        <v>1002</v>
      </c>
      <c r="B2238" s="621" t="s">
        <v>1069</v>
      </c>
      <c r="C2238" s="605"/>
      <c r="D2238" s="606"/>
      <c r="E2238" s="617"/>
      <c r="F2238" s="617"/>
      <c r="G2238" s="618"/>
    </row>
    <row r="2239" spans="1:7" ht="30" x14ac:dyDescent="0.25">
      <c r="A2239" s="620"/>
      <c r="B2239" s="653" t="s">
        <v>1068</v>
      </c>
      <c r="C2239" s="605">
        <v>16</v>
      </c>
      <c r="D2239" s="606" t="s">
        <v>1067</v>
      </c>
      <c r="E2239" s="617">
        <v>30000</v>
      </c>
      <c r="F2239" s="617">
        <f>C2239*E2239</f>
        <v>480000</v>
      </c>
      <c r="G2239" s="618"/>
    </row>
    <row r="2240" spans="1:7" ht="30" x14ac:dyDescent="0.25">
      <c r="A2240" s="620"/>
      <c r="B2240" s="653" t="s">
        <v>1066</v>
      </c>
      <c r="C2240" s="605">
        <v>1</v>
      </c>
      <c r="D2240" s="606" t="s">
        <v>221</v>
      </c>
      <c r="E2240" s="617">
        <v>3400000</v>
      </c>
      <c r="F2240" s="617">
        <f>C2240*E2240</f>
        <v>3400000</v>
      </c>
      <c r="G2240" s="618"/>
    </row>
    <row r="2241" spans="1:12" ht="30" x14ac:dyDescent="0.25">
      <c r="A2241" s="620"/>
      <c r="B2241" s="653" t="s">
        <v>1065</v>
      </c>
      <c r="C2241" s="605">
        <v>2</v>
      </c>
      <c r="D2241" s="606" t="s">
        <v>129</v>
      </c>
      <c r="E2241" s="617">
        <v>1000000</v>
      </c>
      <c r="F2241" s="617">
        <f>C2241*E2241</f>
        <v>2000000</v>
      </c>
      <c r="G2241" s="618"/>
    </row>
    <row r="2242" spans="1:12" x14ac:dyDescent="0.25">
      <c r="A2242" s="620"/>
      <c r="B2242" s="615"/>
      <c r="C2242" s="656"/>
      <c r="D2242" s="656"/>
      <c r="E2242" s="657"/>
      <c r="F2242" s="642"/>
      <c r="G2242" s="618"/>
    </row>
    <row r="2243" spans="1:12" x14ac:dyDescent="0.25">
      <c r="A2243" s="604"/>
      <c r="B2243" s="1962" t="s">
        <v>27</v>
      </c>
      <c r="C2243" s="1963"/>
      <c r="D2243" s="1963"/>
      <c r="E2243" s="1964"/>
      <c r="F2243" s="642">
        <f>SUM(F2214:F2241)</f>
        <v>110956000</v>
      </c>
      <c r="G2243" s="618" t="s">
        <v>2620</v>
      </c>
      <c r="L2243" s="1190">
        <f>F2243</f>
        <v>110956000</v>
      </c>
    </row>
    <row r="2244" spans="1:12" x14ac:dyDescent="0.25">
      <c r="A2244" s="1807" t="s">
        <v>614</v>
      </c>
      <c r="B2244" s="1807"/>
      <c r="C2244" s="5" t="s">
        <v>28</v>
      </c>
      <c r="D2244" s="1808" t="s">
        <v>1698</v>
      </c>
      <c r="E2244" s="1808"/>
      <c r="F2244" s="1808"/>
      <c r="G2244" s="5"/>
    </row>
    <row r="2245" spans="1:12" x14ac:dyDescent="0.25">
      <c r="A2245" s="1807" t="s">
        <v>29</v>
      </c>
      <c r="B2245" s="1807"/>
      <c r="C2245" s="5"/>
      <c r="D2245" s="1809" t="s">
        <v>2990</v>
      </c>
      <c r="E2245" s="1809"/>
      <c r="F2245" s="1809"/>
      <c r="G2245" s="5"/>
    </row>
    <row r="2246" spans="1:12" x14ac:dyDescent="0.25">
      <c r="A2246" s="1"/>
      <c r="B2246" s="3"/>
      <c r="C2246" s="5"/>
      <c r="D2246" s="7"/>
      <c r="E2246" s="17"/>
      <c r="F2246" s="17"/>
      <c r="G2246" s="5"/>
    </row>
    <row r="2247" spans="1:12" x14ac:dyDescent="0.25">
      <c r="A2247" s="1"/>
      <c r="B2247" s="3"/>
      <c r="C2247" s="5"/>
      <c r="D2247" s="7"/>
      <c r="E2247" s="17"/>
      <c r="F2247" s="17"/>
      <c r="G2247" s="5"/>
    </row>
    <row r="2248" spans="1:12" x14ac:dyDescent="0.25">
      <c r="A2248" s="1807"/>
      <c r="B2248" s="1807"/>
      <c r="C2248" s="5"/>
      <c r="D2248" s="7"/>
      <c r="E2248" s="1807"/>
      <c r="F2248" s="1807"/>
      <c r="G2248" s="5"/>
    </row>
    <row r="2249" spans="1:12" x14ac:dyDescent="0.25">
      <c r="A2249" s="1807" t="s">
        <v>30</v>
      </c>
      <c r="B2249" s="1807"/>
      <c r="C2249" s="5"/>
      <c r="D2249" s="1807" t="s">
        <v>2991</v>
      </c>
      <c r="E2249" s="1807"/>
      <c r="F2249" s="1807"/>
      <c r="G2249" s="5"/>
    </row>
    <row r="2250" spans="1:12" x14ac:dyDescent="0.25">
      <c r="A2250" s="1911" t="s">
        <v>1247</v>
      </c>
      <c r="B2250" s="1911"/>
      <c r="C2250" s="1911"/>
      <c r="D2250" s="1911"/>
      <c r="E2250" s="1911"/>
      <c r="F2250" s="1911"/>
      <c r="G2250" s="1911"/>
    </row>
    <row r="2251" spans="1:12" x14ac:dyDescent="0.25">
      <c r="A2251" s="1911" t="s">
        <v>1</v>
      </c>
      <c r="B2251" s="1911"/>
      <c r="C2251" s="1911"/>
      <c r="D2251" s="1911"/>
      <c r="E2251" s="1911"/>
      <c r="F2251" s="1911"/>
      <c r="G2251" s="1911"/>
    </row>
    <row r="2252" spans="1:12" x14ac:dyDescent="0.25">
      <c r="A2252" s="1911" t="s">
        <v>1697</v>
      </c>
      <c r="B2252" s="1911"/>
      <c r="C2252" s="1911"/>
      <c r="D2252" s="1911"/>
      <c r="E2252" s="1911"/>
      <c r="F2252" s="1911"/>
      <c r="G2252" s="1911"/>
    </row>
    <row r="2253" spans="1:12" x14ac:dyDescent="0.25">
      <c r="A2253" s="1441"/>
      <c r="B2253" s="1442"/>
      <c r="C2253" s="1443"/>
      <c r="D2253" s="1443"/>
      <c r="E2253" s="1444"/>
      <c r="F2253" s="1444"/>
      <c r="G2253" s="1444"/>
    </row>
    <row r="2254" spans="1:12" x14ac:dyDescent="0.25">
      <c r="A2254" s="1444" t="s">
        <v>1913</v>
      </c>
      <c r="B2254" s="1445"/>
      <c r="C2254" s="1446"/>
      <c r="D2254" s="1446"/>
      <c r="E2254" s="1447"/>
      <c r="F2254" s="1447"/>
      <c r="G2254" s="1444"/>
    </row>
    <row r="2255" spans="1:12" ht="24.75" x14ac:dyDescent="0.25">
      <c r="A2255" s="1511" t="s">
        <v>814</v>
      </c>
      <c r="B2255" s="1512" t="s">
        <v>1959</v>
      </c>
      <c r="C2255" s="1446"/>
      <c r="D2255" s="1446"/>
      <c r="E2255" s="1447" t="s">
        <v>1915</v>
      </c>
      <c r="F2255" s="1447"/>
      <c r="G2255" s="1444"/>
    </row>
    <row r="2256" spans="1:12" x14ac:dyDescent="0.25">
      <c r="A2256" s="1513" t="s">
        <v>858</v>
      </c>
      <c r="B2256" s="1514" t="s">
        <v>2307</v>
      </c>
      <c r="C2256" s="1446"/>
      <c r="D2256" s="1446"/>
      <c r="E2256" s="1447" t="s">
        <v>1917</v>
      </c>
      <c r="F2256" s="1447"/>
      <c r="G2256" s="1511"/>
    </row>
    <row r="2257" spans="1:7" ht="75" x14ac:dyDescent="0.25">
      <c r="A2257" s="1513" t="s">
        <v>1918</v>
      </c>
      <c r="B2257" s="1514" t="s">
        <v>2890</v>
      </c>
      <c r="C2257" s="1446"/>
      <c r="D2257" s="1446"/>
      <c r="E2257" s="1447"/>
      <c r="F2257" s="1447"/>
      <c r="G2257" s="1511"/>
    </row>
    <row r="2258" spans="1:7" x14ac:dyDescent="0.25">
      <c r="A2258" s="1444" t="s">
        <v>1920</v>
      </c>
      <c r="B2258" s="1445" t="s">
        <v>63</v>
      </c>
      <c r="C2258" s="1446"/>
      <c r="D2258" s="1446"/>
      <c r="E2258" s="1444"/>
      <c r="F2258" s="1444"/>
      <c r="G2258" s="1444"/>
    </row>
    <row r="2259" spans="1:7" x14ac:dyDescent="0.25">
      <c r="A2259" s="1511" t="s">
        <v>64</v>
      </c>
      <c r="B2259" s="1512" t="s">
        <v>65</v>
      </c>
      <c r="C2259" s="1446"/>
      <c r="D2259" s="1446"/>
      <c r="E2259" s="1511"/>
      <c r="F2259" s="1511"/>
      <c r="G2259" s="1511"/>
    </row>
    <row r="2260" spans="1:7" x14ac:dyDescent="0.25">
      <c r="A2260" s="536"/>
      <c r="B2260" s="538"/>
      <c r="C2260" s="1515"/>
      <c r="D2260" s="1515"/>
      <c r="E2260" s="536"/>
      <c r="F2260" s="536"/>
      <c r="G2260" s="536"/>
    </row>
    <row r="2261" spans="1:7" ht="24" x14ac:dyDescent="0.25">
      <c r="A2261" s="802" t="s">
        <v>31</v>
      </c>
      <c r="B2261" s="802" t="s">
        <v>12</v>
      </c>
      <c r="C2261" s="1960" t="s">
        <v>13</v>
      </c>
      <c r="D2261" s="1961"/>
      <c r="E2261" s="1516" t="s">
        <v>14</v>
      </c>
      <c r="F2261" s="786" t="s">
        <v>15</v>
      </c>
      <c r="G2261" s="1517" t="s">
        <v>301</v>
      </c>
    </row>
    <row r="2262" spans="1:7" x14ac:dyDescent="0.25">
      <c r="A2262" s="446">
        <v>1</v>
      </c>
      <c r="B2262" s="443">
        <v>2</v>
      </c>
      <c r="C2262" s="1838">
        <v>3</v>
      </c>
      <c r="D2262" s="1839"/>
      <c r="E2262" s="710">
        <v>4</v>
      </c>
      <c r="F2262" s="392">
        <v>5</v>
      </c>
      <c r="G2262" s="447">
        <v>7</v>
      </c>
    </row>
    <row r="2263" spans="1:7" x14ac:dyDescent="0.25">
      <c r="A2263" s="541" t="s">
        <v>2308</v>
      </c>
      <c r="B2263" s="1518" t="s">
        <v>1962</v>
      </c>
      <c r="C2263" s="1519"/>
      <c r="D2263" s="1520"/>
      <c r="E2263" s="1521"/>
      <c r="F2263" s="1522"/>
      <c r="G2263" s="447"/>
    </row>
    <row r="2264" spans="1:7" ht="24" x14ac:dyDescent="0.25">
      <c r="A2264" s="541" t="s">
        <v>2309</v>
      </c>
      <c r="B2264" s="1518" t="s">
        <v>2310</v>
      </c>
      <c r="C2264" s="1519"/>
      <c r="D2264" s="1520"/>
      <c r="E2264" s="1521"/>
      <c r="F2264" s="1522"/>
      <c r="G2264" s="447"/>
    </row>
    <row r="2265" spans="1:7" ht="24" x14ac:dyDescent="0.25">
      <c r="A2265" s="541" t="s">
        <v>2311</v>
      </c>
      <c r="B2265" s="1518" t="s">
        <v>1952</v>
      </c>
      <c r="C2265" s="559"/>
      <c r="D2265" s="1520"/>
      <c r="E2265" s="1521"/>
      <c r="F2265" s="1522"/>
      <c r="G2265" s="447"/>
    </row>
    <row r="2266" spans="1:7" ht="15.75" thickBot="1" x14ac:dyDescent="0.3">
      <c r="A2266" s="544"/>
      <c r="B2266" s="1523" t="s">
        <v>2947</v>
      </c>
      <c r="C2266" s="559">
        <v>1</v>
      </c>
      <c r="D2266" s="1520" t="s">
        <v>520</v>
      </c>
      <c r="E2266" s="1521">
        <v>855000</v>
      </c>
      <c r="F2266" s="1522">
        <f>E2266*C2266</f>
        <v>855000</v>
      </c>
      <c r="G2266" s="447"/>
    </row>
    <row r="2267" spans="1:7" ht="15.75" thickBot="1" x14ac:dyDescent="0.3">
      <c r="A2267" s="576"/>
      <c r="B2267" s="1912" t="s">
        <v>613</v>
      </c>
      <c r="C2267" s="1913"/>
      <c r="D2267" s="1913"/>
      <c r="E2267" s="1914"/>
      <c r="F2267" s="1525">
        <f>SUM(F2266:F2266)</f>
        <v>855000</v>
      </c>
      <c r="G2267" s="447"/>
    </row>
    <row r="2268" spans="1:7" x14ac:dyDescent="0.25">
      <c r="A2268" s="541" t="s">
        <v>2312</v>
      </c>
      <c r="B2268" s="1527" t="s">
        <v>1927</v>
      </c>
      <c r="C2268" s="1524"/>
      <c r="D2268" s="1528"/>
      <c r="E2268" s="576"/>
      <c r="F2268" s="1529"/>
      <c r="G2268" s="447"/>
    </row>
    <row r="2269" spans="1:7" ht="15.75" thickBot="1" x14ac:dyDescent="0.3">
      <c r="A2269" s="541"/>
      <c r="B2269" s="1530" t="s">
        <v>1929</v>
      </c>
      <c r="C2269" s="1531">
        <v>5</v>
      </c>
      <c r="D2269" s="1064" t="s">
        <v>461</v>
      </c>
      <c r="E2269" s="1542">
        <v>130000</v>
      </c>
      <c r="F2269" s="1533">
        <f>E2269*C2269</f>
        <v>650000</v>
      </c>
      <c r="G2269" s="447"/>
    </row>
    <row r="2270" spans="1:7" ht="15.75" thickBot="1" x14ac:dyDescent="0.3">
      <c r="A2270" s="1534"/>
      <c r="B2270" s="1915" t="s">
        <v>613</v>
      </c>
      <c r="C2270" s="1916"/>
      <c r="D2270" s="1916"/>
      <c r="E2270" s="1917"/>
      <c r="F2270" s="1525">
        <f>SUM(F2269:F2269)</f>
        <v>650000</v>
      </c>
      <c r="G2270" s="1526"/>
    </row>
    <row r="2271" spans="1:7" x14ac:dyDescent="0.25">
      <c r="A2271" s="541" t="s">
        <v>2313</v>
      </c>
      <c r="B2271" s="1535" t="s">
        <v>1930</v>
      </c>
      <c r="C2271" s="1524"/>
      <c r="D2271" s="1528"/>
      <c r="E2271" s="576"/>
      <c r="F2271" s="1529"/>
      <c r="G2271" s="447"/>
    </row>
    <row r="2272" spans="1:7" x14ac:dyDescent="0.25">
      <c r="A2272" s="720"/>
      <c r="B2272" s="1579" t="s">
        <v>2888</v>
      </c>
      <c r="C2272" s="1524">
        <v>8.4</v>
      </c>
      <c r="D2272" s="1528" t="s">
        <v>1940</v>
      </c>
      <c r="E2272" s="1580">
        <v>600000</v>
      </c>
      <c r="F2272" s="1529">
        <f t="shared" ref="F2272:F2278" si="50">E2272*C2272</f>
        <v>5040000</v>
      </c>
      <c r="G2272" s="447"/>
    </row>
    <row r="2273" spans="1:20" x14ac:dyDescent="0.25">
      <c r="A2273" s="720"/>
      <c r="B2273" s="1579" t="s">
        <v>2277</v>
      </c>
      <c r="C2273" s="1524">
        <v>25</v>
      </c>
      <c r="D2273" s="1528" t="s">
        <v>123</v>
      </c>
      <c r="E2273" s="1580">
        <v>100000</v>
      </c>
      <c r="F2273" s="1529">
        <f t="shared" si="50"/>
        <v>2500000</v>
      </c>
      <c r="G2273" s="447"/>
    </row>
    <row r="2274" spans="1:20" x14ac:dyDescent="0.25">
      <c r="A2274" s="720"/>
      <c r="B2274" s="1579" t="s">
        <v>2889</v>
      </c>
      <c r="C2274" s="1524">
        <v>2</v>
      </c>
      <c r="D2274" s="1528" t="s">
        <v>1940</v>
      </c>
      <c r="E2274" s="1580">
        <v>50000</v>
      </c>
      <c r="F2274" s="1529">
        <f t="shared" si="50"/>
        <v>100000</v>
      </c>
      <c r="G2274" s="447"/>
    </row>
    <row r="2275" spans="1:20" x14ac:dyDescent="0.25">
      <c r="A2275" s="720"/>
      <c r="B2275" s="1579" t="s">
        <v>2277</v>
      </c>
      <c r="C2275" s="1524">
        <v>1</v>
      </c>
      <c r="D2275" s="1528" t="s">
        <v>159</v>
      </c>
      <c r="E2275" s="1580">
        <v>5000000</v>
      </c>
      <c r="F2275" s="1529">
        <f t="shared" si="50"/>
        <v>5000000</v>
      </c>
      <c r="G2275" s="447"/>
    </row>
    <row r="2276" spans="1:20" x14ac:dyDescent="0.25">
      <c r="A2276" s="720"/>
      <c r="B2276" s="1579" t="s">
        <v>2314</v>
      </c>
      <c r="C2276" s="1524">
        <v>1</v>
      </c>
      <c r="D2276" s="1528" t="s">
        <v>159</v>
      </c>
      <c r="E2276" s="1580">
        <v>20000000</v>
      </c>
      <c r="F2276" s="1529">
        <f t="shared" si="50"/>
        <v>20000000</v>
      </c>
      <c r="G2276" s="447"/>
    </row>
    <row r="2277" spans="1:20" ht="24" x14ac:dyDescent="0.25">
      <c r="A2277" s="720"/>
      <c r="B2277" s="391" t="s">
        <v>2315</v>
      </c>
      <c r="C2277" s="1524">
        <v>8</v>
      </c>
      <c r="D2277" s="1528" t="s">
        <v>123</v>
      </c>
      <c r="E2277" s="1580">
        <v>250000</v>
      </c>
      <c r="F2277" s="1529">
        <f t="shared" si="50"/>
        <v>2000000</v>
      </c>
      <c r="G2277" s="447"/>
    </row>
    <row r="2278" spans="1:20" ht="15.75" thickBot="1" x14ac:dyDescent="0.3">
      <c r="A2278" s="720"/>
      <c r="B2278" s="391" t="s">
        <v>2316</v>
      </c>
      <c r="C2278" s="1524">
        <v>100</v>
      </c>
      <c r="D2278" s="1528" t="s">
        <v>123</v>
      </c>
      <c r="E2278" s="1580">
        <v>75000</v>
      </c>
      <c r="F2278" s="1529">
        <f t="shared" si="50"/>
        <v>7500000</v>
      </c>
      <c r="G2278" s="447"/>
    </row>
    <row r="2279" spans="1:20" ht="15.75" thickBot="1" x14ac:dyDescent="0.3">
      <c r="A2279" s="1524"/>
      <c r="B2279" s="1912" t="s">
        <v>613</v>
      </c>
      <c r="C2279" s="1913"/>
      <c r="D2279" s="1913"/>
      <c r="E2279" s="1914"/>
      <c r="F2279" s="1525">
        <f>SUM(F2272:F2278)</f>
        <v>42140000</v>
      </c>
      <c r="G2279" s="1526"/>
    </row>
    <row r="2280" spans="1:20" ht="15.75" thickBot="1" x14ac:dyDescent="0.3">
      <c r="A2280" s="1524"/>
      <c r="B2280" s="1912" t="s">
        <v>27</v>
      </c>
      <c r="C2280" s="1913"/>
      <c r="D2280" s="1913"/>
      <c r="E2280" s="1914"/>
      <c r="F2280" s="1525">
        <f>F2279+F2270+F2267</f>
        <v>43645000</v>
      </c>
      <c r="G2280" s="1526" t="s">
        <v>2626</v>
      </c>
      <c r="K2280" s="1190"/>
      <c r="T2280" s="1190">
        <f>F2280</f>
        <v>43645000</v>
      </c>
    </row>
    <row r="2281" spans="1:20" x14ac:dyDescent="0.25">
      <c r="A2281" s="1807" t="s">
        <v>614</v>
      </c>
      <c r="B2281" s="1807"/>
      <c r="C2281" s="5" t="s">
        <v>28</v>
      </c>
      <c r="D2281" s="1808" t="s">
        <v>1698</v>
      </c>
      <c r="E2281" s="1808"/>
      <c r="F2281" s="1808"/>
      <c r="G2281" s="441"/>
    </row>
    <row r="2282" spans="1:20" x14ac:dyDescent="0.25">
      <c r="A2282" s="1807" t="s">
        <v>29</v>
      </c>
      <c r="B2282" s="1807"/>
      <c r="C2282" s="5"/>
      <c r="D2282" s="1809" t="s">
        <v>2990</v>
      </c>
      <c r="E2282" s="1809"/>
      <c r="F2282" s="1809"/>
      <c r="G2282" s="441"/>
    </row>
    <row r="2283" spans="1:20" x14ac:dyDescent="0.25">
      <c r="A2283" s="1"/>
      <c r="B2283" s="3"/>
      <c r="C2283" s="5"/>
      <c r="D2283" s="7"/>
      <c r="E2283" s="17"/>
      <c r="F2283" s="17"/>
      <c r="G2283" s="441"/>
    </row>
    <row r="2284" spans="1:20" x14ac:dyDescent="0.25">
      <c r="A2284" s="1"/>
      <c r="B2284" s="3"/>
      <c r="C2284" s="5"/>
      <c r="D2284" s="7"/>
      <c r="E2284" s="17"/>
      <c r="F2284" s="17"/>
      <c r="G2284" s="441"/>
    </row>
    <row r="2285" spans="1:20" x14ac:dyDescent="0.25">
      <c r="A2285" s="1807"/>
      <c r="B2285" s="1807"/>
      <c r="C2285" s="5"/>
      <c r="D2285" s="7"/>
      <c r="E2285" s="1807"/>
      <c r="F2285" s="1807"/>
      <c r="G2285" s="441"/>
    </row>
    <row r="2286" spans="1:20" x14ac:dyDescent="0.25">
      <c r="A2286" s="1807" t="s">
        <v>30</v>
      </c>
      <c r="B2286" s="1807"/>
      <c r="C2286" s="5"/>
      <c r="D2286" s="1807" t="s">
        <v>2991</v>
      </c>
      <c r="E2286" s="1807"/>
      <c r="F2286" s="1807"/>
      <c r="G2286" s="441"/>
    </row>
    <row r="2288" spans="1:20" x14ac:dyDescent="0.25">
      <c r="A2288" s="136"/>
      <c r="B2288" s="136"/>
      <c r="C2288" s="5"/>
      <c r="D2288" s="136"/>
      <c r="E2288" s="136"/>
      <c r="F2288" s="136"/>
      <c r="G2288" s="5"/>
    </row>
    <row r="2289" spans="1:7" x14ac:dyDescent="0.25">
      <c r="A2289" s="136"/>
      <c r="B2289" s="136"/>
      <c r="C2289" s="5"/>
      <c r="D2289" s="136"/>
      <c r="E2289" s="136"/>
      <c r="F2289" s="136"/>
      <c r="G2289" s="5"/>
    </row>
    <row r="2290" spans="1:7" x14ac:dyDescent="0.25">
      <c r="A2290" s="1807" t="s">
        <v>0</v>
      </c>
      <c r="B2290" s="1807"/>
      <c r="C2290" s="1807"/>
      <c r="D2290" s="1807"/>
      <c r="E2290" s="1807"/>
      <c r="F2290" s="1807"/>
      <c r="G2290" s="1807"/>
    </row>
    <row r="2291" spans="1:7" x14ac:dyDescent="0.25">
      <c r="A2291" s="1807" t="s">
        <v>1</v>
      </c>
      <c r="B2291" s="1807"/>
      <c r="C2291" s="1807"/>
      <c r="D2291" s="1807"/>
      <c r="E2291" s="1807"/>
      <c r="F2291" s="1807"/>
      <c r="G2291" s="1807"/>
    </row>
    <row r="2292" spans="1:7" x14ac:dyDescent="0.25">
      <c r="A2292" s="1807" t="s">
        <v>1697</v>
      </c>
      <c r="B2292" s="1807"/>
      <c r="C2292" s="1807"/>
      <c r="D2292" s="1807"/>
      <c r="E2292" s="1807"/>
      <c r="F2292" s="1807"/>
      <c r="G2292" s="1807"/>
    </row>
    <row r="2293" spans="1:7" x14ac:dyDescent="0.25">
      <c r="G2293" s="86"/>
    </row>
    <row r="2294" spans="1:7" x14ac:dyDescent="0.25">
      <c r="A2294" s="17" t="s">
        <v>1079</v>
      </c>
      <c r="B2294" s="17" t="s">
        <v>813</v>
      </c>
      <c r="C2294" s="17"/>
      <c r="D2294" s="17"/>
      <c r="E2294" s="8" t="s">
        <v>6</v>
      </c>
      <c r="F2294" s="8"/>
      <c r="G2294" s="139"/>
    </row>
    <row r="2295" spans="1:7" x14ac:dyDescent="0.25">
      <c r="A2295" s="17" t="s">
        <v>297</v>
      </c>
      <c r="B2295" s="17" t="s">
        <v>1080</v>
      </c>
      <c r="C2295" s="17"/>
      <c r="D2295" s="17"/>
      <c r="E2295" s="67" t="s">
        <v>9</v>
      </c>
      <c r="F2295" s="162"/>
      <c r="G2295" s="139"/>
    </row>
    <row r="2296" spans="1:7" ht="60.75" x14ac:dyDescent="0.25">
      <c r="A2296" s="163" t="s">
        <v>1081</v>
      </c>
      <c r="B2296" s="287" t="s">
        <v>1082</v>
      </c>
      <c r="C2296" s="17"/>
      <c r="D2296" s="17"/>
      <c r="E2296" s="288"/>
      <c r="F2296" s="17"/>
      <c r="G2296" s="139"/>
    </row>
    <row r="2297" spans="1:7" x14ac:dyDescent="0.25">
      <c r="A2297" s="5" t="s">
        <v>579</v>
      </c>
      <c r="B2297" s="5" t="s">
        <v>1083</v>
      </c>
      <c r="C2297" s="5"/>
      <c r="D2297" s="5"/>
      <c r="E2297" s="5"/>
      <c r="F2297" s="5"/>
      <c r="G2297" s="139"/>
    </row>
    <row r="2298" spans="1:7" x14ac:dyDescent="0.25">
      <c r="A2298" s="1808" t="s">
        <v>561</v>
      </c>
      <c r="B2298" s="1808"/>
      <c r="C2298" s="5"/>
      <c r="D2298" s="17"/>
      <c r="E2298" s="8"/>
      <c r="F2298" s="5"/>
      <c r="G2298" s="139"/>
    </row>
    <row r="2299" spans="1:7" x14ac:dyDescent="0.25">
      <c r="A2299" s="162"/>
      <c r="B2299" s="162"/>
      <c r="C2299" s="5"/>
      <c r="D2299" s="17"/>
      <c r="E2299" s="8"/>
      <c r="F2299" s="5"/>
      <c r="G2299" s="139"/>
    </row>
    <row r="2300" spans="1:7" ht="24" x14ac:dyDescent="0.25">
      <c r="A2300" s="144" t="s">
        <v>612</v>
      </c>
      <c r="B2300" s="144" t="s">
        <v>12</v>
      </c>
      <c r="C2300" s="1811" t="s">
        <v>13</v>
      </c>
      <c r="D2300" s="1812"/>
      <c r="E2300" s="11" t="s">
        <v>14</v>
      </c>
      <c r="F2300" s="165" t="s">
        <v>15</v>
      </c>
      <c r="G2300" s="176" t="s">
        <v>35</v>
      </c>
    </row>
    <row r="2301" spans="1:7" x14ac:dyDescent="0.25">
      <c r="A2301" s="146">
        <v>1</v>
      </c>
      <c r="B2301" s="146">
        <v>2</v>
      </c>
      <c r="C2301" s="1801">
        <v>3</v>
      </c>
      <c r="D2301" s="1802"/>
      <c r="E2301" s="54">
        <v>4</v>
      </c>
      <c r="F2301" s="167">
        <v>5</v>
      </c>
      <c r="G2301" s="191">
        <v>6</v>
      </c>
    </row>
    <row r="2302" spans="1:7" x14ac:dyDescent="0.25">
      <c r="A2302" s="186" t="s">
        <v>1084</v>
      </c>
      <c r="B2302" s="4" t="s">
        <v>323</v>
      </c>
      <c r="C2302" s="236"/>
      <c r="D2302" s="183"/>
      <c r="E2302" s="22"/>
      <c r="F2302" s="258"/>
      <c r="G2302" s="179"/>
    </row>
    <row r="2303" spans="1:7" ht="24.75" x14ac:dyDescent="0.25">
      <c r="A2303" s="186" t="s">
        <v>1085</v>
      </c>
      <c r="B2303" s="4" t="s">
        <v>1086</v>
      </c>
      <c r="C2303" s="236"/>
      <c r="D2303" s="183"/>
      <c r="E2303" s="22"/>
      <c r="F2303" s="258"/>
      <c r="G2303" s="179"/>
    </row>
    <row r="2304" spans="1:7" ht="36.75" x14ac:dyDescent="0.25">
      <c r="A2304" s="186" t="s">
        <v>1087</v>
      </c>
      <c r="B2304" s="4" t="s">
        <v>1088</v>
      </c>
      <c r="C2304" s="6">
        <v>6</v>
      </c>
      <c r="D2304" s="168" t="s">
        <v>95</v>
      </c>
      <c r="E2304" s="22">
        <v>500000</v>
      </c>
      <c r="F2304" s="289">
        <f>E2304*C2304</f>
        <v>3000000</v>
      </c>
      <c r="G2304" s="179"/>
    </row>
    <row r="2305" spans="1:20" x14ac:dyDescent="0.25">
      <c r="A2305" s="16"/>
      <c r="B2305" s="242"/>
      <c r="C2305" s="243"/>
      <c r="D2305" s="221"/>
      <c r="E2305" s="81"/>
      <c r="F2305" s="290"/>
      <c r="G2305" s="179"/>
    </row>
    <row r="2306" spans="1:20" ht="24.75" x14ac:dyDescent="0.25">
      <c r="A2306" s="236"/>
      <c r="B2306" s="1861" t="s">
        <v>27</v>
      </c>
      <c r="C2306" s="1805"/>
      <c r="D2306" s="1805"/>
      <c r="E2306" s="1806"/>
      <c r="F2306" s="189">
        <f>SUM(F2304:F2305)</f>
        <v>3000000</v>
      </c>
      <c r="G2306" s="179" t="s">
        <v>2626</v>
      </c>
      <c r="T2306" s="175">
        <f>F2306</f>
        <v>3000000</v>
      </c>
    </row>
    <row r="2307" spans="1:20" x14ac:dyDescent="0.25">
      <c r="G2307" s="86"/>
    </row>
    <row r="2308" spans="1:20" x14ac:dyDescent="0.25">
      <c r="A2308" s="1807" t="s">
        <v>614</v>
      </c>
      <c r="B2308" s="1807"/>
      <c r="C2308" s="5" t="s">
        <v>28</v>
      </c>
      <c r="D2308" s="1808" t="s">
        <v>1698</v>
      </c>
      <c r="E2308" s="1808"/>
      <c r="F2308" s="1808"/>
      <c r="G2308" s="5"/>
    </row>
    <row r="2309" spans="1:20" x14ac:dyDescent="0.25">
      <c r="A2309" s="1807" t="s">
        <v>2999</v>
      </c>
      <c r="B2309" s="1807"/>
      <c r="C2309" s="5"/>
      <c r="D2309" s="1809" t="s">
        <v>2994</v>
      </c>
      <c r="E2309" s="1809"/>
      <c r="F2309" s="1809"/>
      <c r="G2309" s="5"/>
    </row>
    <row r="2310" spans="1:20" x14ac:dyDescent="0.25">
      <c r="A2310" s="1"/>
      <c r="B2310" s="3"/>
      <c r="C2310" s="5"/>
      <c r="D2310" s="7"/>
      <c r="E2310" s="17"/>
      <c r="F2310" s="17"/>
      <c r="G2310" s="5"/>
    </row>
    <row r="2311" spans="1:20" x14ac:dyDescent="0.25">
      <c r="A2311" s="1"/>
      <c r="B2311" s="3"/>
      <c r="C2311" s="5"/>
      <c r="D2311" s="7"/>
      <c r="E2311" s="17"/>
      <c r="F2311" s="17"/>
      <c r="G2311" s="5"/>
    </row>
    <row r="2312" spans="1:20" x14ac:dyDescent="0.25">
      <c r="A2312" s="1807"/>
      <c r="B2312" s="1807"/>
      <c r="C2312" s="5"/>
      <c r="D2312" s="7"/>
      <c r="E2312" s="1807"/>
      <c r="F2312" s="1807"/>
      <c r="G2312" s="5"/>
    </row>
    <row r="2313" spans="1:20" x14ac:dyDescent="0.25">
      <c r="A2313" s="1807" t="s">
        <v>30</v>
      </c>
      <c r="B2313" s="1807"/>
      <c r="C2313" s="5"/>
      <c r="D2313" s="1807" t="s">
        <v>2995</v>
      </c>
      <c r="E2313" s="1807"/>
      <c r="F2313" s="1807"/>
      <c r="G2313" s="5"/>
    </row>
    <row r="2316" spans="1:20" x14ac:dyDescent="0.25">
      <c r="F2316" s="1333">
        <f>F2306+F2280+F2243+F2195+F2147+F2006+F1969+F1930+F1893+F1856+F1569+F1531+F1493+F1453+F1413+F1371+F1303+F1193+F1161+F1114+F1063+F1009+F969+F914+F869+F838+F784+F731+F685+F596+F553+F518+F483+F431+F387+F356+F318+F282+F244+F213+F176+F144+F1604+F1643+F1680+F1715+F1751+F1789+F1828</f>
        <v>3355644206.27</v>
      </c>
    </row>
  </sheetData>
  <mergeCells count="790">
    <mergeCell ref="C932:D932"/>
    <mergeCell ref="A971:B971"/>
    <mergeCell ref="D971:F971"/>
    <mergeCell ref="A972:B972"/>
    <mergeCell ref="D972:F972"/>
    <mergeCell ref="A1866:G1866"/>
    <mergeCell ref="A1867:G1867"/>
    <mergeCell ref="C1876:D1876"/>
    <mergeCell ref="C1877:D1877"/>
    <mergeCell ref="A1414:B1414"/>
    <mergeCell ref="D1414:F1414"/>
    <mergeCell ref="A1415:B1415"/>
    <mergeCell ref="D1415:F1415"/>
    <mergeCell ref="A1418:B1418"/>
    <mergeCell ref="E1418:F1418"/>
    <mergeCell ref="A1419:B1419"/>
    <mergeCell ref="D1419:F1419"/>
    <mergeCell ref="A1258:B1258"/>
    <mergeCell ref="A1310:G1310"/>
    <mergeCell ref="A1311:G1311"/>
    <mergeCell ref="A1305:B1305"/>
    <mergeCell ref="D1305:F1305"/>
    <mergeCell ref="A1308:B1308"/>
    <mergeCell ref="E1308:F1308"/>
    <mergeCell ref="A2286:B2286"/>
    <mergeCell ref="D2286:F2286"/>
    <mergeCell ref="A2282:B2282"/>
    <mergeCell ref="D2282:F2282"/>
    <mergeCell ref="A2285:B2285"/>
    <mergeCell ref="E2285:F2285"/>
    <mergeCell ref="A975:B975"/>
    <mergeCell ref="E975:F975"/>
    <mergeCell ref="A976:B976"/>
    <mergeCell ref="D976:F976"/>
    <mergeCell ref="B1882:E1882"/>
    <mergeCell ref="B1886:E1886"/>
    <mergeCell ref="B1892:E1892"/>
    <mergeCell ref="B1893:E1893"/>
    <mergeCell ref="A1902:G1902"/>
    <mergeCell ref="A1903:G1903"/>
    <mergeCell ref="A1904:G1904"/>
    <mergeCell ref="C1913:D1913"/>
    <mergeCell ref="C1914:D1914"/>
    <mergeCell ref="B1919:E1919"/>
    <mergeCell ref="B1922:E1922"/>
    <mergeCell ref="B1926:E1926"/>
    <mergeCell ref="B1929:E1929"/>
    <mergeCell ref="B1930:E1930"/>
    <mergeCell ref="A183:F183"/>
    <mergeCell ref="A184:F184"/>
    <mergeCell ref="A185:F185"/>
    <mergeCell ref="C193:D193"/>
    <mergeCell ref="C194:D194"/>
    <mergeCell ref="B213:E213"/>
    <mergeCell ref="A214:B214"/>
    <mergeCell ref="D214:F214"/>
    <mergeCell ref="A215:B215"/>
    <mergeCell ref="D215:F215"/>
    <mergeCell ref="A218:B218"/>
    <mergeCell ref="E218:F218"/>
    <mergeCell ref="A219:B219"/>
    <mergeCell ref="D219:F219"/>
    <mergeCell ref="B2267:E2267"/>
    <mergeCell ref="B2270:E2270"/>
    <mergeCell ref="B2279:E2279"/>
    <mergeCell ref="B2280:E2280"/>
    <mergeCell ref="A2281:B2281"/>
    <mergeCell ref="D2281:F2281"/>
    <mergeCell ref="A643:B643"/>
    <mergeCell ref="E643:F643"/>
    <mergeCell ref="A644:B644"/>
    <mergeCell ref="D644:F644"/>
    <mergeCell ref="A2250:G2250"/>
    <mergeCell ref="A2251:G2251"/>
    <mergeCell ref="A2252:G2252"/>
    <mergeCell ref="C2261:D2261"/>
    <mergeCell ref="C2262:D2262"/>
    <mergeCell ref="A922:F922"/>
    <mergeCell ref="A923:F923"/>
    <mergeCell ref="A924:F924"/>
    <mergeCell ref="A930:B930"/>
    <mergeCell ref="C931:D931"/>
    <mergeCell ref="A1309:B1309"/>
    <mergeCell ref="D1309:F1309"/>
    <mergeCell ref="A1312:G1312"/>
    <mergeCell ref="C1320:D1320"/>
    <mergeCell ref="C1321:D1321"/>
    <mergeCell ref="C1370:D1370"/>
    <mergeCell ref="B1371:E1371"/>
    <mergeCell ref="A1378:F1378"/>
    <mergeCell ref="A1379:F1379"/>
    <mergeCell ref="A1462:F1462"/>
    <mergeCell ref="A1463:F1463"/>
    <mergeCell ref="A1464:F1464"/>
    <mergeCell ref="A1469:B1469"/>
    <mergeCell ref="C1471:D1471"/>
    <mergeCell ref="C1472:D1472"/>
    <mergeCell ref="B1493:E1493"/>
    <mergeCell ref="A1420:F1420"/>
    <mergeCell ref="A1421:F1421"/>
    <mergeCell ref="A1422:F1422"/>
    <mergeCell ref="C1426:D1426"/>
    <mergeCell ref="C1427:D1427"/>
    <mergeCell ref="B1453:E1453"/>
    <mergeCell ref="A1455:B1455"/>
    <mergeCell ref="D1455:F1455"/>
    <mergeCell ref="A1458:B1458"/>
    <mergeCell ref="E1458:F1458"/>
    <mergeCell ref="A1459:B1459"/>
    <mergeCell ref="D1459:F1459"/>
    <mergeCell ref="A2245:B2245"/>
    <mergeCell ref="D2245:F2245"/>
    <mergeCell ref="A2248:B2248"/>
    <mergeCell ref="E2248:F2248"/>
    <mergeCell ref="A2249:B2249"/>
    <mergeCell ref="D2249:F2249"/>
    <mergeCell ref="C2212:D2212"/>
    <mergeCell ref="C2213:D2213"/>
    <mergeCell ref="B2243:E2243"/>
    <mergeCell ref="A1574:B1574"/>
    <mergeCell ref="E1574:F1574"/>
    <mergeCell ref="A1575:B1575"/>
    <mergeCell ref="D1575:F1575"/>
    <mergeCell ref="A2148:B2148"/>
    <mergeCell ref="D2148:F2148"/>
    <mergeCell ref="A2149:B2149"/>
    <mergeCell ref="D2149:F2149"/>
    <mergeCell ref="A2152:B2152"/>
    <mergeCell ref="E2152:F2152"/>
    <mergeCell ref="A1939:G1939"/>
    <mergeCell ref="A1940:G1940"/>
    <mergeCell ref="A1941:G1941"/>
    <mergeCell ref="C1950:D1950"/>
    <mergeCell ref="C1951:D1951"/>
    <mergeCell ref="B1956:E1956"/>
    <mergeCell ref="B1960:E1960"/>
    <mergeCell ref="B1968:E1968"/>
    <mergeCell ref="B2006:E2006"/>
    <mergeCell ref="B1969:E1969"/>
    <mergeCell ref="A1978:G1978"/>
    <mergeCell ref="A1979:G1979"/>
    <mergeCell ref="A1980:G1980"/>
    <mergeCell ref="C1989:D1989"/>
    <mergeCell ref="A1533:B1533"/>
    <mergeCell ref="D1533:F1533"/>
    <mergeCell ref="A1536:B1536"/>
    <mergeCell ref="E1536:F1536"/>
    <mergeCell ref="A1537:B1537"/>
    <mergeCell ref="D1537:F1537"/>
    <mergeCell ref="A1570:B1570"/>
    <mergeCell ref="D1570:F1570"/>
    <mergeCell ref="A1571:B1571"/>
    <mergeCell ref="D1571:F1571"/>
    <mergeCell ref="B1560:E1560"/>
    <mergeCell ref="B1568:E1568"/>
    <mergeCell ref="B1569:E1569"/>
    <mergeCell ref="A1539:G1539"/>
    <mergeCell ref="A1540:G1540"/>
    <mergeCell ref="A1541:G1541"/>
    <mergeCell ref="C1550:D1550"/>
    <mergeCell ref="C1551:D1551"/>
    <mergeCell ref="B1556:E1556"/>
    <mergeCell ref="A1532:B1532"/>
    <mergeCell ref="D1532:F1532"/>
    <mergeCell ref="A1494:B1494"/>
    <mergeCell ref="D1494:F1494"/>
    <mergeCell ref="A1495:B1495"/>
    <mergeCell ref="D1495:F1495"/>
    <mergeCell ref="A1498:B1498"/>
    <mergeCell ref="E1498:F1498"/>
    <mergeCell ref="A1499:B1499"/>
    <mergeCell ref="D1499:F1499"/>
    <mergeCell ref="A1501:F1501"/>
    <mergeCell ref="A1502:F1502"/>
    <mergeCell ref="A1507:B1507"/>
    <mergeCell ref="C1508:D1508"/>
    <mergeCell ref="C1509:D1509"/>
    <mergeCell ref="A1304:B1304"/>
    <mergeCell ref="D1304:F1304"/>
    <mergeCell ref="A1264:F1264"/>
    <mergeCell ref="A1265:F1265"/>
    <mergeCell ref="A1266:F1266"/>
    <mergeCell ref="A1272:B1272"/>
    <mergeCell ref="C1274:D1274"/>
    <mergeCell ref="C1275:D1275"/>
    <mergeCell ref="B1303:E1303"/>
    <mergeCell ref="C1081:D1081"/>
    <mergeCell ref="A790:B790"/>
    <mergeCell ref="D1258:F1258"/>
    <mergeCell ref="A1259:B1259"/>
    <mergeCell ref="D1259:F1259"/>
    <mergeCell ref="A1262:B1262"/>
    <mergeCell ref="E1262:F1262"/>
    <mergeCell ref="A1263:B1263"/>
    <mergeCell ref="D1263:F1263"/>
    <mergeCell ref="A1175:B1175"/>
    <mergeCell ref="C1176:D1176"/>
    <mergeCell ref="C1177:D1177"/>
    <mergeCell ref="B1193:E1193"/>
    <mergeCell ref="A1195:B1195"/>
    <mergeCell ref="D1195:F1195"/>
    <mergeCell ref="A1196:B1196"/>
    <mergeCell ref="A845:F845"/>
    <mergeCell ref="A846:F846"/>
    <mergeCell ref="A847:F847"/>
    <mergeCell ref="A854:B854"/>
    <mergeCell ref="C855:D855"/>
    <mergeCell ref="C856:D856"/>
    <mergeCell ref="B869:E869"/>
    <mergeCell ref="A1202:F1202"/>
    <mergeCell ref="A389:B389"/>
    <mergeCell ref="D389:F389"/>
    <mergeCell ref="A392:B392"/>
    <mergeCell ref="E392:F392"/>
    <mergeCell ref="A393:B393"/>
    <mergeCell ref="D393:F393"/>
    <mergeCell ref="A1115:B1115"/>
    <mergeCell ref="D1115:F1115"/>
    <mergeCell ref="B1114:E1114"/>
    <mergeCell ref="A1014:B1014"/>
    <mergeCell ref="E1014:F1014"/>
    <mergeCell ref="A917:B917"/>
    <mergeCell ref="D917:F917"/>
    <mergeCell ref="A920:B920"/>
    <mergeCell ref="E920:F920"/>
    <mergeCell ref="A921:B921"/>
    <mergeCell ref="D921:F921"/>
    <mergeCell ref="A977:F977"/>
    <mergeCell ref="A978:F978"/>
    <mergeCell ref="A979:F979"/>
    <mergeCell ref="A1015:B1015"/>
    <mergeCell ref="D1015:F1015"/>
    <mergeCell ref="A1078:B1078"/>
    <mergeCell ref="C1080:D1080"/>
    <mergeCell ref="A245:B245"/>
    <mergeCell ref="D245:F245"/>
    <mergeCell ref="A246:B246"/>
    <mergeCell ref="D246:F246"/>
    <mergeCell ref="A249:B249"/>
    <mergeCell ref="E249:F249"/>
    <mergeCell ref="A250:B250"/>
    <mergeCell ref="D250:F250"/>
    <mergeCell ref="A283:B283"/>
    <mergeCell ref="D283:F283"/>
    <mergeCell ref="C263:D263"/>
    <mergeCell ref="C264:D264"/>
    <mergeCell ref="C269:E269"/>
    <mergeCell ref="C274:E274"/>
    <mergeCell ref="C280:E280"/>
    <mergeCell ref="B282:E282"/>
    <mergeCell ref="A252:G252"/>
    <mergeCell ref="A253:G253"/>
    <mergeCell ref="A254:G254"/>
    <mergeCell ref="A261:B261"/>
    <mergeCell ref="A284:B284"/>
    <mergeCell ref="D284:F284"/>
    <mergeCell ref="A287:B287"/>
    <mergeCell ref="E287:F287"/>
    <mergeCell ref="A288:B288"/>
    <mergeCell ref="D288:F288"/>
    <mergeCell ref="A364:G364"/>
    <mergeCell ref="A358:B358"/>
    <mergeCell ref="D358:F358"/>
    <mergeCell ref="A361:B361"/>
    <mergeCell ref="E361:F361"/>
    <mergeCell ref="A362:B362"/>
    <mergeCell ref="A289:G289"/>
    <mergeCell ref="A290:G290"/>
    <mergeCell ref="A291:G291"/>
    <mergeCell ref="A298:B298"/>
    <mergeCell ref="C300:D300"/>
    <mergeCell ref="A334:B334"/>
    <mergeCell ref="C336:D336"/>
    <mergeCell ref="C337:D337"/>
    <mergeCell ref="C342:E342"/>
    <mergeCell ref="A319:B319"/>
    <mergeCell ref="D319:F319"/>
    <mergeCell ref="A320:B320"/>
    <mergeCell ref="A220:G220"/>
    <mergeCell ref="A221:G221"/>
    <mergeCell ref="A222:G222"/>
    <mergeCell ref="A229:B229"/>
    <mergeCell ref="C231:D231"/>
    <mergeCell ref="C232:D232"/>
    <mergeCell ref="C239:E239"/>
    <mergeCell ref="C242:E242"/>
    <mergeCell ref="B244:E244"/>
    <mergeCell ref="D320:F320"/>
    <mergeCell ref="A323:B323"/>
    <mergeCell ref="E323:F323"/>
    <mergeCell ref="A324:B324"/>
    <mergeCell ref="D324:F324"/>
    <mergeCell ref="A327:G327"/>
    <mergeCell ref="C347:E347"/>
    <mergeCell ref="C354:E354"/>
    <mergeCell ref="B356:E356"/>
    <mergeCell ref="A388:B388"/>
    <mergeCell ref="D388:F388"/>
    <mergeCell ref="A365:G365"/>
    <mergeCell ref="A366:G366"/>
    <mergeCell ref="A373:B373"/>
    <mergeCell ref="C375:D375"/>
    <mergeCell ref="D362:F362"/>
    <mergeCell ref="A357:B357"/>
    <mergeCell ref="D357:F357"/>
    <mergeCell ref="C376:D376"/>
    <mergeCell ref="C381:E381"/>
    <mergeCell ref="C385:E385"/>
    <mergeCell ref="B387:E387"/>
    <mergeCell ref="A1203:F1203"/>
    <mergeCell ref="A1204:F1204"/>
    <mergeCell ref="A1210:B1210"/>
    <mergeCell ref="A1166:B1166"/>
    <mergeCell ref="E1166:F1166"/>
    <mergeCell ref="A1167:B1167"/>
    <mergeCell ref="D1167:F1167"/>
    <mergeCell ref="A1168:F1168"/>
    <mergeCell ref="A1169:F1169"/>
    <mergeCell ref="A1170:F1170"/>
    <mergeCell ref="D1196:F1196"/>
    <mergeCell ref="A1199:B1199"/>
    <mergeCell ref="E1199:F1199"/>
    <mergeCell ref="A1200:B1200"/>
    <mergeCell ref="D1200:F1200"/>
    <mergeCell ref="A1116:B1116"/>
    <mergeCell ref="D1116:F1116"/>
    <mergeCell ref="A1119:B1119"/>
    <mergeCell ref="E1119:F1119"/>
    <mergeCell ref="A1120:B1120"/>
    <mergeCell ref="D1120:F1120"/>
    <mergeCell ref="A1162:B1162"/>
    <mergeCell ref="D1162:F1162"/>
    <mergeCell ref="A1163:B1163"/>
    <mergeCell ref="D1163:F1163"/>
    <mergeCell ref="A1123:F1123"/>
    <mergeCell ref="A1124:F1124"/>
    <mergeCell ref="C1132:D1132"/>
    <mergeCell ref="A1129:B1129"/>
    <mergeCell ref="C1131:D1131"/>
    <mergeCell ref="B1161:E1161"/>
    <mergeCell ref="D790:F790"/>
    <mergeCell ref="A791:F791"/>
    <mergeCell ref="A792:F792"/>
    <mergeCell ref="A793:F793"/>
    <mergeCell ref="A799:B799"/>
    <mergeCell ref="C800:D800"/>
    <mergeCell ref="A1122:F1122"/>
    <mergeCell ref="A1010:B1010"/>
    <mergeCell ref="D1010:F1010"/>
    <mergeCell ref="A1011:B1011"/>
    <mergeCell ref="D1011:F1011"/>
    <mergeCell ref="A840:B840"/>
    <mergeCell ref="D840:F840"/>
    <mergeCell ref="A843:B843"/>
    <mergeCell ref="E843:F843"/>
    <mergeCell ref="A844:B844"/>
    <mergeCell ref="D844:F844"/>
    <mergeCell ref="A984:B984"/>
    <mergeCell ref="C985:D985"/>
    <mergeCell ref="C986:D986"/>
    <mergeCell ref="D1065:F1065"/>
    <mergeCell ref="A1016:F1016"/>
    <mergeCell ref="A1017:F1017"/>
    <mergeCell ref="A1018:F1018"/>
    <mergeCell ref="A789:B789"/>
    <mergeCell ref="A733:B733"/>
    <mergeCell ref="D733:F733"/>
    <mergeCell ref="A736:B736"/>
    <mergeCell ref="E736:F736"/>
    <mergeCell ref="A737:B737"/>
    <mergeCell ref="D737:F737"/>
    <mergeCell ref="A738:F738"/>
    <mergeCell ref="A739:F739"/>
    <mergeCell ref="A740:F740"/>
    <mergeCell ref="A746:B746"/>
    <mergeCell ref="C747:D747"/>
    <mergeCell ref="C748:D748"/>
    <mergeCell ref="A785:B785"/>
    <mergeCell ref="D785:F785"/>
    <mergeCell ref="A786:B786"/>
    <mergeCell ref="D786:F786"/>
    <mergeCell ref="E789:F789"/>
    <mergeCell ref="A692:F692"/>
    <mergeCell ref="A693:F693"/>
    <mergeCell ref="A694:F694"/>
    <mergeCell ref="A699:B699"/>
    <mergeCell ref="C701:D701"/>
    <mergeCell ref="C702:D702"/>
    <mergeCell ref="B731:E731"/>
    <mergeCell ref="A732:B732"/>
    <mergeCell ref="D732:F732"/>
    <mergeCell ref="A446:B446"/>
    <mergeCell ref="C448:D448"/>
    <mergeCell ref="A491:F491"/>
    <mergeCell ref="A492:F492"/>
    <mergeCell ref="A493:F493"/>
    <mergeCell ref="A498:B498"/>
    <mergeCell ref="A484:B484"/>
    <mergeCell ref="D484:F484"/>
    <mergeCell ref="A485:B485"/>
    <mergeCell ref="D485:F485"/>
    <mergeCell ref="A488:B488"/>
    <mergeCell ref="E488:F488"/>
    <mergeCell ref="A489:B489"/>
    <mergeCell ref="D489:F489"/>
    <mergeCell ref="C447:D447"/>
    <mergeCell ref="A3:G3"/>
    <mergeCell ref="A4:G4"/>
    <mergeCell ref="A5:G5"/>
    <mergeCell ref="C12:D12"/>
    <mergeCell ref="C13:D13"/>
    <mergeCell ref="A144:B144"/>
    <mergeCell ref="A439:F439"/>
    <mergeCell ref="A440:F440"/>
    <mergeCell ref="A441:F441"/>
    <mergeCell ref="A145:B145"/>
    <mergeCell ref="D145:F145"/>
    <mergeCell ref="A146:B146"/>
    <mergeCell ref="D146:F146"/>
    <mergeCell ref="A149:B149"/>
    <mergeCell ref="E149:F149"/>
    <mergeCell ref="A150:B150"/>
    <mergeCell ref="D150:F150"/>
    <mergeCell ref="C301:D301"/>
    <mergeCell ref="C306:E306"/>
    <mergeCell ref="C311:E311"/>
    <mergeCell ref="C316:E316"/>
    <mergeCell ref="B318:E318"/>
    <mergeCell ref="A325:G325"/>
    <mergeCell ref="A326:G326"/>
    <mergeCell ref="C501:D501"/>
    <mergeCell ref="C502:D502"/>
    <mergeCell ref="B518:E518"/>
    <mergeCell ref="A519:B519"/>
    <mergeCell ref="D519:F519"/>
    <mergeCell ref="A520:B520"/>
    <mergeCell ref="D520:F520"/>
    <mergeCell ref="A523:B523"/>
    <mergeCell ref="E523:F523"/>
    <mergeCell ref="A524:B524"/>
    <mergeCell ref="D524:F524"/>
    <mergeCell ref="A525:F525"/>
    <mergeCell ref="A526:F526"/>
    <mergeCell ref="A527:F527"/>
    <mergeCell ref="C534:D534"/>
    <mergeCell ref="C535:D535"/>
    <mergeCell ref="D554:F554"/>
    <mergeCell ref="A554:B554"/>
    <mergeCell ref="A555:B555"/>
    <mergeCell ref="D555:F555"/>
    <mergeCell ref="A558:B558"/>
    <mergeCell ref="E558:F558"/>
    <mergeCell ref="A559:B559"/>
    <mergeCell ref="D559:F559"/>
    <mergeCell ref="A560:F560"/>
    <mergeCell ref="A561:F561"/>
    <mergeCell ref="A562:F562"/>
    <mergeCell ref="A647:F647"/>
    <mergeCell ref="A652:B652"/>
    <mergeCell ref="C653:D653"/>
    <mergeCell ref="C654:D654"/>
    <mergeCell ref="A685:B685"/>
    <mergeCell ref="E690:F690"/>
    <mergeCell ref="A603:G603"/>
    <mergeCell ref="A604:G604"/>
    <mergeCell ref="A605:G605"/>
    <mergeCell ref="C611:D611"/>
    <mergeCell ref="C612:D612"/>
    <mergeCell ref="A637:E637"/>
    <mergeCell ref="A638:B638"/>
    <mergeCell ref="D638:F638"/>
    <mergeCell ref="A639:B639"/>
    <mergeCell ref="D639:F639"/>
    <mergeCell ref="A640:B640"/>
    <mergeCell ref="D640:F640"/>
    <mergeCell ref="A2290:G2290"/>
    <mergeCell ref="A2200:B2200"/>
    <mergeCell ref="E2200:F2200"/>
    <mergeCell ref="A1413:B1413"/>
    <mergeCell ref="A1500:F1500"/>
    <mergeCell ref="A1380:F1380"/>
    <mergeCell ref="A1386:B1386"/>
    <mergeCell ref="A1372:B1372"/>
    <mergeCell ref="D1372:F1372"/>
    <mergeCell ref="A1373:B1373"/>
    <mergeCell ref="D1373:F1373"/>
    <mergeCell ref="A1376:B1376"/>
    <mergeCell ref="E1376:F1376"/>
    <mergeCell ref="A1377:B1377"/>
    <mergeCell ref="D1377:F1377"/>
    <mergeCell ref="B2195:E2195"/>
    <mergeCell ref="A2203:G2203"/>
    <mergeCell ref="A2204:G2204"/>
    <mergeCell ref="A2205:G2205"/>
    <mergeCell ref="A2020:G2020"/>
    <mergeCell ref="C2028:D2028"/>
    <mergeCell ref="B2147:E2147"/>
    <mergeCell ref="A2156:G2156"/>
    <mergeCell ref="A2157:G2157"/>
    <mergeCell ref="A2313:B2313"/>
    <mergeCell ref="D2313:F2313"/>
    <mergeCell ref="B2306:E2306"/>
    <mergeCell ref="A2308:B2308"/>
    <mergeCell ref="D2308:F2308"/>
    <mergeCell ref="A2309:B2309"/>
    <mergeCell ref="D2309:F2309"/>
    <mergeCell ref="A2291:G2291"/>
    <mergeCell ref="A2292:G2292"/>
    <mergeCell ref="A2298:B2298"/>
    <mergeCell ref="C2300:D2300"/>
    <mergeCell ref="C2301:D2301"/>
    <mergeCell ref="A2312:B2312"/>
    <mergeCell ref="E2312:F2312"/>
    <mergeCell ref="A181:B181"/>
    <mergeCell ref="E181:F181"/>
    <mergeCell ref="A182:B182"/>
    <mergeCell ref="D182:F182"/>
    <mergeCell ref="A151:F151"/>
    <mergeCell ref="A152:F152"/>
    <mergeCell ref="A153:F153"/>
    <mergeCell ref="C161:D161"/>
    <mergeCell ref="C162:D162"/>
    <mergeCell ref="B176:E176"/>
    <mergeCell ref="A177:B177"/>
    <mergeCell ref="D177:F177"/>
    <mergeCell ref="A178:B178"/>
    <mergeCell ref="D178:F178"/>
    <mergeCell ref="A394:F394"/>
    <mergeCell ref="A395:F395"/>
    <mergeCell ref="A396:F396"/>
    <mergeCell ref="C404:D404"/>
    <mergeCell ref="C405:D405"/>
    <mergeCell ref="B431:E431"/>
    <mergeCell ref="A432:B432"/>
    <mergeCell ref="D432:F432"/>
    <mergeCell ref="A433:B433"/>
    <mergeCell ref="D433:F433"/>
    <mergeCell ref="A568:B568"/>
    <mergeCell ref="C801:D801"/>
    <mergeCell ref="A839:B839"/>
    <mergeCell ref="D839:F839"/>
    <mergeCell ref="C570:D570"/>
    <mergeCell ref="C571:D571"/>
    <mergeCell ref="B596:E596"/>
    <mergeCell ref="A597:B597"/>
    <mergeCell ref="D597:F597"/>
    <mergeCell ref="A598:B598"/>
    <mergeCell ref="D598:F598"/>
    <mergeCell ref="A601:B601"/>
    <mergeCell ref="E601:F601"/>
    <mergeCell ref="A686:B686"/>
    <mergeCell ref="D686:F686"/>
    <mergeCell ref="A687:B687"/>
    <mergeCell ref="D687:F687"/>
    <mergeCell ref="A690:B690"/>
    <mergeCell ref="A691:B691"/>
    <mergeCell ref="D691:F691"/>
    <mergeCell ref="A602:B602"/>
    <mergeCell ref="D602:F602"/>
    <mergeCell ref="A645:F645"/>
    <mergeCell ref="A646:F646"/>
    <mergeCell ref="A2201:B2201"/>
    <mergeCell ref="D2201:F2201"/>
    <mergeCell ref="C2027:D2027"/>
    <mergeCell ref="A2244:B2244"/>
    <mergeCell ref="D2244:F2244"/>
    <mergeCell ref="A436:B436"/>
    <mergeCell ref="E436:F436"/>
    <mergeCell ref="A437:B437"/>
    <mergeCell ref="D437:F437"/>
    <mergeCell ref="C1387:D1387"/>
    <mergeCell ref="C1388:D1388"/>
    <mergeCell ref="B1531:E1531"/>
    <mergeCell ref="A2018:G2018"/>
    <mergeCell ref="A2019:G2019"/>
    <mergeCell ref="C1211:D1211"/>
    <mergeCell ref="C1212:D1212"/>
    <mergeCell ref="A876:F876"/>
    <mergeCell ref="A877:F877"/>
    <mergeCell ref="A878:F878"/>
    <mergeCell ref="A884:B884"/>
    <mergeCell ref="C885:D885"/>
    <mergeCell ref="C886:D886"/>
    <mergeCell ref="A916:B916"/>
    <mergeCell ref="D916:F916"/>
    <mergeCell ref="C2165:D2165"/>
    <mergeCell ref="C2166:D2166"/>
    <mergeCell ref="C2167:D2167"/>
    <mergeCell ref="A2153:B2153"/>
    <mergeCell ref="D2153:F2153"/>
    <mergeCell ref="A2196:B2196"/>
    <mergeCell ref="D2196:F2196"/>
    <mergeCell ref="A2197:B2197"/>
    <mergeCell ref="D2197:F2197"/>
    <mergeCell ref="A1582:G1582"/>
    <mergeCell ref="A1583:G1583"/>
    <mergeCell ref="A1584:G1584"/>
    <mergeCell ref="C1593:D1593"/>
    <mergeCell ref="C1594:D1594"/>
    <mergeCell ref="B1599:E1599"/>
    <mergeCell ref="B1602:E1602"/>
    <mergeCell ref="B1604:E1604"/>
    <mergeCell ref="A2158:G2158"/>
    <mergeCell ref="A1865:G1865"/>
    <mergeCell ref="C1990:D1990"/>
    <mergeCell ref="B1995:E1995"/>
    <mergeCell ref="B1999:E1999"/>
    <mergeCell ref="B2005:E2005"/>
    <mergeCell ref="A1616:G1616"/>
    <mergeCell ref="A1617:G1617"/>
    <mergeCell ref="A1618:G1618"/>
    <mergeCell ref="C1627:D1627"/>
    <mergeCell ref="C1628:D1628"/>
    <mergeCell ref="B1633:E1633"/>
    <mergeCell ref="B1637:E1637"/>
    <mergeCell ref="B1642:E1642"/>
    <mergeCell ref="B1643:E1643"/>
    <mergeCell ref="A1655:G1655"/>
    <mergeCell ref="A1723:G1723"/>
    <mergeCell ref="A1685:B1685"/>
    <mergeCell ref="E1685:F1685"/>
    <mergeCell ref="A1686:B1686"/>
    <mergeCell ref="D1686:F1686"/>
    <mergeCell ref="A1716:B1716"/>
    <mergeCell ref="D1716:F1716"/>
    <mergeCell ref="A1717:B1717"/>
    <mergeCell ref="D1717:F1717"/>
    <mergeCell ref="A1720:B1720"/>
    <mergeCell ref="E1720:F1720"/>
    <mergeCell ref="A1721:B1721"/>
    <mergeCell ref="D1721:F1721"/>
    <mergeCell ref="A1688:G1688"/>
    <mergeCell ref="A1689:G1689"/>
    <mergeCell ref="A1690:G1690"/>
    <mergeCell ref="C1699:D1699"/>
    <mergeCell ref="C1700:D1700"/>
    <mergeCell ref="B1705:E1705"/>
    <mergeCell ref="B1709:E1709"/>
    <mergeCell ref="B1714:E1714"/>
    <mergeCell ref="B1715:E1715"/>
    <mergeCell ref="A1724:G1724"/>
    <mergeCell ref="A1725:G1725"/>
    <mergeCell ref="C1734:D1734"/>
    <mergeCell ref="C1735:D1735"/>
    <mergeCell ref="B1740:E1740"/>
    <mergeCell ref="B1744:E1744"/>
    <mergeCell ref="B1750:E1750"/>
    <mergeCell ref="B1751:E1751"/>
    <mergeCell ref="A1800:G1800"/>
    <mergeCell ref="A1752:B1752"/>
    <mergeCell ref="D1752:F1752"/>
    <mergeCell ref="A1753:B1753"/>
    <mergeCell ref="D1753:F1753"/>
    <mergeCell ref="A1756:B1756"/>
    <mergeCell ref="E1756:F1756"/>
    <mergeCell ref="A1757:B1757"/>
    <mergeCell ref="D1757:F1757"/>
    <mergeCell ref="D1795:F1795"/>
    <mergeCell ref="B1828:E1828"/>
    <mergeCell ref="A1759:G1759"/>
    <mergeCell ref="A1760:G1760"/>
    <mergeCell ref="A1761:G1761"/>
    <mergeCell ref="C1770:D1770"/>
    <mergeCell ref="C1771:D1771"/>
    <mergeCell ref="B1776:E1776"/>
    <mergeCell ref="B1780:E1780"/>
    <mergeCell ref="B1788:E1788"/>
    <mergeCell ref="B1789:E1789"/>
    <mergeCell ref="A1790:B1790"/>
    <mergeCell ref="D1790:F1790"/>
    <mergeCell ref="A1791:B1791"/>
    <mergeCell ref="D1791:F1791"/>
    <mergeCell ref="A1794:B1794"/>
    <mergeCell ref="E1794:F1794"/>
    <mergeCell ref="A1795:B1795"/>
    <mergeCell ref="B1827:E1827"/>
    <mergeCell ref="A1801:G1801"/>
    <mergeCell ref="A1802:G1802"/>
    <mergeCell ref="C1811:D1811"/>
    <mergeCell ref="C1812:D1812"/>
    <mergeCell ref="B1817:E1817"/>
    <mergeCell ref="B1821:E1821"/>
    <mergeCell ref="A870:B870"/>
    <mergeCell ref="D870:F870"/>
    <mergeCell ref="A871:B871"/>
    <mergeCell ref="D871:F871"/>
    <mergeCell ref="A874:B874"/>
    <mergeCell ref="E874:F874"/>
    <mergeCell ref="A875:B875"/>
    <mergeCell ref="D875:F875"/>
    <mergeCell ref="A1454:B1454"/>
    <mergeCell ref="D1454:F1454"/>
    <mergeCell ref="A1069:B1069"/>
    <mergeCell ref="D1069:F1069"/>
    <mergeCell ref="A1070:F1070"/>
    <mergeCell ref="A1071:F1071"/>
    <mergeCell ref="A1072:F1072"/>
    <mergeCell ref="A1065:B1065"/>
    <mergeCell ref="A1023:B1023"/>
    <mergeCell ref="C1024:D1024"/>
    <mergeCell ref="C1025:D1025"/>
    <mergeCell ref="B1063:E1063"/>
    <mergeCell ref="A1064:B1064"/>
    <mergeCell ref="D1064:F1064"/>
    <mergeCell ref="A1068:B1068"/>
    <mergeCell ref="E1068:F1068"/>
    <mergeCell ref="A1605:B1605"/>
    <mergeCell ref="D1605:F1605"/>
    <mergeCell ref="A1606:B1606"/>
    <mergeCell ref="D1606:F1606"/>
    <mergeCell ref="A1609:B1609"/>
    <mergeCell ref="E1609:F1609"/>
    <mergeCell ref="A1610:B1610"/>
    <mergeCell ref="D1610:F1610"/>
    <mergeCell ref="A1644:B1644"/>
    <mergeCell ref="D1644:F1644"/>
    <mergeCell ref="A1645:B1645"/>
    <mergeCell ref="D1645:F1645"/>
    <mergeCell ref="A1648:B1648"/>
    <mergeCell ref="E1648:F1648"/>
    <mergeCell ref="A1649:B1649"/>
    <mergeCell ref="D1649:F1649"/>
    <mergeCell ref="A1681:B1681"/>
    <mergeCell ref="D1681:F1681"/>
    <mergeCell ref="A1682:B1682"/>
    <mergeCell ref="D1682:F1682"/>
    <mergeCell ref="A1656:G1656"/>
    <mergeCell ref="A1657:G1657"/>
    <mergeCell ref="C1666:D1666"/>
    <mergeCell ref="C1667:D1667"/>
    <mergeCell ref="B1672:E1672"/>
    <mergeCell ref="B1675:E1675"/>
    <mergeCell ref="B1679:E1679"/>
    <mergeCell ref="B1680:E1680"/>
    <mergeCell ref="A1829:B1829"/>
    <mergeCell ref="D1829:F1829"/>
    <mergeCell ref="A1830:B1830"/>
    <mergeCell ref="D1830:F1830"/>
    <mergeCell ref="A1833:B1833"/>
    <mergeCell ref="E1833:F1833"/>
    <mergeCell ref="A1834:B1834"/>
    <mergeCell ref="D1834:F1834"/>
    <mergeCell ref="A1857:B1857"/>
    <mergeCell ref="D1857:F1857"/>
    <mergeCell ref="A1837:G1837"/>
    <mergeCell ref="A1838:G1838"/>
    <mergeCell ref="A1839:G1839"/>
    <mergeCell ref="A1846:B1846"/>
    <mergeCell ref="C1847:D1847"/>
    <mergeCell ref="C1848:D1848"/>
    <mergeCell ref="C1854:E1854"/>
    <mergeCell ref="B1856:E1856"/>
    <mergeCell ref="A1858:B1858"/>
    <mergeCell ref="D1858:F1858"/>
    <mergeCell ref="A1861:B1861"/>
    <mergeCell ref="E1861:F1861"/>
    <mergeCell ref="A1862:B1862"/>
    <mergeCell ref="D1862:F1862"/>
    <mergeCell ref="A1894:B1894"/>
    <mergeCell ref="D1894:F1894"/>
    <mergeCell ref="A1895:B1895"/>
    <mergeCell ref="D1895:F1895"/>
    <mergeCell ref="A1898:B1898"/>
    <mergeCell ref="E1898:F1898"/>
    <mergeCell ref="A1899:B1899"/>
    <mergeCell ref="D1899:F1899"/>
    <mergeCell ref="A1931:B1931"/>
    <mergeCell ref="D1931:F1931"/>
    <mergeCell ref="A1932:B1932"/>
    <mergeCell ref="D1932:F1932"/>
    <mergeCell ref="A1935:B1935"/>
    <mergeCell ref="E1935:F1935"/>
    <mergeCell ref="A2007:B2007"/>
    <mergeCell ref="D2007:F2007"/>
    <mergeCell ref="A2008:B2008"/>
    <mergeCell ref="D2008:F2008"/>
    <mergeCell ref="A2011:B2011"/>
    <mergeCell ref="E2011:F2011"/>
    <mergeCell ref="A2012:B2012"/>
    <mergeCell ref="D2012:F2012"/>
    <mergeCell ref="A1936:B1936"/>
    <mergeCell ref="D1936:F1936"/>
    <mergeCell ref="A1970:B1970"/>
    <mergeCell ref="D1970:F1970"/>
    <mergeCell ref="A1971:B1971"/>
    <mergeCell ref="D1971:F1971"/>
    <mergeCell ref="A1974:B1974"/>
    <mergeCell ref="E1974:F1974"/>
    <mergeCell ref="A1975:B1975"/>
    <mergeCell ref="D1975:F1975"/>
  </mergeCells>
  <pageMargins left="0.7" right="0.7" top="0.75" bottom="0.75" header="0.3" footer="0.3"/>
  <pageSetup orientation="portrait" horizontalDpi="90" verticalDpi="9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O27"/>
  <sheetViews>
    <sheetView topLeftCell="C24" workbookViewId="0">
      <selection activeCell="E26" sqref="E26"/>
    </sheetView>
  </sheetViews>
  <sheetFormatPr defaultRowHeight="15" x14ac:dyDescent="0.25"/>
  <cols>
    <col min="1" max="1" width="13.7109375" customWidth="1"/>
    <col min="2" max="2" width="24.140625" customWidth="1"/>
    <col min="3" max="3" width="4.42578125" customWidth="1"/>
    <col min="4" max="4" width="29.5703125" customWidth="1"/>
    <col min="5" max="5" width="32.85546875" customWidth="1"/>
    <col min="6" max="6" width="14.85546875" customWidth="1"/>
    <col min="7" max="7" width="18" customWidth="1"/>
    <col min="8" max="8" width="11" customWidth="1"/>
    <col min="9" max="9" width="13.28515625" customWidth="1"/>
    <col min="10" max="10" width="15.140625" customWidth="1"/>
    <col min="11" max="11" width="16.28515625" customWidth="1"/>
    <col min="12" max="12" width="17.5703125" customWidth="1"/>
    <col min="13" max="13" width="12.85546875" customWidth="1"/>
    <col min="14" max="14" width="27.42578125" customWidth="1"/>
    <col min="15" max="15" width="21.5703125" customWidth="1"/>
  </cols>
  <sheetData>
    <row r="1" spans="1:15" s="111" customFormat="1" ht="29.25" customHeight="1" x14ac:dyDescent="0.25">
      <c r="A1" s="2079" t="s">
        <v>2477</v>
      </c>
      <c r="B1" s="2079"/>
      <c r="C1" s="2079"/>
      <c r="D1" s="2079"/>
      <c r="E1" s="2079"/>
      <c r="F1" s="2079"/>
      <c r="G1" s="2079"/>
      <c r="H1" s="2079"/>
      <c r="I1" s="2079"/>
      <c r="J1" s="2079"/>
      <c r="K1" s="2079"/>
      <c r="L1" s="2079"/>
      <c r="M1" s="2079"/>
      <c r="N1" s="2079"/>
      <c r="O1" s="110"/>
    </row>
    <row r="2" spans="1:15" s="111" customFormat="1" ht="29.25" customHeight="1" x14ac:dyDescent="0.25">
      <c r="A2" s="2079" t="s">
        <v>1336</v>
      </c>
      <c r="B2" s="2079"/>
      <c r="C2" s="2079"/>
      <c r="D2" s="2079"/>
      <c r="E2" s="2079"/>
      <c r="F2" s="2079"/>
      <c r="G2" s="2079"/>
      <c r="H2" s="2079"/>
      <c r="I2" s="2079"/>
      <c r="J2" s="2079"/>
      <c r="K2" s="2079"/>
      <c r="L2" s="2079"/>
      <c r="M2" s="2079"/>
      <c r="N2" s="2079"/>
      <c r="O2" s="110"/>
    </row>
    <row r="3" spans="1:15" s="111" customFormat="1" ht="23.25" customHeight="1" x14ac:dyDescent="0.25">
      <c r="A3" s="2079" t="s">
        <v>1912</v>
      </c>
      <c r="B3" s="2079"/>
      <c r="C3" s="2079"/>
      <c r="D3" s="2079"/>
      <c r="E3" s="2079"/>
      <c r="F3" s="2079"/>
      <c r="G3" s="2079"/>
      <c r="H3" s="2079"/>
      <c r="I3" s="2079"/>
      <c r="J3" s="2079"/>
      <c r="K3" s="2079"/>
      <c r="L3" s="2079"/>
      <c r="M3" s="2079"/>
      <c r="N3" s="2079"/>
      <c r="O3" s="110"/>
    </row>
    <row r="4" spans="1:15" s="111" customFormat="1" ht="15.75" x14ac:dyDescent="0.25">
      <c r="B4" s="112"/>
      <c r="D4" s="112"/>
      <c r="H4" s="112"/>
      <c r="J4" s="113"/>
      <c r="L4" s="380"/>
      <c r="M4" s="846"/>
      <c r="O4" s="110"/>
    </row>
    <row r="5" spans="1:15" s="111" customFormat="1" ht="31.5" x14ac:dyDescent="0.25">
      <c r="A5" s="111" t="s">
        <v>1337</v>
      </c>
      <c r="B5" s="112" t="s">
        <v>1338</v>
      </c>
      <c r="D5" s="112"/>
      <c r="H5" s="112"/>
      <c r="J5" s="113"/>
      <c r="L5" s="380"/>
      <c r="M5" s="846"/>
      <c r="O5" s="110"/>
    </row>
    <row r="6" spans="1:15" s="111" customFormat="1" ht="31.5" x14ac:dyDescent="0.25">
      <c r="A6" s="111" t="s">
        <v>1339</v>
      </c>
      <c r="B6" s="112" t="s">
        <v>1340</v>
      </c>
      <c r="D6" s="112"/>
      <c r="H6" s="112"/>
      <c r="J6" s="113"/>
      <c r="L6" s="380"/>
      <c r="M6" s="846"/>
      <c r="O6" s="110"/>
    </row>
    <row r="7" spans="1:15" s="111" customFormat="1" ht="15.75" x14ac:dyDescent="0.25">
      <c r="A7" s="111" t="s">
        <v>1341</v>
      </c>
      <c r="B7" s="112" t="s">
        <v>1342</v>
      </c>
      <c r="D7" s="112"/>
      <c r="H7" s="112"/>
      <c r="J7" s="113"/>
      <c r="L7" s="380"/>
      <c r="M7" s="846"/>
      <c r="O7" s="110"/>
    </row>
    <row r="8" spans="1:15" s="111" customFormat="1" ht="15.75" x14ac:dyDescent="0.25">
      <c r="A8" s="111" t="s">
        <v>1343</v>
      </c>
      <c r="B8" s="112" t="s">
        <v>1344</v>
      </c>
      <c r="D8" s="112"/>
      <c r="H8" s="112"/>
      <c r="J8" s="113"/>
      <c r="L8" s="380"/>
      <c r="M8" s="846"/>
      <c r="O8" s="110"/>
    </row>
    <row r="9" spans="1:15" s="111" customFormat="1" ht="15.75" x14ac:dyDescent="0.25">
      <c r="B9" s="112"/>
      <c r="D9" s="112"/>
      <c r="H9" s="112"/>
      <c r="J9" s="113"/>
      <c r="L9" s="380"/>
      <c r="M9" s="846"/>
      <c r="O9" s="110"/>
    </row>
    <row r="10" spans="1:15" s="111" customFormat="1" ht="72.75" customHeight="1" x14ac:dyDescent="0.25">
      <c r="A10" s="114" t="s">
        <v>1295</v>
      </c>
      <c r="B10" s="2080" t="s">
        <v>1345</v>
      </c>
      <c r="C10" s="2080"/>
      <c r="D10" s="2080"/>
      <c r="E10" s="115" t="s">
        <v>1346</v>
      </c>
      <c r="F10" s="115" t="s">
        <v>1347</v>
      </c>
      <c r="G10" s="115" t="s">
        <v>2188</v>
      </c>
      <c r="H10" s="115" t="s">
        <v>1348</v>
      </c>
      <c r="I10" s="115" t="s">
        <v>1349</v>
      </c>
      <c r="J10" s="115" t="s">
        <v>1350</v>
      </c>
      <c r="K10" s="115" t="s">
        <v>464</v>
      </c>
      <c r="L10" s="2081" t="s">
        <v>1351</v>
      </c>
      <c r="M10" s="2081"/>
      <c r="N10" s="2081" t="s">
        <v>1352</v>
      </c>
      <c r="O10" s="2078" t="s">
        <v>1353</v>
      </c>
    </row>
    <row r="11" spans="1:15" s="111" customFormat="1" ht="15.75" x14ac:dyDescent="0.25">
      <c r="A11" s="116"/>
      <c r="B11" s="118" t="s">
        <v>1354</v>
      </c>
      <c r="C11" s="117"/>
      <c r="D11" s="118" t="s">
        <v>521</v>
      </c>
      <c r="E11" s="116"/>
      <c r="F11" s="116"/>
      <c r="G11" s="116"/>
      <c r="H11" s="121"/>
      <c r="I11" s="116"/>
      <c r="J11" s="119"/>
      <c r="K11" s="116"/>
      <c r="L11" s="381" t="s">
        <v>1356</v>
      </c>
      <c r="M11" s="117" t="s">
        <v>1357</v>
      </c>
      <c r="N11" s="2081"/>
      <c r="O11" s="2078"/>
    </row>
    <row r="12" spans="1:15" s="111" customFormat="1" ht="18" customHeight="1" x14ac:dyDescent="0.25">
      <c r="A12" s="117" t="s">
        <v>1358</v>
      </c>
      <c r="B12" s="118" t="s">
        <v>1359</v>
      </c>
      <c r="C12" s="117" t="s">
        <v>1360</v>
      </c>
      <c r="D12" s="118" t="s">
        <v>1361</v>
      </c>
      <c r="E12" s="117" t="s">
        <v>1362</v>
      </c>
      <c r="F12" s="117" t="s">
        <v>1363</v>
      </c>
      <c r="G12" s="117" t="s">
        <v>1364</v>
      </c>
      <c r="H12" s="118" t="s">
        <v>1365</v>
      </c>
      <c r="I12" s="117" t="s">
        <v>1366</v>
      </c>
      <c r="J12" s="114" t="s">
        <v>1367</v>
      </c>
      <c r="K12" s="117" t="s">
        <v>1368</v>
      </c>
      <c r="L12" s="381" t="s">
        <v>1369</v>
      </c>
      <c r="M12" s="117" t="s">
        <v>539</v>
      </c>
      <c r="N12" s="117" t="s">
        <v>1370</v>
      </c>
      <c r="O12" s="110" t="s">
        <v>1371</v>
      </c>
    </row>
    <row r="13" spans="1:15" ht="42.75" customHeight="1" x14ac:dyDescent="0.25">
      <c r="A13" s="251"/>
      <c r="B13" s="66" t="s">
        <v>486</v>
      </c>
      <c r="C13" s="267">
        <v>1</v>
      </c>
      <c r="D13" s="855" t="e">
        <f>'BID IV'!#REF!</f>
        <v>#REF!</v>
      </c>
      <c r="E13" s="251">
        <v>1</v>
      </c>
      <c r="F13" s="848" t="s">
        <v>2482</v>
      </c>
      <c r="G13" s="984">
        <v>1</v>
      </c>
      <c r="H13" s="66" t="s">
        <v>1373</v>
      </c>
      <c r="I13" s="251" t="s">
        <v>1414</v>
      </c>
      <c r="J13" s="251" t="s">
        <v>2496</v>
      </c>
      <c r="K13" s="251" t="s">
        <v>295</v>
      </c>
      <c r="L13" s="852" t="e">
        <f>'BID IV'!#REF!</f>
        <v>#REF!</v>
      </c>
      <c r="M13" s="268"/>
      <c r="N13" s="268"/>
    </row>
    <row r="14" spans="1:15" ht="60" x14ac:dyDescent="0.25">
      <c r="A14" s="32"/>
      <c r="B14" s="66"/>
      <c r="C14" s="267">
        <v>2</v>
      </c>
      <c r="D14" s="851" t="str">
        <f>'BID IV'!B56</f>
        <v>: Ketahanan Pangan ( Holti Kultural Budidaya Bawang Merah Dari Benih)</v>
      </c>
      <c r="E14" s="32" t="s">
        <v>2486</v>
      </c>
      <c r="F14" s="66" t="s">
        <v>2483</v>
      </c>
      <c r="G14" s="984">
        <v>1</v>
      </c>
      <c r="H14" s="66" t="s">
        <v>1373</v>
      </c>
      <c r="I14" s="251" t="s">
        <v>1414</v>
      </c>
      <c r="J14" s="32" t="s">
        <v>2497</v>
      </c>
      <c r="K14" s="251" t="s">
        <v>295</v>
      </c>
      <c r="L14" s="470">
        <f>'BID IV'!F103</f>
        <v>50037000</v>
      </c>
      <c r="M14" s="268" t="s">
        <v>1375</v>
      </c>
      <c r="N14" s="268" t="s">
        <v>1376</v>
      </c>
    </row>
    <row r="15" spans="1:15" ht="43.5" customHeight="1" x14ac:dyDescent="0.25">
      <c r="A15" s="32"/>
      <c r="B15" s="66"/>
      <c r="C15" s="267">
        <v>3</v>
      </c>
      <c r="D15" s="851" t="str">
        <f>'BID IV'!B117</f>
        <v>: Penguatan Ketahanan Pangan Tingkat Desa ( Peningkatan ketersediaan Bibit/benih tanaman pangan)</v>
      </c>
      <c r="E15" s="32" t="s">
        <v>2486</v>
      </c>
      <c r="F15" s="66" t="s">
        <v>2483</v>
      </c>
      <c r="G15" s="984">
        <v>1</v>
      </c>
      <c r="H15" s="66" t="s">
        <v>1373</v>
      </c>
      <c r="I15" s="251" t="s">
        <v>1414</v>
      </c>
      <c r="J15" s="126" t="s">
        <v>2200</v>
      </c>
      <c r="K15" s="251" t="s">
        <v>295</v>
      </c>
      <c r="L15" s="470">
        <f>'BID IV'!F147</f>
        <v>23430000</v>
      </c>
      <c r="M15" s="268"/>
      <c r="N15" s="268"/>
    </row>
    <row r="16" spans="1:15" ht="60" x14ac:dyDescent="0.25">
      <c r="A16" s="251"/>
      <c r="B16" s="848"/>
      <c r="C16" s="267">
        <v>4</v>
      </c>
      <c r="D16" s="855" t="str">
        <f>'BID IV'!B417</f>
        <v>: Pelatihan Kelompok Usahan Ekonomi Produktif (Kelompok Pengerajin Lampion "Dewata Janur Desa Penatih Dangin Puri)</v>
      </c>
      <c r="E16" s="251" t="s">
        <v>2487</v>
      </c>
      <c r="F16" s="848" t="s">
        <v>2484</v>
      </c>
      <c r="G16" s="984">
        <v>1</v>
      </c>
      <c r="H16" s="66" t="s">
        <v>1373</v>
      </c>
      <c r="I16" s="251" t="s">
        <v>1414</v>
      </c>
      <c r="J16" s="251" t="s">
        <v>2498</v>
      </c>
      <c r="K16" s="251" t="s">
        <v>295</v>
      </c>
      <c r="L16" s="852">
        <f>'BID IV'!F465</f>
        <v>46276296</v>
      </c>
      <c r="M16" s="268" t="s">
        <v>1375</v>
      </c>
      <c r="N16" s="268" t="s">
        <v>1376</v>
      </c>
    </row>
    <row r="17" spans="1:14" ht="42.75" customHeight="1" x14ac:dyDescent="0.25">
      <c r="A17" s="32"/>
      <c r="B17" s="66"/>
      <c r="C17" s="267">
        <v>5</v>
      </c>
      <c r="D17" s="851" t="str">
        <f>'BID IV'!B162</f>
        <v>: Perbaikan Jalan Usaha Tani Subak Pohmanis</v>
      </c>
      <c r="E17" s="251" t="s">
        <v>2487</v>
      </c>
      <c r="F17" s="66" t="s">
        <v>2485</v>
      </c>
      <c r="G17" s="984">
        <v>1</v>
      </c>
      <c r="H17" s="66" t="s">
        <v>1373</v>
      </c>
      <c r="I17" s="251" t="s">
        <v>1414</v>
      </c>
      <c r="J17" s="126" t="s">
        <v>2200</v>
      </c>
      <c r="K17" s="251" t="s">
        <v>295</v>
      </c>
      <c r="L17" s="470">
        <f>'BID IV'!F172</f>
        <v>500000000</v>
      </c>
      <c r="M17" s="268"/>
      <c r="N17" s="268"/>
    </row>
    <row r="18" spans="1:14" ht="54" customHeight="1" x14ac:dyDescent="0.25">
      <c r="A18" s="32"/>
      <c r="B18" s="66"/>
      <c r="C18" s="267">
        <v>6</v>
      </c>
      <c r="D18" s="851" t="str">
        <f>'BID IV'!B344</f>
        <v>:Pelatihan/Penyuluhan Pemberdayaan Perempuan (Pembinaan Kelompok P2WKSS)</v>
      </c>
      <c r="E18" s="32" t="s">
        <v>2486</v>
      </c>
      <c r="F18" s="66" t="s">
        <v>2490</v>
      </c>
      <c r="G18" s="984">
        <v>1</v>
      </c>
      <c r="H18" s="66" t="s">
        <v>1373</v>
      </c>
      <c r="I18" s="251" t="s">
        <v>1414</v>
      </c>
      <c r="J18" s="32" t="s">
        <v>2222</v>
      </c>
      <c r="K18" s="251" t="s">
        <v>295</v>
      </c>
      <c r="L18" s="470">
        <f>'BID IV'!F366</f>
        <v>1227000</v>
      </c>
      <c r="M18" s="268" t="s">
        <v>1375</v>
      </c>
      <c r="N18" s="268" t="s">
        <v>1376</v>
      </c>
    </row>
    <row r="19" spans="1:14" ht="60" x14ac:dyDescent="0.25">
      <c r="A19" s="32"/>
      <c r="B19" s="66"/>
      <c r="C19" s="267">
        <v>7</v>
      </c>
      <c r="D19" s="851" t="str">
        <f>'BID IV'!B187</f>
        <v>: Pelatihan Tim Verifikasi dan penyusunan RKP ( Pelatihan Penysunan RKPDes)</v>
      </c>
      <c r="E19" s="32" t="s">
        <v>2488</v>
      </c>
      <c r="F19" s="66" t="s">
        <v>2491</v>
      </c>
      <c r="G19" s="984">
        <v>1</v>
      </c>
      <c r="H19" s="66" t="s">
        <v>1373</v>
      </c>
      <c r="I19" s="251" t="s">
        <v>1414</v>
      </c>
      <c r="J19" s="32" t="s">
        <v>2499</v>
      </c>
      <c r="K19" s="251" t="s">
        <v>295</v>
      </c>
      <c r="L19" s="470">
        <f>'BID IV'!F210</f>
        <v>1235000</v>
      </c>
      <c r="M19" s="268" t="s">
        <v>1375</v>
      </c>
      <c r="N19" s="268" t="s">
        <v>1376</v>
      </c>
    </row>
    <row r="20" spans="1:14" ht="60" x14ac:dyDescent="0.25">
      <c r="A20" s="32"/>
      <c r="B20" s="66"/>
      <c r="C20" s="267">
        <v>8</v>
      </c>
      <c r="D20" s="851" t="str">
        <f>'BID IV'!B226</f>
        <v>: Pelatihan Perangkat Desa</v>
      </c>
      <c r="E20" s="32" t="s">
        <v>2488</v>
      </c>
      <c r="F20" s="66" t="s">
        <v>2492</v>
      </c>
      <c r="G20" s="984">
        <v>1</v>
      </c>
      <c r="H20" s="66" t="s">
        <v>1373</v>
      </c>
      <c r="I20" s="251" t="s">
        <v>1414</v>
      </c>
      <c r="J20" s="32" t="s">
        <v>2500</v>
      </c>
      <c r="K20" s="251" t="s">
        <v>295</v>
      </c>
      <c r="L20" s="470">
        <f>'BID IV'!F249</f>
        <v>43110000</v>
      </c>
      <c r="M20" s="268" t="s">
        <v>1375</v>
      </c>
      <c r="N20" s="268" t="s">
        <v>1376</v>
      </c>
    </row>
    <row r="21" spans="1:14" ht="60" x14ac:dyDescent="0.25">
      <c r="A21" s="32"/>
      <c r="B21" s="66"/>
      <c r="C21" s="267">
        <v>9</v>
      </c>
      <c r="D21" s="851" t="str">
        <f>'BID IV'!B266</f>
        <v>: Peningkatan Kapasitas BPD</v>
      </c>
      <c r="E21" s="32" t="s">
        <v>2488</v>
      </c>
      <c r="F21" s="66" t="s">
        <v>2493</v>
      </c>
      <c r="G21" s="984">
        <v>1</v>
      </c>
      <c r="H21" s="66" t="s">
        <v>1373</v>
      </c>
      <c r="I21" s="251" t="s">
        <v>1414</v>
      </c>
      <c r="J21" s="32" t="s">
        <v>2198</v>
      </c>
      <c r="K21" s="251" t="s">
        <v>295</v>
      </c>
      <c r="L21" s="470">
        <f>'BID IV'!F292</f>
        <v>19120000</v>
      </c>
      <c r="M21" s="268" t="s">
        <v>1375</v>
      </c>
      <c r="N21" s="268" t="s">
        <v>1376</v>
      </c>
    </row>
    <row r="22" spans="1:14" ht="60" x14ac:dyDescent="0.25">
      <c r="A22" s="32"/>
      <c r="B22" s="66"/>
      <c r="C22" s="267">
        <v>10</v>
      </c>
      <c r="D22" s="851" t="str">
        <f>'BID IV'!B306</f>
        <v>: Pelatihan PKPKD, PPKD dan TPK</v>
      </c>
      <c r="E22" s="32" t="s">
        <v>2488</v>
      </c>
      <c r="F22" s="66" t="s">
        <v>2494</v>
      </c>
      <c r="G22" s="984">
        <v>1</v>
      </c>
      <c r="H22" s="66" t="s">
        <v>1373</v>
      </c>
      <c r="I22" s="251" t="s">
        <v>1414</v>
      </c>
      <c r="J22" s="32" t="s">
        <v>2500</v>
      </c>
      <c r="K22" s="251" t="s">
        <v>295</v>
      </c>
      <c r="L22" s="470">
        <f>'BID IV'!F329</f>
        <v>1655000</v>
      </c>
      <c r="M22" s="268" t="s">
        <v>1375</v>
      </c>
      <c r="N22" s="268" t="s">
        <v>1376</v>
      </c>
    </row>
    <row r="23" spans="1:14" ht="75" x14ac:dyDescent="0.25">
      <c r="A23" s="32"/>
      <c r="B23" s="66"/>
      <c r="C23" s="267">
        <v>11</v>
      </c>
      <c r="D23" s="851" t="str">
        <f>'BID IV'!B381</f>
        <v>: Pengembangan sarana dan prasarana usaha mikro, kecil dan menengah serta koprasi  (Pelatihan Management BUMDes)</v>
      </c>
      <c r="E23" s="32" t="s">
        <v>2489</v>
      </c>
      <c r="F23" s="66" t="s">
        <v>2495</v>
      </c>
      <c r="G23" s="984">
        <v>1</v>
      </c>
      <c r="H23" s="66" t="s">
        <v>1373</v>
      </c>
      <c r="I23" s="251" t="s">
        <v>1414</v>
      </c>
      <c r="J23" s="32" t="s">
        <v>2501</v>
      </c>
      <c r="K23" s="251" t="s">
        <v>295</v>
      </c>
      <c r="L23" s="470">
        <f>'BID IV'!F403</f>
        <v>1205000</v>
      </c>
      <c r="M23" s="268" t="s">
        <v>1375</v>
      </c>
      <c r="N23" s="268" t="s">
        <v>1376</v>
      </c>
    </row>
    <row r="24" spans="1:14" ht="60" x14ac:dyDescent="0.25">
      <c r="A24" s="32"/>
      <c r="B24" s="66"/>
      <c r="C24" s="267">
        <v>12</v>
      </c>
      <c r="D24" s="851" t="e">
        <f>'BID IV'!#REF!</f>
        <v>#REF!</v>
      </c>
      <c r="E24" s="251" t="s">
        <v>2487</v>
      </c>
      <c r="F24" s="66" t="s">
        <v>2485</v>
      </c>
      <c r="G24" s="984">
        <v>1</v>
      </c>
      <c r="H24" s="66" t="s">
        <v>1373</v>
      </c>
      <c r="I24" s="251" t="s">
        <v>1414</v>
      </c>
      <c r="J24" s="126" t="s">
        <v>2200</v>
      </c>
      <c r="K24" s="251" t="s">
        <v>295</v>
      </c>
      <c r="L24" s="470" t="e">
        <f>'BID IV'!#REF!</f>
        <v>#REF!</v>
      </c>
      <c r="M24" s="268" t="s">
        <v>1375</v>
      </c>
      <c r="N24" s="268" t="s">
        <v>1376</v>
      </c>
    </row>
    <row r="25" spans="1:14" ht="60" x14ac:dyDescent="0.25">
      <c r="A25" s="251"/>
      <c r="B25" s="848"/>
      <c r="C25" s="267">
        <v>13</v>
      </c>
      <c r="D25" s="855" t="str">
        <f>'BID IV'!B479</f>
        <v>: Pelatihan Kelompok Usahan Ekonomi Produktif (Kelompok Pengerajin Furniture)</v>
      </c>
      <c r="E25" s="251" t="s">
        <v>2487</v>
      </c>
      <c r="F25" s="848" t="s">
        <v>2484</v>
      </c>
      <c r="G25" s="984">
        <v>1</v>
      </c>
      <c r="H25" s="66" t="s">
        <v>1373</v>
      </c>
      <c r="I25" s="251" t="s">
        <v>1414</v>
      </c>
      <c r="J25" s="251" t="s">
        <v>2498</v>
      </c>
      <c r="K25" s="251" t="s">
        <v>295</v>
      </c>
      <c r="L25" s="852">
        <f>'BID IV'!F521</f>
        <v>86506000</v>
      </c>
      <c r="M25" s="268" t="s">
        <v>1375</v>
      </c>
      <c r="N25" s="268" t="s">
        <v>1376</v>
      </c>
    </row>
    <row r="26" spans="1:14" ht="60.75" thickBot="1" x14ac:dyDescent="0.3">
      <c r="A26" s="32"/>
      <c r="B26" s="66"/>
      <c r="C26" s="267">
        <v>14</v>
      </c>
      <c r="D26" s="851" t="str">
        <f>'BID IV'!B9</f>
        <v>: (Ketahanan Pangan) Pelatihan Budidaya Jamur</v>
      </c>
      <c r="E26" s="251" t="s">
        <v>2487</v>
      </c>
      <c r="F26" s="848" t="s">
        <v>2484</v>
      </c>
      <c r="G26" s="984">
        <v>1</v>
      </c>
      <c r="H26" s="66" t="s">
        <v>1373</v>
      </c>
      <c r="I26" s="251" t="s">
        <v>1414</v>
      </c>
      <c r="J26" s="126" t="s">
        <v>2200</v>
      </c>
      <c r="K26" s="251" t="s">
        <v>295</v>
      </c>
      <c r="L26" s="470">
        <f>'BID IV'!F41</f>
        <v>12945000</v>
      </c>
      <c r="M26" s="268" t="s">
        <v>1375</v>
      </c>
      <c r="N26" s="268" t="s">
        <v>1376</v>
      </c>
    </row>
    <row r="27" spans="1:14" ht="15.75" thickBot="1" x14ac:dyDescent="0.3">
      <c r="A27" s="2075" t="s">
        <v>1911</v>
      </c>
      <c r="B27" s="2076"/>
      <c r="C27" s="2076"/>
      <c r="D27" s="2076"/>
      <c r="E27" s="2076"/>
      <c r="F27" s="2076"/>
      <c r="G27" s="2076"/>
      <c r="H27" s="2076"/>
      <c r="I27" s="2076"/>
      <c r="J27" s="2076"/>
      <c r="K27" s="2077"/>
      <c r="L27" s="857" t="e">
        <f>SUM(L14:L26)</f>
        <v>#REF!</v>
      </c>
      <c r="M27" s="986"/>
      <c r="N27" s="861"/>
    </row>
  </sheetData>
  <mergeCells count="8">
    <mergeCell ref="O10:O11"/>
    <mergeCell ref="A27:K27"/>
    <mergeCell ref="A1:N1"/>
    <mergeCell ref="A2:N2"/>
    <mergeCell ref="A3:N3"/>
    <mergeCell ref="B10:D10"/>
    <mergeCell ref="L10:M10"/>
    <mergeCell ref="N10:N11"/>
  </mergeCells>
  <pageMargins left="0.7" right="1.45" top="0.75" bottom="0.75" header="0.3" footer="0.3"/>
  <pageSetup paperSize="5" scale="60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M141"/>
  <sheetViews>
    <sheetView topLeftCell="A9" zoomScale="71" zoomScaleNormal="71" workbookViewId="0">
      <pane ySplit="2070" topLeftCell="A10" activePane="bottomLeft"/>
      <selection activeCell="D10" sqref="D1:J1048576"/>
      <selection pane="bottomLeft" activeCell="A9" sqref="A9:A11"/>
    </sheetView>
  </sheetViews>
  <sheetFormatPr defaultRowHeight="15" x14ac:dyDescent="0.25"/>
  <cols>
    <col min="1" max="1" width="14.85546875" customWidth="1"/>
    <col min="2" max="2" width="21.5703125" customWidth="1"/>
    <col min="3" max="3" width="27.28515625" customWidth="1"/>
    <col min="4" max="4" width="26.5703125" style="451" customWidth="1"/>
    <col min="5" max="5" width="23.5703125" style="451" customWidth="1"/>
    <col min="6" max="6" width="24.140625" style="451" customWidth="1"/>
    <col min="7" max="7" width="24.42578125" style="451" customWidth="1"/>
    <col min="8" max="8" width="20.5703125" style="451" customWidth="1"/>
    <col min="9" max="9" width="20.85546875" style="451" customWidth="1"/>
    <col min="10" max="10" width="14.42578125" style="451" customWidth="1"/>
    <col min="11" max="11" width="23.140625" bestFit="1" customWidth="1"/>
    <col min="12" max="12" width="25.42578125" customWidth="1"/>
    <col min="13" max="13" width="18.5703125" customWidth="1"/>
    <col min="14" max="14" width="16.85546875" customWidth="1"/>
  </cols>
  <sheetData>
    <row r="1" spans="1:13" ht="18.75" x14ac:dyDescent="0.3">
      <c r="A1" s="2097" t="s">
        <v>1662</v>
      </c>
      <c r="B1" s="2097"/>
      <c r="C1" s="2097"/>
      <c r="D1" s="2097"/>
      <c r="E1" s="2097"/>
      <c r="F1" s="2097"/>
      <c r="G1" s="2097"/>
      <c r="H1" s="2097"/>
      <c r="I1" s="2097"/>
      <c r="J1" s="2097"/>
      <c r="K1" s="451"/>
    </row>
    <row r="2" spans="1:13" ht="18.75" x14ac:dyDescent="0.3">
      <c r="A2" s="2097" t="s">
        <v>1496</v>
      </c>
      <c r="B2" s="2097"/>
      <c r="C2" s="2097"/>
      <c r="D2" s="2097"/>
      <c r="E2" s="2097"/>
      <c r="F2" s="2097"/>
      <c r="G2" s="2097"/>
      <c r="H2" s="2097"/>
      <c r="I2" s="2097"/>
      <c r="J2" s="2097"/>
      <c r="K2" s="451"/>
    </row>
    <row r="3" spans="1:13" ht="15.75" x14ac:dyDescent="0.25">
      <c r="A3" s="111"/>
      <c r="B3" s="111"/>
      <c r="C3" s="111"/>
      <c r="D3" s="467"/>
      <c r="E3" s="467"/>
      <c r="F3" s="467"/>
      <c r="G3" s="467"/>
      <c r="H3" s="467"/>
      <c r="I3" s="467"/>
      <c r="J3" s="467"/>
      <c r="K3" s="451"/>
    </row>
    <row r="4" spans="1:13" ht="15.75" x14ac:dyDescent="0.25">
      <c r="A4" s="384" t="s">
        <v>1337</v>
      </c>
      <c r="B4" s="384" t="s">
        <v>1338</v>
      </c>
      <c r="C4" s="111"/>
      <c r="D4" s="467"/>
      <c r="E4" s="467"/>
      <c r="F4" s="467"/>
      <c r="G4" s="467"/>
      <c r="H4" s="467"/>
      <c r="I4" s="467"/>
      <c r="J4" s="467"/>
      <c r="K4" s="451"/>
    </row>
    <row r="5" spans="1:13" ht="15.75" x14ac:dyDescent="0.25">
      <c r="A5" s="384" t="s">
        <v>1339</v>
      </c>
      <c r="B5" s="384" t="s">
        <v>1340</v>
      </c>
      <c r="C5" s="111"/>
      <c r="D5" s="467"/>
      <c r="E5" s="467"/>
      <c r="F5" s="467"/>
      <c r="G5" s="467"/>
      <c r="H5" s="467"/>
      <c r="I5" s="467"/>
      <c r="J5" s="467"/>
      <c r="K5" s="451"/>
    </row>
    <row r="6" spans="1:13" ht="15.75" x14ac:dyDescent="0.25">
      <c r="A6" s="384" t="s">
        <v>1341</v>
      </c>
      <c r="B6" s="384" t="s">
        <v>1342</v>
      </c>
      <c r="C6" s="111"/>
      <c r="D6" s="467"/>
      <c r="E6" s="467"/>
      <c r="F6" s="467"/>
      <c r="G6" s="467"/>
      <c r="H6" s="467"/>
      <c r="I6" s="467"/>
      <c r="J6" s="467"/>
      <c r="K6" s="451"/>
    </row>
    <row r="7" spans="1:13" ht="15.75" x14ac:dyDescent="0.25">
      <c r="A7" s="384" t="s">
        <v>1343</v>
      </c>
      <c r="B7" s="384" t="s">
        <v>1344</v>
      </c>
      <c r="C7" s="111"/>
      <c r="D7" s="467"/>
      <c r="E7" s="467"/>
      <c r="F7" s="467"/>
      <c r="G7" s="467"/>
      <c r="H7" s="467"/>
      <c r="I7" s="467"/>
      <c r="J7" s="467"/>
      <c r="K7" s="451"/>
    </row>
    <row r="8" spans="1:13" ht="15.75" x14ac:dyDescent="0.25">
      <c r="A8" s="111"/>
      <c r="B8" s="111"/>
      <c r="C8" s="111"/>
      <c r="D8" s="467"/>
      <c r="E8" s="467"/>
      <c r="F8" s="467"/>
      <c r="G8" s="467"/>
      <c r="H8" s="467"/>
      <c r="I8" s="467"/>
      <c r="J8" s="467"/>
      <c r="K8" s="451"/>
    </row>
    <row r="9" spans="1:13" ht="18.75" customHeight="1" x14ac:dyDescent="0.25">
      <c r="A9" s="2113" t="s">
        <v>1295</v>
      </c>
      <c r="B9" s="2113" t="s">
        <v>1354</v>
      </c>
      <c r="C9" s="2116" t="s">
        <v>1663</v>
      </c>
      <c r="D9" s="2119" t="s">
        <v>1664</v>
      </c>
      <c r="E9" s="2119"/>
      <c r="F9" s="2119"/>
      <c r="G9" s="2119"/>
      <c r="H9" s="2119"/>
      <c r="I9" s="2119"/>
      <c r="J9" s="2119"/>
      <c r="K9" s="56"/>
    </row>
    <row r="10" spans="1:13" ht="66.75" customHeight="1" x14ac:dyDescent="0.25">
      <c r="A10" s="2114"/>
      <c r="B10" s="2114"/>
      <c r="C10" s="2117"/>
      <c r="D10" s="2120" t="s">
        <v>1665</v>
      </c>
      <c r="E10" s="2122" t="s">
        <v>1666</v>
      </c>
      <c r="F10" s="2122" t="s">
        <v>1667</v>
      </c>
      <c r="G10" s="2122" t="s">
        <v>1668</v>
      </c>
      <c r="H10" s="2124" t="s">
        <v>1669</v>
      </c>
      <c r="I10" s="2125"/>
      <c r="J10" s="2122" t="s">
        <v>1670</v>
      </c>
      <c r="K10" s="56"/>
      <c r="L10" s="175"/>
    </row>
    <row r="11" spans="1:13" ht="30.75" customHeight="1" x14ac:dyDescent="0.25">
      <c r="A11" s="2115"/>
      <c r="B11" s="2115"/>
      <c r="C11" s="2118"/>
      <c r="D11" s="2121"/>
      <c r="E11" s="2123"/>
      <c r="F11" s="2123"/>
      <c r="G11" s="2123"/>
      <c r="H11" s="509" t="s">
        <v>1671</v>
      </c>
      <c r="I11" s="509" t="s">
        <v>1546</v>
      </c>
      <c r="J11" s="2123"/>
      <c r="K11" s="56"/>
    </row>
    <row r="12" spans="1:13" ht="15.75" x14ac:dyDescent="0.25">
      <c r="A12" s="493" t="s">
        <v>1358</v>
      </c>
      <c r="B12" s="493" t="s">
        <v>1359</v>
      </c>
      <c r="C12" s="493" t="s">
        <v>1360</v>
      </c>
      <c r="D12" s="508" t="s">
        <v>1361</v>
      </c>
      <c r="E12" s="508" t="s">
        <v>1362</v>
      </c>
      <c r="F12" s="508" t="s">
        <v>1363</v>
      </c>
      <c r="G12" s="508" t="s">
        <v>1364</v>
      </c>
      <c r="H12" s="508" t="s">
        <v>1365</v>
      </c>
      <c r="I12" s="508" t="s">
        <v>1366</v>
      </c>
      <c r="J12" s="508" t="s">
        <v>1367</v>
      </c>
      <c r="K12" s="494"/>
    </row>
    <row r="13" spans="1:13" ht="45" customHeight="1" x14ac:dyDescent="0.25">
      <c r="A13" s="2129" t="s">
        <v>1636</v>
      </c>
      <c r="B13" s="2126" t="s">
        <v>59</v>
      </c>
      <c r="C13" s="66" t="s">
        <v>8</v>
      </c>
      <c r="D13" s="470">
        <v>2300000</v>
      </c>
      <c r="E13" s="470"/>
      <c r="F13" s="470">
        <f>'[3]BID I'!F14</f>
        <v>48000000</v>
      </c>
      <c r="G13" s="470">
        <v>111920000</v>
      </c>
      <c r="H13" s="470"/>
      <c r="I13" s="470"/>
      <c r="J13" s="470"/>
      <c r="K13" s="56">
        <f>SUM(D13:J13)</f>
        <v>162220000</v>
      </c>
      <c r="L13" s="286">
        <v>162220000</v>
      </c>
      <c r="M13" s="175">
        <f>K13-L13</f>
        <v>0</v>
      </c>
    </row>
    <row r="14" spans="1:13" ht="45" customHeight="1" x14ac:dyDescent="0.25">
      <c r="A14" s="2130"/>
      <c r="B14" s="2127"/>
      <c r="C14" s="66" t="s">
        <v>37</v>
      </c>
      <c r="D14" s="470">
        <f>2000000+10800000+12800000</f>
        <v>25600000</v>
      </c>
      <c r="E14" s="470"/>
      <c r="F14" s="470">
        <f>SUM('[3]BID I'!F42:F44)</f>
        <v>436800000</v>
      </c>
      <c r="G14" s="470">
        <v>503354780</v>
      </c>
      <c r="H14" s="470"/>
      <c r="I14" s="470"/>
      <c r="J14" s="470"/>
      <c r="K14" s="56">
        <f>SUM(D14:J14)</f>
        <v>965754780</v>
      </c>
      <c r="L14" s="286">
        <v>965754780</v>
      </c>
      <c r="M14" s="175">
        <f t="shared" ref="M14:M43" si="0">K14-L14</f>
        <v>0</v>
      </c>
    </row>
    <row r="15" spans="1:13" ht="63" customHeight="1" x14ac:dyDescent="0.25">
      <c r="A15" s="2130"/>
      <c r="B15" s="2127"/>
      <c r="C15" s="66" t="s">
        <v>61</v>
      </c>
      <c r="D15" s="470"/>
      <c r="E15" s="470"/>
      <c r="F15" s="470">
        <f>SUM('[3]BID I'!F81:F85)</f>
        <v>5470104</v>
      </c>
      <c r="G15" s="470">
        <v>63096924</v>
      </c>
      <c r="H15" s="470"/>
      <c r="I15" s="470"/>
      <c r="J15" s="470"/>
      <c r="K15" s="56">
        <f t="shared" ref="K15:K78" si="1">SUM(D15:J15)</f>
        <v>68567028</v>
      </c>
      <c r="L15" s="286">
        <v>68567028</v>
      </c>
      <c r="M15" s="175">
        <f t="shared" si="0"/>
        <v>0</v>
      </c>
    </row>
    <row r="16" spans="1:13" ht="45" customHeight="1" x14ac:dyDescent="0.25">
      <c r="A16" s="2130"/>
      <c r="B16" s="2127"/>
      <c r="C16" s="66" t="s">
        <v>84</v>
      </c>
      <c r="D16" s="470"/>
      <c r="E16" s="470"/>
      <c r="F16" s="470">
        <v>451726861</v>
      </c>
      <c r="G16" s="470"/>
      <c r="H16" s="470"/>
      <c r="I16" s="470"/>
      <c r="J16" s="470"/>
      <c r="K16" s="56">
        <f t="shared" si="1"/>
        <v>451726861</v>
      </c>
      <c r="L16" s="286">
        <v>451726861</v>
      </c>
      <c r="M16" s="175">
        <f t="shared" si="0"/>
        <v>0</v>
      </c>
    </row>
    <row r="17" spans="1:13" ht="45" customHeight="1" x14ac:dyDescent="0.25">
      <c r="A17" s="2130"/>
      <c r="B17" s="2127"/>
      <c r="C17" s="66" t="s">
        <v>522</v>
      </c>
      <c r="D17" s="470"/>
      <c r="E17" s="470"/>
      <c r="F17" s="470">
        <v>18540000</v>
      </c>
      <c r="G17" s="470"/>
      <c r="H17" s="470"/>
      <c r="I17" s="470"/>
      <c r="J17" s="470"/>
      <c r="K17" s="56">
        <f t="shared" si="1"/>
        <v>18540000</v>
      </c>
      <c r="L17" s="286">
        <f t="shared" ref="L17:L33" si="2">SUM(D17:J17)</f>
        <v>18540000</v>
      </c>
      <c r="M17" s="175">
        <f t="shared" si="0"/>
        <v>0</v>
      </c>
    </row>
    <row r="18" spans="1:13" ht="45" customHeight="1" x14ac:dyDescent="0.25">
      <c r="A18" s="2130"/>
      <c r="B18" s="2127"/>
      <c r="C18" s="66" t="s">
        <v>278</v>
      </c>
      <c r="D18" s="470"/>
      <c r="E18" s="470"/>
      <c r="F18" s="470"/>
      <c r="G18" s="470">
        <v>425900000</v>
      </c>
      <c r="H18" s="470"/>
      <c r="I18" s="470"/>
      <c r="J18" s="470"/>
      <c r="K18" s="56">
        <f t="shared" si="1"/>
        <v>425900000</v>
      </c>
      <c r="L18" s="286">
        <f>SUM(D18:J18)</f>
        <v>425900000</v>
      </c>
      <c r="M18" s="175">
        <f t="shared" si="0"/>
        <v>0</v>
      </c>
    </row>
    <row r="19" spans="1:13" ht="45" customHeight="1" x14ac:dyDescent="0.25">
      <c r="A19" s="2130"/>
      <c r="B19" s="2127"/>
      <c r="C19" s="66" t="s">
        <v>299</v>
      </c>
      <c r="D19" s="470"/>
      <c r="E19" s="470"/>
      <c r="F19" s="470">
        <v>15759000</v>
      </c>
      <c r="G19" s="470"/>
      <c r="H19" s="470"/>
      <c r="I19" s="470"/>
      <c r="J19" s="470"/>
      <c r="K19" s="56">
        <f t="shared" si="1"/>
        <v>15759000</v>
      </c>
      <c r="L19" s="286">
        <f t="shared" si="2"/>
        <v>15759000</v>
      </c>
      <c r="M19" s="175">
        <f t="shared" si="0"/>
        <v>0</v>
      </c>
    </row>
    <row r="20" spans="1:13" ht="45" customHeight="1" x14ac:dyDescent="0.25">
      <c r="A20" s="2130"/>
      <c r="B20" s="2127"/>
      <c r="C20" s="66" t="s">
        <v>322</v>
      </c>
      <c r="D20" s="470"/>
      <c r="E20" s="470"/>
      <c r="F20" s="470">
        <v>12400000</v>
      </c>
      <c r="G20" s="470"/>
      <c r="H20" s="470"/>
      <c r="I20" s="470"/>
      <c r="J20" s="470"/>
      <c r="K20" s="56">
        <f t="shared" si="1"/>
        <v>12400000</v>
      </c>
      <c r="L20" s="286">
        <f t="shared" si="2"/>
        <v>12400000</v>
      </c>
      <c r="M20" s="175">
        <f t="shared" si="0"/>
        <v>0</v>
      </c>
    </row>
    <row r="21" spans="1:13" ht="45" customHeight="1" x14ac:dyDescent="0.25">
      <c r="A21" s="2130"/>
      <c r="B21" s="2127"/>
      <c r="C21" s="66" t="s">
        <v>337</v>
      </c>
      <c r="D21" s="470"/>
      <c r="E21" s="470"/>
      <c r="F21" s="470">
        <v>428378400</v>
      </c>
      <c r="G21" s="470"/>
      <c r="H21" s="470"/>
      <c r="I21" s="470"/>
      <c r="J21" s="470"/>
      <c r="K21" s="56">
        <f t="shared" si="1"/>
        <v>428378400</v>
      </c>
      <c r="L21" s="286">
        <f t="shared" si="2"/>
        <v>428378400</v>
      </c>
      <c r="M21" s="175">
        <f t="shared" si="0"/>
        <v>0</v>
      </c>
    </row>
    <row r="22" spans="1:13" ht="45" customHeight="1" x14ac:dyDescent="0.25">
      <c r="A22" s="2130"/>
      <c r="B22" s="2127"/>
      <c r="C22" s="66" t="s">
        <v>1627</v>
      </c>
      <c r="D22" s="470"/>
      <c r="E22" s="470"/>
      <c r="F22" s="470">
        <v>3790000</v>
      </c>
      <c r="G22" s="470"/>
      <c r="H22" s="470"/>
      <c r="I22" s="470"/>
      <c r="J22" s="470"/>
      <c r="K22" s="56">
        <f t="shared" si="1"/>
        <v>3790000</v>
      </c>
      <c r="L22" s="286">
        <f t="shared" si="2"/>
        <v>3790000</v>
      </c>
      <c r="M22" s="175">
        <f t="shared" si="0"/>
        <v>0</v>
      </c>
    </row>
    <row r="23" spans="1:13" ht="36" customHeight="1" x14ac:dyDescent="0.25">
      <c r="A23" s="2130"/>
      <c r="B23" s="2127"/>
      <c r="C23" s="66" t="s">
        <v>529</v>
      </c>
      <c r="D23" s="470">
        <v>30804640.5</v>
      </c>
      <c r="E23" s="470"/>
      <c r="F23" s="470"/>
      <c r="G23" s="470"/>
      <c r="H23" s="470"/>
      <c r="I23" s="470"/>
      <c r="J23" s="470"/>
      <c r="K23" s="56">
        <f t="shared" si="1"/>
        <v>30804640.5</v>
      </c>
      <c r="L23" s="286">
        <f t="shared" si="2"/>
        <v>30804640.5</v>
      </c>
      <c r="M23" s="175">
        <f t="shared" si="0"/>
        <v>0</v>
      </c>
    </row>
    <row r="24" spans="1:13" s="495" customFormat="1" ht="45" customHeight="1" x14ac:dyDescent="0.25">
      <c r="A24" s="2130"/>
      <c r="B24" s="2127"/>
      <c r="C24" s="66" t="s">
        <v>542</v>
      </c>
      <c r="D24" s="470"/>
      <c r="E24" s="470"/>
      <c r="F24" s="470"/>
      <c r="G24" s="470"/>
      <c r="H24" s="470"/>
      <c r="I24" s="470"/>
      <c r="J24" s="470">
        <v>72000</v>
      </c>
      <c r="K24" s="56">
        <f t="shared" si="1"/>
        <v>72000</v>
      </c>
      <c r="L24" s="286">
        <f t="shared" si="2"/>
        <v>72000</v>
      </c>
      <c r="M24" s="175">
        <f t="shared" si="0"/>
        <v>0</v>
      </c>
    </row>
    <row r="25" spans="1:13" s="495" customFormat="1" ht="49.5" customHeight="1" x14ac:dyDescent="0.25">
      <c r="A25" s="2130"/>
      <c r="B25" s="2127"/>
      <c r="C25" s="66" t="s">
        <v>603</v>
      </c>
      <c r="D25" s="470"/>
      <c r="E25" s="470"/>
      <c r="F25" s="470"/>
      <c r="G25" s="470"/>
      <c r="H25" s="470"/>
      <c r="I25" s="470">
        <v>18000000</v>
      </c>
      <c r="J25" s="470"/>
      <c r="K25" s="56">
        <f t="shared" si="1"/>
        <v>18000000</v>
      </c>
      <c r="L25" s="286">
        <f t="shared" si="2"/>
        <v>18000000</v>
      </c>
      <c r="M25" s="175">
        <f t="shared" si="0"/>
        <v>0</v>
      </c>
    </row>
    <row r="26" spans="1:13" s="495" customFormat="1" ht="46.5" customHeight="1" x14ac:dyDescent="0.25">
      <c r="A26" s="2130"/>
      <c r="B26" s="2127"/>
      <c r="C26" s="66" t="s">
        <v>463</v>
      </c>
      <c r="D26" s="470"/>
      <c r="E26" s="470"/>
      <c r="F26" s="470">
        <v>385550000</v>
      </c>
      <c r="G26" s="470"/>
      <c r="H26" s="470"/>
      <c r="I26" s="470"/>
      <c r="J26" s="470"/>
      <c r="K26" s="56">
        <f t="shared" si="1"/>
        <v>385550000</v>
      </c>
      <c r="L26" s="286">
        <f t="shared" si="2"/>
        <v>385550000</v>
      </c>
      <c r="M26" s="175">
        <f t="shared" si="0"/>
        <v>0</v>
      </c>
    </row>
    <row r="27" spans="1:13" s="495" customFormat="1" ht="45" customHeight="1" x14ac:dyDescent="0.25">
      <c r="A27" s="2130"/>
      <c r="B27" s="2127"/>
      <c r="C27" s="66" t="s">
        <v>609</v>
      </c>
      <c r="D27" s="470"/>
      <c r="E27" s="470"/>
      <c r="F27" s="470">
        <v>18971500</v>
      </c>
      <c r="G27" s="470"/>
      <c r="H27" s="470"/>
      <c r="I27" s="470"/>
      <c r="J27" s="470"/>
      <c r="K27" s="56">
        <f t="shared" si="1"/>
        <v>18971500</v>
      </c>
      <c r="L27" s="286">
        <f t="shared" si="2"/>
        <v>18971500</v>
      </c>
      <c r="M27" s="175">
        <f t="shared" si="0"/>
        <v>0</v>
      </c>
    </row>
    <row r="28" spans="1:13" s="495" customFormat="1" ht="45" customHeight="1" x14ac:dyDescent="0.25">
      <c r="A28" s="2130"/>
      <c r="B28" s="2127"/>
      <c r="C28" s="66" t="s">
        <v>616</v>
      </c>
      <c r="D28" s="470"/>
      <c r="E28" s="470"/>
      <c r="F28" s="470">
        <v>20237000</v>
      </c>
      <c r="G28" s="470"/>
      <c r="H28" s="470"/>
      <c r="I28" s="470"/>
      <c r="J28" s="470"/>
      <c r="K28" s="56">
        <f t="shared" si="1"/>
        <v>20237000</v>
      </c>
      <c r="L28" s="286">
        <f t="shared" si="2"/>
        <v>20237000</v>
      </c>
      <c r="M28" s="175">
        <f t="shared" si="0"/>
        <v>0</v>
      </c>
    </row>
    <row r="29" spans="1:13" s="495" customFormat="1" ht="63" customHeight="1" x14ac:dyDescent="0.25">
      <c r="A29" s="2130"/>
      <c r="B29" s="2127"/>
      <c r="C29" s="66" t="s">
        <v>617</v>
      </c>
      <c r="D29" s="470"/>
      <c r="E29" s="470"/>
      <c r="F29" s="470">
        <v>15741000</v>
      </c>
      <c r="G29" s="470"/>
      <c r="H29" s="470"/>
      <c r="I29" s="470"/>
      <c r="J29" s="470"/>
      <c r="K29" s="56">
        <f t="shared" si="1"/>
        <v>15741000</v>
      </c>
      <c r="L29" s="286">
        <f t="shared" si="2"/>
        <v>15741000</v>
      </c>
      <c r="M29" s="175">
        <f t="shared" si="0"/>
        <v>0</v>
      </c>
    </row>
    <row r="30" spans="1:13" ht="59.25" customHeight="1" x14ac:dyDescent="0.25">
      <c r="A30" s="2130"/>
      <c r="B30" s="2127"/>
      <c r="C30" s="66" t="s">
        <v>618</v>
      </c>
      <c r="D30" s="470"/>
      <c r="E30" s="470"/>
      <c r="F30" s="470">
        <v>15994560</v>
      </c>
      <c r="G30" s="470"/>
      <c r="H30" s="470"/>
      <c r="I30" s="470"/>
      <c r="J30" s="470"/>
      <c r="K30" s="56">
        <f t="shared" si="1"/>
        <v>15994560</v>
      </c>
      <c r="L30" s="286">
        <f t="shared" si="2"/>
        <v>15994560</v>
      </c>
      <c r="M30" s="175">
        <f t="shared" si="0"/>
        <v>0</v>
      </c>
    </row>
    <row r="31" spans="1:13" ht="60.75" customHeight="1" x14ac:dyDescent="0.25">
      <c r="A31" s="2130"/>
      <c r="B31" s="2127"/>
      <c r="C31" s="66" t="s">
        <v>619</v>
      </c>
      <c r="D31" s="470"/>
      <c r="E31" s="470"/>
      <c r="F31" s="470">
        <v>33606000</v>
      </c>
      <c r="G31" s="470"/>
      <c r="H31" s="470"/>
      <c r="I31" s="470"/>
      <c r="J31" s="470"/>
      <c r="K31" s="56">
        <f t="shared" si="1"/>
        <v>33606000</v>
      </c>
      <c r="L31" s="286">
        <f t="shared" si="2"/>
        <v>33606000</v>
      </c>
      <c r="M31" s="175">
        <f t="shared" si="0"/>
        <v>0</v>
      </c>
    </row>
    <row r="32" spans="1:13" s="495" customFormat="1" ht="76.5" customHeight="1" x14ac:dyDescent="0.25">
      <c r="A32" s="2130"/>
      <c r="B32" s="2127"/>
      <c r="C32" s="66" t="s">
        <v>369</v>
      </c>
      <c r="D32" s="470"/>
      <c r="E32" s="470"/>
      <c r="F32" s="470"/>
      <c r="G32" s="470">
        <v>51506000</v>
      </c>
      <c r="H32" s="470"/>
      <c r="I32" s="470"/>
      <c r="J32" s="470"/>
      <c r="K32" s="56">
        <f t="shared" si="1"/>
        <v>51506000</v>
      </c>
      <c r="L32" s="286">
        <f t="shared" si="2"/>
        <v>51506000</v>
      </c>
      <c r="M32" s="175">
        <f t="shared" si="0"/>
        <v>0</v>
      </c>
    </row>
    <row r="33" spans="1:13" ht="71.25" customHeight="1" x14ac:dyDescent="0.25">
      <c r="A33" s="2130"/>
      <c r="B33" s="2127"/>
      <c r="C33" s="66" t="s">
        <v>1452</v>
      </c>
      <c r="D33" s="470"/>
      <c r="E33" s="470"/>
      <c r="F33" s="470"/>
      <c r="G33" s="470">
        <v>81828500</v>
      </c>
      <c r="H33" s="470"/>
      <c r="I33" s="470"/>
      <c r="J33" s="470"/>
      <c r="K33" s="56">
        <f t="shared" si="1"/>
        <v>81828500</v>
      </c>
      <c r="L33" s="286">
        <f t="shared" si="2"/>
        <v>81828500</v>
      </c>
      <c r="M33" s="175">
        <f t="shared" si="0"/>
        <v>0</v>
      </c>
    </row>
    <row r="34" spans="1:13" ht="81.75" customHeight="1" x14ac:dyDescent="0.25">
      <c r="A34" s="2130"/>
      <c r="B34" s="2127"/>
      <c r="C34" s="66" t="s">
        <v>1513</v>
      </c>
      <c r="D34" s="470"/>
      <c r="E34" s="470"/>
      <c r="F34" s="470"/>
      <c r="G34" s="470">
        <v>910000</v>
      </c>
      <c r="H34" s="470"/>
      <c r="I34" s="470"/>
      <c r="J34" s="470"/>
      <c r="K34" s="56">
        <f t="shared" si="1"/>
        <v>910000</v>
      </c>
      <c r="L34" s="286">
        <v>910000</v>
      </c>
      <c r="M34" s="175">
        <f t="shared" si="0"/>
        <v>0</v>
      </c>
    </row>
    <row r="35" spans="1:13" ht="71.25" customHeight="1" x14ac:dyDescent="0.25">
      <c r="A35" s="2130"/>
      <c r="B35" s="2127"/>
      <c r="C35" s="66" t="s">
        <v>349</v>
      </c>
      <c r="D35" s="470"/>
      <c r="E35" s="470"/>
      <c r="F35" s="470"/>
      <c r="G35" s="470">
        <v>41205000</v>
      </c>
      <c r="H35" s="470"/>
      <c r="I35" s="470"/>
      <c r="J35" s="470"/>
      <c r="K35" s="56">
        <f t="shared" si="1"/>
        <v>41205000</v>
      </c>
      <c r="L35" s="286">
        <v>41205000</v>
      </c>
      <c r="M35" s="175">
        <f t="shared" si="0"/>
        <v>0</v>
      </c>
    </row>
    <row r="36" spans="1:13" ht="71.25" customHeight="1" x14ac:dyDescent="0.25">
      <c r="A36" s="2130"/>
      <c r="B36" s="2127"/>
      <c r="C36" s="66" t="s">
        <v>403</v>
      </c>
      <c r="D36" s="470"/>
      <c r="E36" s="470"/>
      <c r="F36" s="470">
        <v>12860000</v>
      </c>
      <c r="G36" s="470"/>
      <c r="H36" s="470"/>
      <c r="I36" s="470"/>
      <c r="J36" s="470"/>
      <c r="K36" s="56">
        <f t="shared" si="1"/>
        <v>12860000</v>
      </c>
      <c r="L36" s="286">
        <v>12860000</v>
      </c>
      <c r="M36" s="175">
        <f t="shared" si="0"/>
        <v>0</v>
      </c>
    </row>
    <row r="37" spans="1:13" ht="105" customHeight="1" x14ac:dyDescent="0.25">
      <c r="A37" s="2130"/>
      <c r="B37" s="2127"/>
      <c r="C37" s="66" t="s">
        <v>422</v>
      </c>
      <c r="D37" s="470"/>
      <c r="E37" s="470"/>
      <c r="F37" s="470">
        <v>43416000</v>
      </c>
      <c r="G37" s="470"/>
      <c r="H37" s="470"/>
      <c r="I37" s="470"/>
      <c r="J37" s="470"/>
      <c r="K37" s="56">
        <f t="shared" si="1"/>
        <v>43416000</v>
      </c>
      <c r="L37" s="286">
        <v>43416000</v>
      </c>
      <c r="M37" s="175">
        <f t="shared" si="0"/>
        <v>0</v>
      </c>
    </row>
    <row r="38" spans="1:13" ht="71.25" customHeight="1" x14ac:dyDescent="0.25">
      <c r="A38" s="2130"/>
      <c r="B38" s="2127"/>
      <c r="C38" s="66" t="s">
        <v>427</v>
      </c>
      <c r="D38" s="470"/>
      <c r="E38" s="470"/>
      <c r="F38" s="470">
        <v>77118000</v>
      </c>
      <c r="G38" s="470"/>
      <c r="H38" s="470"/>
      <c r="I38" s="470"/>
      <c r="J38" s="470"/>
      <c r="K38" s="56">
        <f t="shared" si="1"/>
        <v>77118000</v>
      </c>
      <c r="L38" s="286">
        <v>77118000</v>
      </c>
      <c r="M38" s="175">
        <f t="shared" si="0"/>
        <v>0</v>
      </c>
    </row>
    <row r="39" spans="1:13" ht="57.75" customHeight="1" x14ac:dyDescent="0.25">
      <c r="A39" s="2130"/>
      <c r="B39" s="2127"/>
      <c r="C39" s="66" t="s">
        <v>634</v>
      </c>
      <c r="D39" s="470"/>
      <c r="E39" s="470"/>
      <c r="F39" s="470">
        <v>25802900</v>
      </c>
      <c r="G39" s="470"/>
      <c r="H39" s="470"/>
      <c r="I39" s="470"/>
      <c r="J39" s="470"/>
      <c r="K39" s="56">
        <f t="shared" si="1"/>
        <v>25802900</v>
      </c>
      <c r="L39" s="286">
        <v>25802900</v>
      </c>
      <c r="M39" s="175">
        <f t="shared" si="0"/>
        <v>0</v>
      </c>
    </row>
    <row r="40" spans="1:13" ht="55.5" customHeight="1" x14ac:dyDescent="0.25">
      <c r="A40" s="2130"/>
      <c r="B40" s="2127"/>
      <c r="C40" s="66" t="s">
        <v>452</v>
      </c>
      <c r="D40" s="470"/>
      <c r="E40" s="470"/>
      <c r="F40" s="470">
        <v>5175000</v>
      </c>
      <c r="G40" s="470"/>
      <c r="H40" s="470"/>
      <c r="I40" s="470"/>
      <c r="J40" s="470"/>
      <c r="K40" s="56">
        <f t="shared" si="1"/>
        <v>5175000</v>
      </c>
      <c r="L40" s="286">
        <v>5175000</v>
      </c>
      <c r="M40" s="175">
        <f t="shared" si="0"/>
        <v>0</v>
      </c>
    </row>
    <row r="41" spans="1:13" ht="55.5" customHeight="1" x14ac:dyDescent="0.25">
      <c r="A41" s="2130"/>
      <c r="B41" s="2127"/>
      <c r="C41" s="66" t="s">
        <v>454</v>
      </c>
      <c r="D41" s="470"/>
      <c r="E41" s="470"/>
      <c r="F41" s="470">
        <v>4805000</v>
      </c>
      <c r="G41" s="470"/>
      <c r="H41" s="470"/>
      <c r="I41" s="470"/>
      <c r="J41" s="470"/>
      <c r="K41" s="56">
        <f t="shared" si="1"/>
        <v>4805000</v>
      </c>
      <c r="L41" s="286">
        <v>4805000</v>
      </c>
      <c r="M41" s="175">
        <f t="shared" si="0"/>
        <v>0</v>
      </c>
    </row>
    <row r="42" spans="1:13" ht="52.5" customHeight="1" x14ac:dyDescent="0.25">
      <c r="A42" s="2130"/>
      <c r="B42" s="2127"/>
      <c r="C42" s="66" t="s">
        <v>456</v>
      </c>
      <c r="D42" s="470"/>
      <c r="E42" s="470"/>
      <c r="F42" s="470">
        <v>1575000</v>
      </c>
      <c r="G42" s="470"/>
      <c r="H42" s="470"/>
      <c r="I42" s="470"/>
      <c r="J42" s="470"/>
      <c r="K42" s="56">
        <f t="shared" si="1"/>
        <v>1575000</v>
      </c>
      <c r="L42" s="286">
        <v>1575000</v>
      </c>
      <c r="M42" s="175">
        <f t="shared" si="0"/>
        <v>0</v>
      </c>
    </row>
    <row r="43" spans="1:13" ht="75" customHeight="1" x14ac:dyDescent="0.25">
      <c r="A43" s="2131"/>
      <c r="B43" s="2128"/>
      <c r="C43" s="66" t="s">
        <v>437</v>
      </c>
      <c r="D43" s="470"/>
      <c r="E43" s="470"/>
      <c r="F43" s="470">
        <v>1625000</v>
      </c>
      <c r="G43" s="470"/>
      <c r="H43" s="470"/>
      <c r="I43" s="470"/>
      <c r="J43" s="470"/>
      <c r="K43" s="56">
        <f t="shared" si="1"/>
        <v>1625000</v>
      </c>
      <c r="L43" s="286">
        <v>1625000</v>
      </c>
      <c r="M43" s="175">
        <f t="shared" si="0"/>
        <v>0</v>
      </c>
    </row>
    <row r="44" spans="1:13" s="495" customFormat="1" ht="78.75" customHeight="1" x14ac:dyDescent="0.25">
      <c r="A44" s="2129" t="s">
        <v>1638</v>
      </c>
      <c r="B44" s="2126" t="s">
        <v>636</v>
      </c>
      <c r="C44" s="496" t="s">
        <v>639</v>
      </c>
      <c r="D44" s="497">
        <v>83641100</v>
      </c>
      <c r="E44" s="470">
        <v>266836957.09</v>
      </c>
      <c r="F44" s="470"/>
      <c r="G44" s="470"/>
      <c r="H44" s="470"/>
      <c r="I44" s="470"/>
      <c r="J44" s="470"/>
      <c r="K44" s="56">
        <f t="shared" si="1"/>
        <v>350478057.09000003</v>
      </c>
      <c r="L44" s="286">
        <v>350478057.08999997</v>
      </c>
      <c r="M44" s="175">
        <f>K44-L44</f>
        <v>0</v>
      </c>
    </row>
    <row r="45" spans="1:13" s="495" customFormat="1" ht="60" customHeight="1" x14ac:dyDescent="0.25">
      <c r="A45" s="2130"/>
      <c r="B45" s="2127"/>
      <c r="C45" s="498" t="s">
        <v>1504</v>
      </c>
      <c r="D45" s="470"/>
      <c r="E45" s="470">
        <v>31108540</v>
      </c>
      <c r="F45" s="470"/>
      <c r="G45" s="470"/>
      <c r="H45" s="470"/>
      <c r="I45" s="470"/>
      <c r="J45" s="470"/>
      <c r="K45" s="56">
        <f t="shared" si="1"/>
        <v>31108540</v>
      </c>
      <c r="L45" s="286">
        <v>31108540</v>
      </c>
      <c r="M45" s="175">
        <f t="shared" ref="M45:M85" si="3">K45-L45</f>
        <v>0</v>
      </c>
    </row>
    <row r="46" spans="1:13" ht="60" customHeight="1" x14ac:dyDescent="0.25">
      <c r="A46" s="2130"/>
      <c r="B46" s="2127"/>
      <c r="C46" s="496" t="s">
        <v>1527</v>
      </c>
      <c r="D46" s="470"/>
      <c r="E46" s="470"/>
      <c r="F46" s="470">
        <v>211772294</v>
      </c>
      <c r="G46" s="470"/>
      <c r="H46" s="470"/>
      <c r="I46" s="470"/>
      <c r="J46" s="470"/>
      <c r="K46" s="56">
        <f t="shared" si="1"/>
        <v>211772294</v>
      </c>
      <c r="L46" s="286">
        <v>211772294</v>
      </c>
      <c r="M46" s="175">
        <f t="shared" si="3"/>
        <v>0</v>
      </c>
    </row>
    <row r="47" spans="1:13" ht="60" customHeight="1" x14ac:dyDescent="0.25">
      <c r="A47" s="2130"/>
      <c r="B47" s="2127"/>
      <c r="C47" s="496" t="s">
        <v>783</v>
      </c>
      <c r="D47" s="470"/>
      <c r="E47" s="470">
        <v>16110000</v>
      </c>
      <c r="F47" s="470"/>
      <c r="G47" s="470"/>
      <c r="H47" s="470"/>
      <c r="I47" s="470"/>
      <c r="J47" s="470"/>
      <c r="K47" s="56">
        <f t="shared" si="1"/>
        <v>16110000</v>
      </c>
      <c r="L47" s="286">
        <v>16110000</v>
      </c>
      <c r="M47" s="175">
        <f t="shared" si="3"/>
        <v>0</v>
      </c>
    </row>
    <row r="48" spans="1:13" ht="60" customHeight="1" x14ac:dyDescent="0.25">
      <c r="A48" s="2130"/>
      <c r="B48" s="2127"/>
      <c r="C48" s="496" t="s">
        <v>807</v>
      </c>
      <c r="D48" s="470"/>
      <c r="E48" s="470"/>
      <c r="F48" s="470">
        <v>249118000</v>
      </c>
      <c r="G48" s="470"/>
      <c r="H48" s="470"/>
      <c r="I48" s="470"/>
      <c r="J48" s="470"/>
      <c r="K48" s="56">
        <f t="shared" si="1"/>
        <v>249118000</v>
      </c>
      <c r="L48" s="286">
        <v>249118000</v>
      </c>
      <c r="M48" s="175">
        <f t="shared" si="3"/>
        <v>0</v>
      </c>
    </row>
    <row r="49" spans="1:13" ht="60" customHeight="1" x14ac:dyDescent="0.25">
      <c r="A49" s="2130"/>
      <c r="B49" s="2127"/>
      <c r="C49" s="496" t="s">
        <v>811</v>
      </c>
      <c r="D49" s="470"/>
      <c r="E49" s="470">
        <v>4230000</v>
      </c>
      <c r="F49" s="470"/>
      <c r="G49" s="470"/>
      <c r="H49" s="470"/>
      <c r="I49" s="470"/>
      <c r="J49" s="470"/>
      <c r="K49" s="56">
        <f t="shared" si="1"/>
        <v>4230000</v>
      </c>
      <c r="L49" s="286">
        <v>4230000</v>
      </c>
      <c r="M49" s="175">
        <f t="shared" si="3"/>
        <v>0</v>
      </c>
    </row>
    <row r="50" spans="1:13" ht="60" customHeight="1" x14ac:dyDescent="0.25">
      <c r="A50" s="2130"/>
      <c r="B50" s="2127"/>
      <c r="C50" s="496" t="s">
        <v>906</v>
      </c>
      <c r="D50" s="470"/>
      <c r="E50" s="470"/>
      <c r="F50" s="470">
        <v>56775000</v>
      </c>
      <c r="G50" s="470"/>
      <c r="H50" s="470"/>
      <c r="I50" s="470"/>
      <c r="J50" s="470"/>
      <c r="K50" s="56">
        <f t="shared" si="1"/>
        <v>56775000</v>
      </c>
      <c r="L50" s="286">
        <v>56775000</v>
      </c>
      <c r="M50" s="175">
        <f t="shared" si="3"/>
        <v>0</v>
      </c>
    </row>
    <row r="51" spans="1:13" ht="60" customHeight="1" x14ac:dyDescent="0.25">
      <c r="A51" s="2130"/>
      <c r="B51" s="2127"/>
      <c r="C51" s="496" t="s">
        <v>821</v>
      </c>
      <c r="D51" s="470"/>
      <c r="E51" s="470">
        <v>8340000</v>
      </c>
      <c r="F51" s="470"/>
      <c r="G51" s="470"/>
      <c r="H51" s="470"/>
      <c r="I51" s="470"/>
      <c r="J51" s="470"/>
      <c r="K51" s="56">
        <f t="shared" si="1"/>
        <v>8340000</v>
      </c>
      <c r="L51" s="286">
        <v>8340000</v>
      </c>
      <c r="M51" s="175">
        <f t="shared" si="3"/>
        <v>0</v>
      </c>
    </row>
    <row r="52" spans="1:13" ht="60" customHeight="1" x14ac:dyDescent="0.25">
      <c r="A52" s="2130"/>
      <c r="B52" s="2127"/>
      <c r="C52" s="496" t="s">
        <v>823</v>
      </c>
      <c r="D52" s="470"/>
      <c r="E52" s="470"/>
      <c r="F52" s="470">
        <v>1830000</v>
      </c>
      <c r="G52" s="470"/>
      <c r="H52" s="470"/>
      <c r="I52" s="470"/>
      <c r="J52" s="470"/>
      <c r="K52" s="56">
        <f t="shared" si="1"/>
        <v>1830000</v>
      </c>
      <c r="L52" s="286">
        <v>1830000</v>
      </c>
      <c r="M52" s="175">
        <f t="shared" si="3"/>
        <v>0</v>
      </c>
    </row>
    <row r="53" spans="1:13" ht="60" customHeight="1" x14ac:dyDescent="0.25">
      <c r="A53" s="2130"/>
      <c r="B53" s="2127"/>
      <c r="C53" s="496" t="s">
        <v>837</v>
      </c>
      <c r="D53" s="470"/>
      <c r="E53" s="470">
        <v>2740000</v>
      </c>
      <c r="F53" s="470"/>
      <c r="G53" s="470"/>
      <c r="H53" s="470"/>
      <c r="I53" s="470"/>
      <c r="J53" s="470"/>
      <c r="K53" s="56">
        <f t="shared" si="1"/>
        <v>2740000</v>
      </c>
      <c r="L53" s="286">
        <v>2740000</v>
      </c>
      <c r="M53" s="175">
        <f t="shared" si="3"/>
        <v>0</v>
      </c>
    </row>
    <row r="54" spans="1:13" ht="60" customHeight="1" x14ac:dyDescent="0.25">
      <c r="A54" s="2130"/>
      <c r="B54" s="2127"/>
      <c r="C54" s="496" t="e">
        <f>'BID II'!#REF!</f>
        <v>#REF!</v>
      </c>
      <c r="D54" s="470"/>
      <c r="E54" s="470" t="e">
        <f>'BID II'!#REF!</f>
        <v>#REF!</v>
      </c>
      <c r="F54" s="470"/>
      <c r="G54" s="470"/>
      <c r="H54" s="470"/>
      <c r="I54" s="470"/>
      <c r="J54" s="470"/>
      <c r="K54" s="56"/>
      <c r="L54" s="286"/>
      <c r="M54" s="175"/>
    </row>
    <row r="55" spans="1:13" ht="60" customHeight="1" x14ac:dyDescent="0.25">
      <c r="A55" s="2130"/>
      <c r="B55" s="2127"/>
      <c r="C55" s="496" t="s">
        <v>847</v>
      </c>
      <c r="D55" s="470"/>
      <c r="E55" s="470">
        <v>19940000</v>
      </c>
      <c r="F55" s="470"/>
      <c r="G55" s="470"/>
      <c r="H55" s="470"/>
      <c r="I55" s="470"/>
      <c r="J55" s="470"/>
      <c r="K55" s="56">
        <f t="shared" si="1"/>
        <v>19940000</v>
      </c>
      <c r="L55" s="286">
        <v>19940000</v>
      </c>
      <c r="M55" s="175">
        <f t="shared" si="3"/>
        <v>0</v>
      </c>
    </row>
    <row r="56" spans="1:13" ht="60" customHeight="1" x14ac:dyDescent="0.25">
      <c r="A56" s="2130"/>
      <c r="B56" s="2127"/>
      <c r="C56" s="496" t="s">
        <v>857</v>
      </c>
      <c r="D56" s="470"/>
      <c r="E56" s="470">
        <v>101104000</v>
      </c>
      <c r="F56" s="470"/>
      <c r="G56" s="470"/>
      <c r="H56" s="470"/>
      <c r="I56" s="470"/>
      <c r="J56" s="470"/>
      <c r="K56" s="56">
        <f t="shared" si="1"/>
        <v>101104000</v>
      </c>
      <c r="L56" s="286">
        <v>101104000</v>
      </c>
      <c r="M56" s="175">
        <f t="shared" si="3"/>
        <v>0</v>
      </c>
    </row>
    <row r="57" spans="1:13" ht="60" customHeight="1" x14ac:dyDescent="0.25">
      <c r="A57" s="2130"/>
      <c r="B57" s="2127"/>
      <c r="C57" s="496" t="s">
        <v>866</v>
      </c>
      <c r="D57" s="470"/>
      <c r="E57" s="470">
        <v>14295000</v>
      </c>
      <c r="F57" s="470"/>
      <c r="G57" s="470"/>
      <c r="H57" s="470"/>
      <c r="I57" s="470"/>
      <c r="J57" s="470"/>
      <c r="K57" s="56">
        <f t="shared" si="1"/>
        <v>14295000</v>
      </c>
      <c r="L57" s="286">
        <v>14295000</v>
      </c>
      <c r="M57" s="175">
        <f t="shared" si="3"/>
        <v>0</v>
      </c>
    </row>
    <row r="58" spans="1:13" ht="60" customHeight="1" x14ac:dyDescent="0.25">
      <c r="A58" s="2130"/>
      <c r="B58" s="2127"/>
      <c r="C58" s="496" t="s">
        <v>873</v>
      </c>
      <c r="D58" s="470"/>
      <c r="E58" s="470"/>
      <c r="F58" s="470">
        <v>17685000</v>
      </c>
      <c r="G58" s="470"/>
      <c r="H58" s="470"/>
      <c r="I58" s="470"/>
      <c r="J58" s="470"/>
      <c r="K58" s="56">
        <f t="shared" si="1"/>
        <v>17685000</v>
      </c>
      <c r="L58" s="286">
        <v>17685000</v>
      </c>
      <c r="M58" s="175">
        <f t="shared" si="3"/>
        <v>0</v>
      </c>
    </row>
    <row r="59" spans="1:13" ht="60" customHeight="1" x14ac:dyDescent="0.25">
      <c r="A59" s="2130"/>
      <c r="B59" s="2127"/>
      <c r="C59" s="496" t="s">
        <v>886</v>
      </c>
      <c r="D59" s="470"/>
      <c r="E59" s="470"/>
      <c r="F59" s="470">
        <v>2665000</v>
      </c>
      <c r="G59" s="470"/>
      <c r="H59" s="470"/>
      <c r="I59" s="470"/>
      <c r="J59" s="470"/>
      <c r="K59" s="56">
        <f t="shared" si="1"/>
        <v>2665000</v>
      </c>
      <c r="L59" s="286">
        <v>2665000</v>
      </c>
      <c r="M59" s="175">
        <f t="shared" si="3"/>
        <v>0</v>
      </c>
    </row>
    <row r="60" spans="1:13" ht="60" customHeight="1" x14ac:dyDescent="0.25">
      <c r="A60" s="2130"/>
      <c r="B60" s="2127"/>
      <c r="C60" s="496" t="s">
        <v>896</v>
      </c>
      <c r="D60" s="470"/>
      <c r="E60" s="470"/>
      <c r="F60" s="470">
        <v>2385000</v>
      </c>
      <c r="G60" s="470"/>
      <c r="H60" s="470"/>
      <c r="I60" s="470"/>
      <c r="J60" s="470"/>
      <c r="K60" s="56">
        <f t="shared" si="1"/>
        <v>2385000</v>
      </c>
      <c r="L60" s="286">
        <v>2385000</v>
      </c>
      <c r="M60" s="175">
        <f t="shared" si="3"/>
        <v>0</v>
      </c>
    </row>
    <row r="61" spans="1:13" ht="60" customHeight="1" x14ac:dyDescent="0.25">
      <c r="A61" s="2130"/>
      <c r="B61" s="2127"/>
      <c r="C61" s="496" t="s">
        <v>903</v>
      </c>
      <c r="D61" s="470"/>
      <c r="E61" s="470">
        <v>1690000</v>
      </c>
      <c r="F61" s="470"/>
      <c r="G61" s="470"/>
      <c r="H61" s="470"/>
      <c r="I61" s="470"/>
      <c r="J61" s="470"/>
      <c r="K61" s="56">
        <f t="shared" si="1"/>
        <v>1690000</v>
      </c>
      <c r="L61" s="286">
        <v>1690000</v>
      </c>
      <c r="M61" s="175">
        <f t="shared" si="3"/>
        <v>0</v>
      </c>
    </row>
    <row r="62" spans="1:13" ht="60" customHeight="1" x14ac:dyDescent="0.25">
      <c r="A62" s="2130"/>
      <c r="B62" s="2127"/>
      <c r="C62" s="496" t="s">
        <v>905</v>
      </c>
      <c r="D62" s="470"/>
      <c r="E62" s="470"/>
      <c r="F62" s="470">
        <v>8040000</v>
      </c>
      <c r="G62" s="470"/>
      <c r="H62" s="470"/>
      <c r="I62" s="470"/>
      <c r="J62" s="470"/>
      <c r="K62" s="56">
        <f t="shared" si="1"/>
        <v>8040000</v>
      </c>
      <c r="L62" s="286">
        <v>8040000</v>
      </c>
      <c r="M62" s="175">
        <f t="shared" si="3"/>
        <v>0</v>
      </c>
    </row>
    <row r="63" spans="1:13" ht="60" customHeight="1" x14ac:dyDescent="0.25">
      <c r="A63" s="2130"/>
      <c r="B63" s="2127"/>
      <c r="C63" s="496" t="s">
        <v>1559</v>
      </c>
      <c r="D63" s="470"/>
      <c r="E63" s="470"/>
      <c r="F63" s="470"/>
      <c r="G63" s="470">
        <v>5757500</v>
      </c>
      <c r="H63" s="470"/>
      <c r="I63" s="470"/>
      <c r="J63" s="470"/>
      <c r="K63" s="56">
        <f t="shared" si="1"/>
        <v>5757500</v>
      </c>
      <c r="L63" s="286">
        <v>5757500</v>
      </c>
      <c r="M63" s="175">
        <f t="shared" si="3"/>
        <v>0</v>
      </c>
    </row>
    <row r="64" spans="1:13" ht="60" customHeight="1" x14ac:dyDescent="0.25">
      <c r="A64" s="2130"/>
      <c r="B64" s="2127"/>
      <c r="C64" s="496" t="s">
        <v>1335</v>
      </c>
      <c r="D64" s="470"/>
      <c r="E64" s="470"/>
      <c r="F64" s="470"/>
      <c r="G64" s="470">
        <v>10455000</v>
      </c>
      <c r="H64" s="470"/>
      <c r="I64" s="470"/>
      <c r="J64" s="470"/>
      <c r="K64" s="56">
        <f t="shared" si="1"/>
        <v>10455000</v>
      </c>
      <c r="L64" s="286">
        <v>10455000</v>
      </c>
      <c r="M64" s="175">
        <f t="shared" si="3"/>
        <v>0</v>
      </c>
    </row>
    <row r="65" spans="1:13" ht="60" customHeight="1" x14ac:dyDescent="0.25">
      <c r="A65" s="2130"/>
      <c r="B65" s="2127"/>
      <c r="C65" s="496" t="s">
        <v>926</v>
      </c>
      <c r="D65" s="470"/>
      <c r="E65" s="470"/>
      <c r="F65" s="470">
        <v>39717600</v>
      </c>
      <c r="G65" s="470"/>
      <c r="H65" s="470"/>
      <c r="I65" s="470"/>
      <c r="J65" s="470"/>
      <c r="K65" s="56">
        <f t="shared" si="1"/>
        <v>39717600</v>
      </c>
      <c r="L65" s="286">
        <v>39717600</v>
      </c>
      <c r="M65" s="175">
        <f t="shared" si="3"/>
        <v>0</v>
      </c>
    </row>
    <row r="66" spans="1:13" ht="60" customHeight="1" x14ac:dyDescent="0.25">
      <c r="A66" s="2130"/>
      <c r="B66" s="2127"/>
      <c r="C66" s="496" t="s">
        <v>959</v>
      </c>
      <c r="D66" s="470"/>
      <c r="E66" s="470"/>
      <c r="F66" s="470">
        <v>43935000</v>
      </c>
      <c r="G66" s="470"/>
      <c r="H66" s="470"/>
      <c r="I66" s="470"/>
      <c r="J66" s="470"/>
      <c r="K66" s="56">
        <f t="shared" si="1"/>
        <v>43935000</v>
      </c>
      <c r="L66" s="286">
        <v>43935000</v>
      </c>
      <c r="M66" s="175">
        <f t="shared" si="3"/>
        <v>0</v>
      </c>
    </row>
    <row r="67" spans="1:13" ht="60" customHeight="1" x14ac:dyDescent="0.25">
      <c r="A67" s="2130"/>
      <c r="B67" s="2127"/>
      <c r="C67" s="496" t="s">
        <v>975</v>
      </c>
      <c r="D67" s="470"/>
      <c r="E67" s="470"/>
      <c r="F67" s="470"/>
      <c r="G67" s="470">
        <v>6127385</v>
      </c>
      <c r="H67" s="470"/>
      <c r="I67" s="470"/>
      <c r="J67" s="470"/>
      <c r="K67" s="56">
        <f t="shared" si="1"/>
        <v>6127385</v>
      </c>
      <c r="L67" s="286">
        <v>6127385</v>
      </c>
      <c r="M67" s="175">
        <f t="shared" si="3"/>
        <v>0</v>
      </c>
    </row>
    <row r="68" spans="1:13" ht="60" customHeight="1" x14ac:dyDescent="0.25">
      <c r="A68" s="2130"/>
      <c r="B68" s="2127"/>
      <c r="C68" s="496" t="s">
        <v>979</v>
      </c>
      <c r="D68" s="470"/>
      <c r="E68" s="470">
        <v>159718000</v>
      </c>
      <c r="F68" s="470"/>
      <c r="G68" s="470"/>
      <c r="H68" s="470"/>
      <c r="I68" s="470"/>
      <c r="J68" s="470"/>
      <c r="K68" s="56">
        <f t="shared" si="1"/>
        <v>159718000</v>
      </c>
      <c r="L68" s="286">
        <v>159718000</v>
      </c>
      <c r="M68" s="175">
        <f t="shared" si="3"/>
        <v>0</v>
      </c>
    </row>
    <row r="69" spans="1:13" ht="60" customHeight="1" x14ac:dyDescent="0.25">
      <c r="A69" s="2130"/>
      <c r="B69" s="2127"/>
      <c r="C69" s="496" t="s">
        <v>981</v>
      </c>
      <c r="D69" s="470"/>
      <c r="E69" s="470"/>
      <c r="F69" s="470">
        <v>32465000</v>
      </c>
      <c r="G69" s="470"/>
      <c r="H69" s="470"/>
      <c r="I69" s="470"/>
      <c r="J69" s="470"/>
      <c r="K69" s="56">
        <f t="shared" si="1"/>
        <v>32465000</v>
      </c>
      <c r="L69" s="286">
        <v>32465000</v>
      </c>
      <c r="M69" s="175">
        <f t="shared" si="3"/>
        <v>0</v>
      </c>
    </row>
    <row r="70" spans="1:13" ht="60" customHeight="1" x14ac:dyDescent="0.25">
      <c r="A70" s="2130"/>
      <c r="B70" s="2127"/>
      <c r="C70" s="496" t="s">
        <v>982</v>
      </c>
      <c r="D70" s="470"/>
      <c r="E70" s="470"/>
      <c r="F70" s="470">
        <v>3810000</v>
      </c>
      <c r="G70" s="470"/>
      <c r="H70" s="470"/>
      <c r="I70" s="470"/>
      <c r="J70" s="470"/>
      <c r="K70" s="56">
        <f t="shared" si="1"/>
        <v>3810000</v>
      </c>
      <c r="L70" s="286">
        <v>3810000</v>
      </c>
      <c r="M70" s="175">
        <f t="shared" si="3"/>
        <v>0</v>
      </c>
    </row>
    <row r="71" spans="1:13" ht="60" customHeight="1" x14ac:dyDescent="0.25">
      <c r="A71" s="2130"/>
      <c r="B71" s="2127"/>
      <c r="C71" s="496" t="s">
        <v>983</v>
      </c>
      <c r="D71" s="470"/>
      <c r="E71" s="470"/>
      <c r="F71" s="470">
        <v>65986000</v>
      </c>
      <c r="G71" s="470"/>
      <c r="H71" s="470"/>
      <c r="I71" s="470"/>
      <c r="J71" s="470"/>
      <c r="K71" s="56">
        <f t="shared" si="1"/>
        <v>65986000</v>
      </c>
      <c r="L71" s="286">
        <v>65986000</v>
      </c>
      <c r="M71" s="175">
        <f t="shared" si="3"/>
        <v>0</v>
      </c>
    </row>
    <row r="72" spans="1:13" ht="60" customHeight="1" x14ac:dyDescent="0.25">
      <c r="A72" s="2130"/>
      <c r="B72" s="2127"/>
      <c r="C72" s="496" t="s">
        <v>985</v>
      </c>
      <c r="D72" s="470"/>
      <c r="E72" s="470"/>
      <c r="F72" s="470">
        <v>32456000</v>
      </c>
      <c r="G72" s="470"/>
      <c r="H72" s="470"/>
      <c r="I72" s="470"/>
      <c r="J72" s="470"/>
      <c r="K72" s="56">
        <f t="shared" si="1"/>
        <v>32456000</v>
      </c>
      <c r="L72" s="286">
        <v>32456000</v>
      </c>
      <c r="M72" s="175">
        <f t="shared" si="3"/>
        <v>0</v>
      </c>
    </row>
    <row r="73" spans="1:13" ht="60" customHeight="1" x14ac:dyDescent="0.25">
      <c r="A73" s="2130"/>
      <c r="B73" s="2127"/>
      <c r="C73" s="496" t="s">
        <v>986</v>
      </c>
      <c r="D73" s="470"/>
      <c r="E73" s="470"/>
      <c r="F73" s="470">
        <v>48067000</v>
      </c>
      <c r="G73" s="470"/>
      <c r="H73" s="470"/>
      <c r="I73" s="470"/>
      <c r="J73" s="470"/>
      <c r="K73" s="56">
        <f t="shared" si="1"/>
        <v>48067000</v>
      </c>
      <c r="L73" s="286">
        <v>48067000</v>
      </c>
      <c r="M73" s="175">
        <f t="shared" si="3"/>
        <v>0</v>
      </c>
    </row>
    <row r="74" spans="1:13" ht="60" customHeight="1" x14ac:dyDescent="0.25">
      <c r="A74" s="2130"/>
      <c r="B74" s="2127"/>
      <c r="C74" s="496" t="s">
        <v>987</v>
      </c>
      <c r="D74" s="470"/>
      <c r="E74" s="470"/>
      <c r="F74" s="470">
        <v>92270100</v>
      </c>
      <c r="G74" s="470"/>
      <c r="H74" s="470"/>
      <c r="I74" s="470"/>
      <c r="J74" s="470"/>
      <c r="K74" s="56">
        <f t="shared" si="1"/>
        <v>92270100</v>
      </c>
      <c r="L74" s="286">
        <v>92270100</v>
      </c>
      <c r="M74" s="175">
        <f t="shared" si="3"/>
        <v>0</v>
      </c>
    </row>
    <row r="75" spans="1:13" ht="60" customHeight="1" x14ac:dyDescent="0.25">
      <c r="A75" s="2130"/>
      <c r="B75" s="2127"/>
      <c r="C75" s="496" t="s">
        <v>1499</v>
      </c>
      <c r="D75" s="470"/>
      <c r="E75" s="470">
        <v>30140000</v>
      </c>
      <c r="F75" s="470"/>
      <c r="G75" s="470"/>
      <c r="H75" s="470"/>
      <c r="I75" s="470"/>
      <c r="J75" s="470"/>
      <c r="K75" s="56">
        <f t="shared" si="1"/>
        <v>30140000</v>
      </c>
      <c r="L75" s="286">
        <v>30140000</v>
      </c>
      <c r="M75" s="175">
        <f t="shared" si="3"/>
        <v>0</v>
      </c>
    </row>
    <row r="76" spans="1:13" ht="60" customHeight="1" x14ac:dyDescent="0.25">
      <c r="A76" s="2130"/>
      <c r="B76" s="2127"/>
      <c r="C76" s="496" t="s">
        <v>1500</v>
      </c>
      <c r="D76" s="470"/>
      <c r="E76" s="470"/>
      <c r="F76" s="470">
        <v>37420000</v>
      </c>
      <c r="G76" s="470"/>
      <c r="H76" s="470"/>
      <c r="I76" s="470"/>
      <c r="J76" s="470"/>
      <c r="K76" s="56">
        <f t="shared" si="1"/>
        <v>37420000</v>
      </c>
      <c r="L76" s="286">
        <v>37420000</v>
      </c>
      <c r="M76" s="175">
        <f t="shared" si="3"/>
        <v>0</v>
      </c>
    </row>
    <row r="77" spans="1:13" s="495" customFormat="1" ht="60" customHeight="1" x14ac:dyDescent="0.25">
      <c r="A77" s="2130"/>
      <c r="B77" s="2127"/>
      <c r="C77" s="496" t="s">
        <v>1044</v>
      </c>
      <c r="D77" s="470"/>
      <c r="E77" s="470"/>
      <c r="F77" s="470">
        <v>497699000</v>
      </c>
      <c r="G77" s="470"/>
      <c r="H77" s="470"/>
      <c r="I77" s="470"/>
      <c r="J77" s="470"/>
      <c r="K77" s="56">
        <f t="shared" si="1"/>
        <v>497699000</v>
      </c>
      <c r="L77" s="286">
        <v>497699000</v>
      </c>
      <c r="M77" s="175">
        <f t="shared" si="3"/>
        <v>0</v>
      </c>
    </row>
    <row r="78" spans="1:13" ht="60" customHeight="1" x14ac:dyDescent="0.25">
      <c r="A78" s="2130"/>
      <c r="B78" s="2127"/>
      <c r="C78" s="496" t="s">
        <v>1049</v>
      </c>
      <c r="D78" s="470"/>
      <c r="E78" s="470">
        <v>26276950</v>
      </c>
      <c r="F78" s="470"/>
      <c r="G78" s="470"/>
      <c r="H78" s="470"/>
      <c r="I78" s="470"/>
      <c r="J78" s="470"/>
      <c r="K78" s="56">
        <f t="shared" si="1"/>
        <v>26276950</v>
      </c>
      <c r="L78" s="286">
        <v>26276950</v>
      </c>
      <c r="M78" s="175">
        <f t="shared" si="3"/>
        <v>0</v>
      </c>
    </row>
    <row r="79" spans="1:13" ht="60" customHeight="1" x14ac:dyDescent="0.25">
      <c r="A79" s="2130"/>
      <c r="B79" s="2127"/>
      <c r="C79" s="496" t="s">
        <v>1078</v>
      </c>
      <c r="D79" s="470"/>
      <c r="E79" s="470"/>
      <c r="F79" s="470">
        <v>54936000</v>
      </c>
      <c r="G79" s="470"/>
      <c r="H79" s="470"/>
      <c r="I79" s="470"/>
      <c r="J79" s="470"/>
      <c r="K79" s="56">
        <f t="shared" ref="K79:K125" si="4">SUM(D79:J79)</f>
        <v>54936000</v>
      </c>
      <c r="L79" s="286">
        <v>54936000</v>
      </c>
      <c r="M79" s="175">
        <f t="shared" si="3"/>
        <v>0</v>
      </c>
    </row>
    <row r="80" spans="1:13" ht="83.25" customHeight="1" x14ac:dyDescent="0.25">
      <c r="A80" s="2130"/>
      <c r="B80" s="2127"/>
      <c r="C80" s="496" t="s">
        <v>1502</v>
      </c>
      <c r="D80" s="470"/>
      <c r="E80" s="470"/>
      <c r="F80" s="470">
        <v>2830000</v>
      </c>
      <c r="G80" s="470"/>
      <c r="H80" s="470"/>
      <c r="I80" s="470"/>
      <c r="J80" s="470"/>
      <c r="K80" s="56">
        <f t="shared" si="4"/>
        <v>2830000</v>
      </c>
      <c r="L80" s="286">
        <v>2830000</v>
      </c>
      <c r="M80" s="175">
        <f t="shared" si="3"/>
        <v>0</v>
      </c>
    </row>
    <row r="81" spans="1:13" ht="60" customHeight="1" x14ac:dyDescent="0.25">
      <c r="A81" s="2130"/>
      <c r="B81" s="2127"/>
      <c r="C81" s="496" t="s">
        <v>1503</v>
      </c>
      <c r="D81" s="470"/>
      <c r="E81" s="470"/>
      <c r="F81" s="470"/>
      <c r="G81" s="470">
        <v>30750000</v>
      </c>
      <c r="H81" s="470"/>
      <c r="I81" s="470"/>
      <c r="J81" s="470"/>
      <c r="K81" s="56">
        <f t="shared" si="4"/>
        <v>30750000</v>
      </c>
      <c r="L81" s="286">
        <v>30750000</v>
      </c>
      <c r="M81" s="175">
        <f t="shared" si="3"/>
        <v>0</v>
      </c>
    </row>
    <row r="82" spans="1:13" ht="79.5" customHeight="1" x14ac:dyDescent="0.25">
      <c r="A82" s="2130"/>
      <c r="B82" s="2127"/>
      <c r="C82" s="496" t="s">
        <v>1497</v>
      </c>
      <c r="D82" s="470"/>
      <c r="E82" s="470"/>
      <c r="F82" s="470"/>
      <c r="G82" s="470">
        <v>70725000</v>
      </c>
      <c r="H82" s="470"/>
      <c r="I82" s="470"/>
      <c r="J82" s="470"/>
      <c r="K82" s="56">
        <f t="shared" si="4"/>
        <v>70725000</v>
      </c>
      <c r="L82" s="286">
        <v>70725000</v>
      </c>
      <c r="M82" s="175">
        <f t="shared" si="3"/>
        <v>0</v>
      </c>
    </row>
    <row r="83" spans="1:13" ht="60" customHeight="1" x14ac:dyDescent="0.25">
      <c r="A83" s="2130"/>
      <c r="B83" s="2127"/>
      <c r="C83" s="496" t="s">
        <v>1528</v>
      </c>
      <c r="D83" s="470"/>
      <c r="E83" s="470"/>
      <c r="F83" s="470"/>
      <c r="G83" s="470">
        <v>24539726.899999999</v>
      </c>
      <c r="H83" s="470"/>
      <c r="I83" s="470"/>
      <c r="J83" s="470"/>
      <c r="K83" s="56">
        <f t="shared" si="4"/>
        <v>24539726.899999999</v>
      </c>
      <c r="L83" s="286">
        <v>24539726.899999999</v>
      </c>
      <c r="M83" s="175">
        <f t="shared" si="3"/>
        <v>0</v>
      </c>
    </row>
    <row r="84" spans="1:13" ht="60" customHeight="1" x14ac:dyDescent="0.25">
      <c r="A84" s="2130"/>
      <c r="B84" s="2127"/>
      <c r="C84" s="496" t="s">
        <v>1437</v>
      </c>
      <c r="D84" s="470"/>
      <c r="E84" s="470"/>
      <c r="F84" s="470">
        <v>29510800</v>
      </c>
      <c r="G84" s="470"/>
      <c r="H84" s="470"/>
      <c r="I84" s="470"/>
      <c r="J84" s="470"/>
      <c r="K84" s="56">
        <f t="shared" si="4"/>
        <v>29510800</v>
      </c>
      <c r="L84" s="286">
        <v>29510800</v>
      </c>
      <c r="M84" s="175">
        <f t="shared" si="3"/>
        <v>0</v>
      </c>
    </row>
    <row r="85" spans="1:13" ht="60" customHeight="1" x14ac:dyDescent="0.25">
      <c r="A85" s="2131"/>
      <c r="B85" s="2128"/>
      <c r="C85" s="496" t="s">
        <v>1082</v>
      </c>
      <c r="D85" s="470"/>
      <c r="E85" s="470"/>
      <c r="F85" s="470"/>
      <c r="G85" s="470">
        <v>3000000</v>
      </c>
      <c r="H85" s="470"/>
      <c r="I85" s="470"/>
      <c r="J85" s="470"/>
      <c r="K85" s="56">
        <f t="shared" si="4"/>
        <v>3000000</v>
      </c>
      <c r="L85" s="286">
        <v>3000000</v>
      </c>
      <c r="M85" s="175">
        <f t="shared" si="3"/>
        <v>0</v>
      </c>
    </row>
    <row r="86" spans="1:13" s="495" customFormat="1" ht="80.25" customHeight="1" x14ac:dyDescent="0.25">
      <c r="A86" s="2129" t="s">
        <v>1639</v>
      </c>
      <c r="B86" s="2126" t="s">
        <v>1381</v>
      </c>
      <c r="C86" s="66" t="s">
        <v>1091</v>
      </c>
      <c r="D86" s="470"/>
      <c r="E86" s="470"/>
      <c r="F86" s="470">
        <v>6765000</v>
      </c>
      <c r="G86" s="470"/>
      <c r="H86" s="470"/>
      <c r="I86" s="470"/>
      <c r="J86" s="470"/>
      <c r="K86" s="56">
        <f t="shared" si="4"/>
        <v>6765000</v>
      </c>
      <c r="L86" s="286">
        <v>6765000</v>
      </c>
      <c r="M86" s="175">
        <f>K86-L86</f>
        <v>0</v>
      </c>
    </row>
    <row r="87" spans="1:13" ht="75.75" customHeight="1" x14ac:dyDescent="0.25">
      <c r="A87" s="2130"/>
      <c r="B87" s="2127"/>
      <c r="C87" s="66" t="s">
        <v>1099</v>
      </c>
      <c r="D87" s="470"/>
      <c r="E87" s="470"/>
      <c r="F87" s="470">
        <v>8065000</v>
      </c>
      <c r="G87" s="470"/>
      <c r="H87" s="470"/>
      <c r="I87" s="470"/>
      <c r="J87" s="470"/>
      <c r="K87" s="56">
        <f t="shared" si="4"/>
        <v>8065000</v>
      </c>
      <c r="L87" s="286">
        <v>8065000</v>
      </c>
      <c r="M87" s="175">
        <f t="shared" ref="M87:M112" si="5">K87-L87</f>
        <v>0</v>
      </c>
    </row>
    <row r="88" spans="1:13" s="495" customFormat="1" ht="104.25" customHeight="1" x14ac:dyDescent="0.25">
      <c r="A88" s="2130"/>
      <c r="B88" s="2127"/>
      <c r="C88" s="66" t="s">
        <v>1626</v>
      </c>
      <c r="D88" s="470"/>
      <c r="E88" s="470"/>
      <c r="F88" s="470">
        <v>41030000</v>
      </c>
      <c r="G88" s="470"/>
      <c r="H88" s="470"/>
      <c r="I88" s="470"/>
      <c r="J88" s="470"/>
      <c r="K88" s="56">
        <f t="shared" si="4"/>
        <v>41030000</v>
      </c>
      <c r="L88" s="286">
        <v>41030000</v>
      </c>
      <c r="M88" s="175">
        <f t="shared" si="5"/>
        <v>0</v>
      </c>
    </row>
    <row r="89" spans="1:13" s="495" customFormat="1" ht="100.5" customHeight="1" x14ac:dyDescent="0.25">
      <c r="A89" s="2130"/>
      <c r="B89" s="2127"/>
      <c r="C89" s="66" t="s">
        <v>1106</v>
      </c>
      <c r="D89" s="470"/>
      <c r="E89" s="470"/>
      <c r="F89" s="470"/>
      <c r="G89" s="470">
        <v>300665000</v>
      </c>
      <c r="H89" s="470"/>
      <c r="I89" s="470"/>
      <c r="J89" s="470"/>
      <c r="K89" s="56">
        <f t="shared" si="4"/>
        <v>300665000</v>
      </c>
      <c r="L89" s="286">
        <v>300665000</v>
      </c>
      <c r="M89" s="175">
        <f t="shared" si="5"/>
        <v>0</v>
      </c>
    </row>
    <row r="90" spans="1:13" s="495" customFormat="1" ht="60" customHeight="1" x14ac:dyDescent="0.25">
      <c r="A90" s="2130"/>
      <c r="B90" s="2127"/>
      <c r="C90" s="66" t="s">
        <v>1390</v>
      </c>
      <c r="D90" s="470"/>
      <c r="E90" s="470"/>
      <c r="F90" s="470"/>
      <c r="G90" s="470">
        <v>3080000</v>
      </c>
      <c r="H90" s="470"/>
      <c r="I90" s="470"/>
      <c r="J90" s="470"/>
      <c r="K90" s="56">
        <f t="shared" si="4"/>
        <v>3080000</v>
      </c>
      <c r="L90" s="286">
        <v>3080000</v>
      </c>
      <c r="M90" s="175">
        <f t="shared" si="5"/>
        <v>0</v>
      </c>
    </row>
    <row r="91" spans="1:13" s="495" customFormat="1" ht="60" customHeight="1" x14ac:dyDescent="0.25">
      <c r="A91" s="2130"/>
      <c r="B91" s="2127"/>
      <c r="C91" s="66" t="s">
        <v>1119</v>
      </c>
      <c r="D91" s="470"/>
      <c r="E91" s="470"/>
      <c r="F91" s="470"/>
      <c r="G91" s="286">
        <v>5048000</v>
      </c>
      <c r="H91" s="470"/>
      <c r="I91" s="470"/>
      <c r="J91" s="470"/>
      <c r="K91" s="56">
        <f t="shared" si="4"/>
        <v>5048000</v>
      </c>
      <c r="L91" s="286">
        <v>5048000</v>
      </c>
      <c r="M91" s="175">
        <f t="shared" si="5"/>
        <v>0</v>
      </c>
    </row>
    <row r="92" spans="1:13" s="495" customFormat="1" ht="60" customHeight="1" x14ac:dyDescent="0.25">
      <c r="A92" s="2130"/>
      <c r="B92" s="2127"/>
      <c r="C92" s="66" t="s">
        <v>1248</v>
      </c>
      <c r="D92" s="470"/>
      <c r="E92" s="470"/>
      <c r="F92" s="470"/>
      <c r="G92" s="286">
        <v>249750000</v>
      </c>
      <c r="H92" s="470"/>
      <c r="I92" s="470"/>
      <c r="J92" s="470"/>
      <c r="K92" s="56">
        <f t="shared" si="4"/>
        <v>249750000</v>
      </c>
      <c r="L92" s="286">
        <v>249750000</v>
      </c>
      <c r="M92" s="175">
        <f t="shared" si="5"/>
        <v>0</v>
      </c>
    </row>
    <row r="93" spans="1:13" s="495" customFormat="1" ht="60" customHeight="1" x14ac:dyDescent="0.25">
      <c r="A93" s="2130"/>
      <c r="B93" s="2127"/>
      <c r="C93" s="66" t="s">
        <v>1139</v>
      </c>
      <c r="D93" s="470"/>
      <c r="E93" s="470"/>
      <c r="F93" s="470"/>
      <c r="G93" s="286">
        <v>18365000</v>
      </c>
      <c r="H93" s="470"/>
      <c r="I93" s="470"/>
      <c r="J93" s="470"/>
      <c r="K93" s="56">
        <f t="shared" si="4"/>
        <v>18365000</v>
      </c>
      <c r="L93" s="286">
        <v>18365000</v>
      </c>
      <c r="M93" s="175">
        <f t="shared" si="5"/>
        <v>0</v>
      </c>
    </row>
    <row r="94" spans="1:13" s="495" customFormat="1" ht="60" customHeight="1" x14ac:dyDescent="0.25">
      <c r="A94" s="2130"/>
      <c r="B94" s="2127"/>
      <c r="C94" s="66" t="s">
        <v>1152</v>
      </c>
      <c r="D94" s="470"/>
      <c r="E94" s="470"/>
      <c r="F94" s="470"/>
      <c r="G94" s="286">
        <v>20480000</v>
      </c>
      <c r="H94" s="470"/>
      <c r="I94" s="470"/>
      <c r="J94" s="470"/>
      <c r="K94" s="56">
        <f t="shared" si="4"/>
        <v>20480000</v>
      </c>
      <c r="L94" s="286">
        <v>20480000</v>
      </c>
      <c r="M94" s="175">
        <f t="shared" si="5"/>
        <v>0</v>
      </c>
    </row>
    <row r="95" spans="1:13" s="495" customFormat="1" ht="60" customHeight="1" x14ac:dyDescent="0.25">
      <c r="A95" s="2130"/>
      <c r="B95" s="2127"/>
      <c r="C95" s="66" t="s">
        <v>1391</v>
      </c>
      <c r="D95" s="470"/>
      <c r="E95" s="470"/>
      <c r="F95" s="286">
        <v>23625000</v>
      </c>
      <c r="G95" s="470"/>
      <c r="H95" s="470"/>
      <c r="I95" s="470"/>
      <c r="J95" s="470"/>
      <c r="K95" s="56">
        <f t="shared" si="4"/>
        <v>23625000</v>
      </c>
      <c r="L95" s="286">
        <v>23625000</v>
      </c>
      <c r="M95" s="175">
        <f t="shared" si="5"/>
        <v>0</v>
      </c>
    </row>
    <row r="96" spans="1:13" s="495" customFormat="1" ht="60" customHeight="1" x14ac:dyDescent="0.25">
      <c r="A96" s="2130"/>
      <c r="B96" s="2127"/>
      <c r="C96" s="66" t="s">
        <v>1156</v>
      </c>
      <c r="D96" s="470"/>
      <c r="E96" s="470"/>
      <c r="F96" s="470"/>
      <c r="G96" s="470"/>
      <c r="H96" s="286">
        <v>150000000</v>
      </c>
      <c r="I96" s="470"/>
      <c r="J96" s="470"/>
      <c r="K96" s="56">
        <f t="shared" si="4"/>
        <v>150000000</v>
      </c>
      <c r="L96" s="286">
        <v>150000000</v>
      </c>
      <c r="M96" s="175">
        <f t="shared" si="5"/>
        <v>0</v>
      </c>
    </row>
    <row r="97" spans="1:13" s="495" customFormat="1" ht="60" customHeight="1" x14ac:dyDescent="0.25">
      <c r="A97" s="2130"/>
      <c r="B97" s="2127"/>
      <c r="C97" s="66" t="s">
        <v>1164</v>
      </c>
      <c r="D97" s="470"/>
      <c r="E97" s="470"/>
      <c r="F97" s="470"/>
      <c r="G97" s="470"/>
      <c r="H97" s="470"/>
      <c r="I97" s="286">
        <v>250000000</v>
      </c>
      <c r="J97" s="470"/>
      <c r="K97" s="56">
        <f t="shared" si="4"/>
        <v>250000000</v>
      </c>
      <c r="L97" s="286">
        <v>250000000</v>
      </c>
      <c r="M97" s="175">
        <f t="shared" si="5"/>
        <v>0</v>
      </c>
    </row>
    <row r="98" spans="1:13" s="495" customFormat="1" ht="60" customHeight="1" x14ac:dyDescent="0.25">
      <c r="A98" s="2130"/>
      <c r="B98" s="2127"/>
      <c r="C98" s="66" t="s">
        <v>1176</v>
      </c>
      <c r="D98" s="470"/>
      <c r="E98" s="470"/>
      <c r="F98" s="497"/>
      <c r="G98" s="286">
        <v>134875000</v>
      </c>
      <c r="H98" s="470"/>
      <c r="I98" s="470"/>
      <c r="J98" s="470"/>
      <c r="K98" s="56">
        <f t="shared" si="4"/>
        <v>134875000</v>
      </c>
      <c r="L98" s="286">
        <v>134875000</v>
      </c>
      <c r="M98" s="175">
        <f t="shared" si="5"/>
        <v>0</v>
      </c>
    </row>
    <row r="99" spans="1:13" ht="81" customHeight="1" x14ac:dyDescent="0.25">
      <c r="A99" s="2130"/>
      <c r="B99" s="2127"/>
      <c r="C99" s="66" t="s">
        <v>1227</v>
      </c>
      <c r="D99" s="470"/>
      <c r="E99" s="470"/>
      <c r="F99" s="470"/>
      <c r="G99" s="286">
        <v>72575000</v>
      </c>
      <c r="H99" s="470"/>
      <c r="I99" s="470"/>
      <c r="J99" s="470"/>
      <c r="K99" s="56">
        <f t="shared" si="4"/>
        <v>72575000</v>
      </c>
      <c r="L99" s="286">
        <v>72575000</v>
      </c>
      <c r="M99" s="175">
        <f t="shared" si="5"/>
        <v>0</v>
      </c>
    </row>
    <row r="100" spans="1:13" ht="81" customHeight="1" x14ac:dyDescent="0.25">
      <c r="A100" s="2130"/>
      <c r="B100" s="2127"/>
      <c r="C100" s="66" t="e">
        <f>'BID III'!#REF!</f>
        <v>#REF!</v>
      </c>
      <c r="D100" s="470"/>
      <c r="E100" s="470"/>
      <c r="F100" s="470"/>
      <c r="G100" s="286" t="e">
        <f>'BID III'!#REF!</f>
        <v>#REF!</v>
      </c>
      <c r="H100" s="470"/>
      <c r="I100" s="470"/>
      <c r="J100" s="470"/>
      <c r="K100" s="56" t="e">
        <f t="shared" si="4"/>
        <v>#REF!</v>
      </c>
      <c r="L100" s="286"/>
      <c r="M100" s="175"/>
    </row>
    <row r="101" spans="1:13" ht="60" customHeight="1" x14ac:dyDescent="0.25">
      <c r="A101" s="2130"/>
      <c r="B101" s="2127"/>
      <c r="C101" s="66" t="s">
        <v>1394</v>
      </c>
      <c r="D101" s="470"/>
      <c r="E101" s="470"/>
      <c r="F101" s="470"/>
      <c r="G101" s="513">
        <v>29999000</v>
      </c>
      <c r="H101" s="497"/>
      <c r="I101" s="470"/>
      <c r="J101" s="470"/>
      <c r="K101" s="56">
        <f t="shared" si="4"/>
        <v>29999000</v>
      </c>
      <c r="L101" s="286">
        <v>29999000</v>
      </c>
      <c r="M101" s="175">
        <f t="shared" si="5"/>
        <v>0</v>
      </c>
    </row>
    <row r="102" spans="1:13" ht="60" customHeight="1" x14ac:dyDescent="0.25">
      <c r="A102" s="2130"/>
      <c r="B102" s="2127"/>
      <c r="C102" s="66" t="e">
        <f>#REF!</f>
        <v>#REF!</v>
      </c>
      <c r="D102" s="470"/>
      <c r="E102" s="470"/>
      <c r="F102" s="470"/>
      <c r="G102" s="286" t="e">
        <f>#REF!</f>
        <v>#REF!</v>
      </c>
      <c r="H102" s="497"/>
      <c r="I102" s="470"/>
      <c r="J102" s="470"/>
      <c r="K102" s="56"/>
      <c r="L102" s="286"/>
      <c r="M102" s="175"/>
    </row>
    <row r="103" spans="1:13" ht="60" customHeight="1" x14ac:dyDescent="0.25">
      <c r="A103" s="2130"/>
      <c r="B103" s="2127"/>
      <c r="C103" s="66" t="s">
        <v>1173</v>
      </c>
      <c r="D103" s="470"/>
      <c r="E103" s="470"/>
      <c r="F103" s="470"/>
      <c r="G103" s="470"/>
      <c r="H103" s="470"/>
      <c r="I103" s="286">
        <v>35000000</v>
      </c>
      <c r="J103" s="470"/>
      <c r="K103" s="56">
        <f t="shared" si="4"/>
        <v>35000000</v>
      </c>
      <c r="L103" s="286">
        <v>35000000</v>
      </c>
      <c r="M103" s="175">
        <f t="shared" si="5"/>
        <v>0</v>
      </c>
    </row>
    <row r="104" spans="1:13" ht="60" customHeight="1" x14ac:dyDescent="0.25">
      <c r="A104" s="2130"/>
      <c r="B104" s="2127"/>
      <c r="C104" s="66" t="s">
        <v>1250</v>
      </c>
      <c r="D104" s="470"/>
      <c r="E104" s="470"/>
      <c r="F104" s="470"/>
      <c r="G104" s="286">
        <v>28570000</v>
      </c>
      <c r="H104" s="470"/>
      <c r="I104" s="470"/>
      <c r="J104" s="470"/>
      <c r="K104" s="56">
        <f t="shared" si="4"/>
        <v>28570000</v>
      </c>
      <c r="L104" s="286">
        <v>28570000</v>
      </c>
      <c r="M104" s="175">
        <f t="shared" si="5"/>
        <v>0</v>
      </c>
    </row>
    <row r="105" spans="1:13" ht="60" customHeight="1" x14ac:dyDescent="0.25">
      <c r="A105" s="2130"/>
      <c r="B105" s="2127"/>
      <c r="C105" s="66" t="s">
        <v>1432</v>
      </c>
      <c r="D105" s="470"/>
      <c r="E105" s="470"/>
      <c r="F105" s="286">
        <v>1280000</v>
      </c>
      <c r="G105" s="470"/>
      <c r="H105" s="470"/>
      <c r="I105" s="470"/>
      <c r="J105" s="470"/>
      <c r="K105" s="56">
        <f t="shared" si="4"/>
        <v>1280000</v>
      </c>
      <c r="L105" s="286">
        <v>1280000</v>
      </c>
      <c r="M105" s="175">
        <f t="shared" si="5"/>
        <v>0</v>
      </c>
    </row>
    <row r="106" spans="1:13" ht="60" customHeight="1" x14ac:dyDescent="0.25">
      <c r="A106" s="2130"/>
      <c r="B106" s="2127"/>
      <c r="C106" s="66" t="s">
        <v>1267</v>
      </c>
      <c r="D106" s="470"/>
      <c r="E106" s="470"/>
      <c r="F106" s="286">
        <v>4310000</v>
      </c>
      <c r="G106" s="470"/>
      <c r="H106" s="470"/>
      <c r="I106" s="470"/>
      <c r="J106" s="470"/>
      <c r="K106" s="56">
        <f t="shared" si="4"/>
        <v>4310000</v>
      </c>
      <c r="L106" s="286">
        <v>4310000</v>
      </c>
      <c r="M106" s="175">
        <f t="shared" si="5"/>
        <v>0</v>
      </c>
    </row>
    <row r="107" spans="1:13" ht="60" customHeight="1" x14ac:dyDescent="0.25">
      <c r="A107" s="2130"/>
      <c r="B107" s="2127"/>
      <c r="C107" s="66" t="s">
        <v>1296</v>
      </c>
      <c r="D107" s="470"/>
      <c r="E107" s="470"/>
      <c r="F107" s="470"/>
      <c r="G107" s="286">
        <v>64783647</v>
      </c>
      <c r="H107" s="470"/>
      <c r="I107" s="470"/>
      <c r="J107" s="470"/>
      <c r="K107" s="56">
        <f t="shared" si="4"/>
        <v>64783647</v>
      </c>
      <c r="L107" s="286">
        <v>64783647</v>
      </c>
      <c r="M107" s="175">
        <f t="shared" si="5"/>
        <v>0</v>
      </c>
    </row>
    <row r="108" spans="1:13" ht="60" customHeight="1" x14ac:dyDescent="0.25">
      <c r="A108" s="2130"/>
      <c r="B108" s="2127"/>
      <c r="C108" s="66" t="s">
        <v>1299</v>
      </c>
      <c r="D108" s="470"/>
      <c r="E108" s="470"/>
      <c r="F108" s="470"/>
      <c r="G108" s="286">
        <v>8790000</v>
      </c>
      <c r="H108" s="470"/>
      <c r="I108" s="470"/>
      <c r="J108" s="470"/>
      <c r="K108" s="56">
        <f t="shared" si="4"/>
        <v>8790000</v>
      </c>
      <c r="L108" s="286">
        <v>8790000</v>
      </c>
      <c r="M108" s="175">
        <f t="shared" si="5"/>
        <v>0</v>
      </c>
    </row>
    <row r="109" spans="1:13" ht="84" customHeight="1" x14ac:dyDescent="0.25">
      <c r="A109" s="2130"/>
      <c r="B109" s="2127"/>
      <c r="C109" s="66" t="s">
        <v>1307</v>
      </c>
      <c r="D109" s="470"/>
      <c r="E109" s="470"/>
      <c r="F109" s="470"/>
      <c r="G109" s="286">
        <v>22215000</v>
      </c>
      <c r="H109" s="470"/>
      <c r="I109" s="470"/>
      <c r="J109" s="470"/>
      <c r="K109" s="56">
        <f t="shared" si="4"/>
        <v>22215000</v>
      </c>
      <c r="L109" s="286">
        <v>22215000</v>
      </c>
      <c r="M109" s="175">
        <f t="shared" si="5"/>
        <v>0</v>
      </c>
    </row>
    <row r="110" spans="1:13" ht="60" customHeight="1" x14ac:dyDescent="0.25">
      <c r="A110" s="2130"/>
      <c r="B110" s="2127"/>
      <c r="C110" s="66" t="s">
        <v>1311</v>
      </c>
      <c r="D110" s="470"/>
      <c r="E110" s="470"/>
      <c r="F110" s="470"/>
      <c r="G110" s="286">
        <v>4880000</v>
      </c>
      <c r="H110" s="470"/>
      <c r="I110" s="470"/>
      <c r="J110" s="470"/>
      <c r="K110" s="56">
        <f t="shared" si="4"/>
        <v>4880000</v>
      </c>
      <c r="L110" s="286">
        <v>4880000</v>
      </c>
      <c r="M110" s="175">
        <f t="shared" si="5"/>
        <v>0</v>
      </c>
    </row>
    <row r="111" spans="1:13" ht="60" customHeight="1" x14ac:dyDescent="0.25">
      <c r="A111" s="2130"/>
      <c r="B111" s="2127"/>
      <c r="C111" s="66" t="s">
        <v>1313</v>
      </c>
      <c r="D111" s="470"/>
      <c r="E111" s="470"/>
      <c r="F111" s="513">
        <v>2215000</v>
      </c>
      <c r="G111" s="470"/>
      <c r="H111" s="470"/>
      <c r="I111" s="470"/>
      <c r="J111" s="470"/>
      <c r="K111" s="56">
        <f t="shared" si="4"/>
        <v>2215000</v>
      </c>
      <c r="L111" s="286">
        <v>2215000</v>
      </c>
      <c r="M111" s="175">
        <f t="shared" si="5"/>
        <v>0</v>
      </c>
    </row>
    <row r="112" spans="1:13" ht="60" customHeight="1" x14ac:dyDescent="0.25">
      <c r="A112" s="2131"/>
      <c r="B112" s="2128"/>
      <c r="C112" s="66" t="s">
        <v>1501</v>
      </c>
      <c r="D112" s="470"/>
      <c r="E112" s="470"/>
      <c r="F112" s="513">
        <v>30459000</v>
      </c>
      <c r="G112" s="470"/>
      <c r="H112" s="470"/>
      <c r="I112" s="470"/>
      <c r="J112" s="470"/>
      <c r="K112" s="56">
        <f t="shared" si="4"/>
        <v>30459000</v>
      </c>
      <c r="L112" s="286">
        <v>30459000</v>
      </c>
      <c r="M112" s="175">
        <f t="shared" si="5"/>
        <v>0</v>
      </c>
    </row>
    <row r="113" spans="1:13" s="495" customFormat="1" ht="45" x14ac:dyDescent="0.25">
      <c r="A113" s="2107" t="s">
        <v>1640</v>
      </c>
      <c r="B113" s="2110" t="s">
        <v>1384</v>
      </c>
      <c r="C113" s="66" t="s">
        <v>1505</v>
      </c>
      <c r="D113" s="470"/>
      <c r="E113" s="470"/>
      <c r="F113" s="513">
        <v>27128000</v>
      </c>
      <c r="G113" s="470"/>
      <c r="H113" s="470"/>
      <c r="I113" s="470"/>
      <c r="J113" s="470"/>
      <c r="K113" s="56">
        <f t="shared" si="4"/>
        <v>27128000</v>
      </c>
      <c r="L113" s="286">
        <v>27128000</v>
      </c>
      <c r="M113" s="175">
        <f>K113-L113</f>
        <v>0</v>
      </c>
    </row>
    <row r="114" spans="1:13" ht="60" x14ac:dyDescent="0.25">
      <c r="A114" s="2108"/>
      <c r="B114" s="2111"/>
      <c r="C114" s="66" t="s">
        <v>587</v>
      </c>
      <c r="D114" s="470"/>
      <c r="E114" s="470"/>
      <c r="F114" s="513">
        <v>26425000</v>
      </c>
      <c r="G114" s="470"/>
      <c r="H114" s="470"/>
      <c r="I114" s="470"/>
      <c r="J114" s="470"/>
      <c r="K114" s="56">
        <f t="shared" si="4"/>
        <v>26425000</v>
      </c>
      <c r="L114" s="286">
        <v>26425000</v>
      </c>
      <c r="M114" s="175">
        <f>K114-L114</f>
        <v>0</v>
      </c>
    </row>
    <row r="115" spans="1:13" s="495" customFormat="1" ht="59.25" customHeight="1" x14ac:dyDescent="0.25">
      <c r="A115" s="2108"/>
      <c r="B115" s="2111"/>
      <c r="C115" s="66" t="s">
        <v>1392</v>
      </c>
      <c r="D115" s="470"/>
      <c r="E115" s="470"/>
      <c r="F115" s="470"/>
      <c r="G115" s="286">
        <v>20715000</v>
      </c>
      <c r="H115" s="470"/>
      <c r="I115" s="470"/>
      <c r="J115" s="470"/>
      <c r="K115" s="56">
        <f t="shared" si="4"/>
        <v>20715000</v>
      </c>
      <c r="L115" s="286">
        <v>20715000</v>
      </c>
      <c r="M115" s="175">
        <f t="shared" ref="M115:M125" si="6">K115-L115</f>
        <v>0</v>
      </c>
    </row>
    <row r="116" spans="1:13" ht="42.75" customHeight="1" x14ac:dyDescent="0.25">
      <c r="A116" s="2108"/>
      <c r="B116" s="2111"/>
      <c r="C116" s="66" t="s">
        <v>1529</v>
      </c>
      <c r="D116" s="470"/>
      <c r="E116" s="286">
        <v>51210000</v>
      </c>
      <c r="F116" s="470"/>
      <c r="G116" s="470"/>
      <c r="H116" s="470"/>
      <c r="I116" s="470"/>
      <c r="J116" s="470"/>
      <c r="K116" s="56">
        <f t="shared" si="4"/>
        <v>51210000</v>
      </c>
      <c r="L116" s="286">
        <v>51210000</v>
      </c>
      <c r="M116" s="175">
        <f t="shared" si="6"/>
        <v>0</v>
      </c>
    </row>
    <row r="117" spans="1:13" ht="63.75" customHeight="1" x14ac:dyDescent="0.25">
      <c r="A117" s="2108"/>
      <c r="B117" s="2111"/>
      <c r="C117" s="66" t="s">
        <v>488</v>
      </c>
      <c r="D117" s="470"/>
      <c r="E117" s="470"/>
      <c r="F117" s="470"/>
      <c r="G117" s="286">
        <v>1655000</v>
      </c>
      <c r="H117" s="470"/>
      <c r="I117" s="470"/>
      <c r="J117" s="470"/>
      <c r="K117" s="56">
        <f t="shared" si="4"/>
        <v>1655000</v>
      </c>
      <c r="L117" s="286">
        <v>1655000</v>
      </c>
      <c r="M117" s="175">
        <f t="shared" si="6"/>
        <v>0</v>
      </c>
    </row>
    <row r="118" spans="1:13" ht="45" x14ac:dyDescent="0.25">
      <c r="A118" s="2108"/>
      <c r="B118" s="2111"/>
      <c r="C118" s="66" t="s">
        <v>501</v>
      </c>
      <c r="D118" s="470"/>
      <c r="E118" s="470"/>
      <c r="F118" s="470"/>
      <c r="G118" s="513">
        <v>1235000</v>
      </c>
      <c r="H118" s="470"/>
      <c r="I118" s="470"/>
      <c r="J118" s="470"/>
      <c r="K118" s="56">
        <f t="shared" si="4"/>
        <v>1235000</v>
      </c>
      <c r="L118" s="286">
        <v>1235000</v>
      </c>
      <c r="M118" s="175">
        <f t="shared" si="6"/>
        <v>0</v>
      </c>
    </row>
    <row r="119" spans="1:13" ht="33.75" customHeight="1" x14ac:dyDescent="0.25">
      <c r="A119" s="2108"/>
      <c r="B119" s="2111"/>
      <c r="C119" s="66" t="s">
        <v>552</v>
      </c>
      <c r="D119" s="470"/>
      <c r="E119" s="470"/>
      <c r="F119" s="513">
        <v>43110000</v>
      </c>
      <c r="G119" s="470"/>
      <c r="H119" s="470"/>
      <c r="I119" s="470"/>
      <c r="J119" s="470"/>
      <c r="K119" s="56">
        <f t="shared" si="4"/>
        <v>43110000</v>
      </c>
      <c r="L119" s="286">
        <v>43110000</v>
      </c>
      <c r="M119" s="175">
        <f t="shared" si="6"/>
        <v>0</v>
      </c>
    </row>
    <row r="120" spans="1:13" ht="54" customHeight="1" x14ac:dyDescent="0.25">
      <c r="A120" s="2108"/>
      <c r="B120" s="2111"/>
      <c r="C120" s="66" t="s">
        <v>505</v>
      </c>
      <c r="D120" s="470"/>
      <c r="E120" s="470"/>
      <c r="F120" s="513">
        <v>19120000</v>
      </c>
      <c r="G120" s="470"/>
      <c r="H120" s="470"/>
      <c r="I120" s="470"/>
      <c r="J120" s="470"/>
      <c r="K120" s="56">
        <f t="shared" si="4"/>
        <v>19120000</v>
      </c>
      <c r="L120" s="286">
        <v>19120000</v>
      </c>
      <c r="M120" s="175">
        <f t="shared" si="6"/>
        <v>0</v>
      </c>
    </row>
    <row r="121" spans="1:13" ht="66.75" customHeight="1" x14ac:dyDescent="0.25">
      <c r="A121" s="2108"/>
      <c r="B121" s="2111"/>
      <c r="C121" s="66" t="s">
        <v>1625</v>
      </c>
      <c r="D121" s="470"/>
      <c r="E121" s="470"/>
      <c r="F121" s="470"/>
      <c r="G121" s="513">
        <v>4090000</v>
      </c>
      <c r="H121" s="470"/>
      <c r="I121" s="470"/>
      <c r="J121" s="470"/>
      <c r="K121" s="56">
        <f t="shared" si="4"/>
        <v>4090000</v>
      </c>
      <c r="L121" s="286">
        <v>4090000</v>
      </c>
      <c r="M121" s="175">
        <f t="shared" si="6"/>
        <v>0</v>
      </c>
    </row>
    <row r="122" spans="1:13" ht="61.5" customHeight="1" x14ac:dyDescent="0.25">
      <c r="A122" s="2108"/>
      <c r="B122" s="2111"/>
      <c r="C122" s="66" t="s">
        <v>1512</v>
      </c>
      <c r="D122" s="470"/>
      <c r="E122" s="470"/>
      <c r="F122" s="470"/>
      <c r="G122" s="513">
        <v>11080000</v>
      </c>
      <c r="H122" s="470"/>
      <c r="I122" s="470"/>
      <c r="J122" s="470"/>
      <c r="K122" s="56">
        <f t="shared" si="4"/>
        <v>11080000</v>
      </c>
      <c r="L122" s="286">
        <v>11080000</v>
      </c>
      <c r="M122" s="175">
        <f t="shared" si="6"/>
        <v>0</v>
      </c>
    </row>
    <row r="123" spans="1:13" ht="30" x14ac:dyDescent="0.25">
      <c r="A123" s="2108"/>
      <c r="B123" s="2111"/>
      <c r="C123" s="66" t="s">
        <v>1558</v>
      </c>
      <c r="D123" s="470"/>
      <c r="E123" s="470"/>
      <c r="F123" s="470"/>
      <c r="G123" s="513">
        <v>9792000</v>
      </c>
      <c r="H123" s="470"/>
      <c r="I123" s="470"/>
      <c r="J123" s="470"/>
      <c r="K123" s="56">
        <f t="shared" si="4"/>
        <v>9792000</v>
      </c>
      <c r="L123" s="286">
        <v>9792000</v>
      </c>
      <c r="M123" s="175">
        <f t="shared" si="6"/>
        <v>0</v>
      </c>
    </row>
    <row r="124" spans="1:13" ht="30" x14ac:dyDescent="0.25">
      <c r="A124" s="2108"/>
      <c r="B124" s="2111"/>
      <c r="C124" s="66" t="s">
        <v>1557</v>
      </c>
      <c r="D124" s="470"/>
      <c r="E124" s="470"/>
      <c r="F124" s="286">
        <v>30000000</v>
      </c>
      <c r="G124" s="470"/>
      <c r="H124" s="470"/>
      <c r="I124" s="470"/>
      <c r="J124" s="470"/>
      <c r="K124" s="56">
        <f t="shared" si="4"/>
        <v>30000000</v>
      </c>
      <c r="L124" s="286">
        <v>30000000</v>
      </c>
      <c r="M124" s="175">
        <f t="shared" si="6"/>
        <v>0</v>
      </c>
    </row>
    <row r="125" spans="1:13" ht="75" x14ac:dyDescent="0.25">
      <c r="A125" s="2108"/>
      <c r="B125" s="2111"/>
      <c r="C125" s="66" t="s">
        <v>559</v>
      </c>
      <c r="D125" s="470"/>
      <c r="E125" s="470"/>
      <c r="F125" s="470"/>
      <c r="G125" s="513">
        <v>1205000</v>
      </c>
      <c r="H125" s="470"/>
      <c r="I125" s="470"/>
      <c r="J125" s="470"/>
      <c r="K125" s="56">
        <f t="shared" si="4"/>
        <v>1205000</v>
      </c>
      <c r="L125" s="286">
        <v>1205000</v>
      </c>
      <c r="M125" s="175">
        <f t="shared" si="6"/>
        <v>0</v>
      </c>
    </row>
    <row r="126" spans="1:13" ht="52.5" customHeight="1" x14ac:dyDescent="0.25">
      <c r="A126" s="2109"/>
      <c r="B126" s="2112"/>
      <c r="C126" s="66" t="e">
        <f>'BID IV'!#REF!</f>
        <v>#REF!</v>
      </c>
      <c r="D126" s="470"/>
      <c r="E126" s="470" t="e">
        <f>'BID IV'!#REF!</f>
        <v>#REF!</v>
      </c>
      <c r="F126" s="470"/>
      <c r="G126" s="513"/>
      <c r="H126" s="470"/>
      <c r="I126" s="470"/>
      <c r="J126" s="470"/>
      <c r="K126" s="56"/>
      <c r="L126" s="286"/>
      <c r="M126" s="175"/>
    </row>
    <row r="127" spans="1:13" s="476" customFormat="1" ht="36" customHeight="1" x14ac:dyDescent="0.25">
      <c r="A127" s="2080" t="s">
        <v>1672</v>
      </c>
      <c r="B127" s="2080"/>
      <c r="C127" s="2080"/>
      <c r="D127" s="511">
        <f>SUM(D13:D125)</f>
        <v>142345740.5</v>
      </c>
      <c r="E127" s="511" t="e">
        <f>SUM(E13:E126)</f>
        <v>#REF!</v>
      </c>
      <c r="F127" s="511">
        <f>SUM(F13:F125)</f>
        <v>3878246119</v>
      </c>
      <c r="G127" s="511" t="e">
        <f>SUM(G13:G125)</f>
        <v>#REF!</v>
      </c>
      <c r="H127" s="511">
        <f>SUM(H13:H125)</f>
        <v>150000000</v>
      </c>
      <c r="I127" s="511">
        <f>SUM(I13:I125)</f>
        <v>303000000</v>
      </c>
      <c r="J127" s="511">
        <f>SUM(J13:J125)</f>
        <v>72000</v>
      </c>
      <c r="K127" s="512" t="e">
        <f>SUM(D127:J127)</f>
        <v>#REF!</v>
      </c>
      <c r="L127" s="110"/>
    </row>
    <row r="128" spans="1:13" ht="15.75" x14ac:dyDescent="0.25">
      <c r="C128" s="358" t="s">
        <v>613</v>
      </c>
      <c r="D128" s="500" t="e">
        <f>#REF!</f>
        <v>#REF!</v>
      </c>
      <c r="E128" s="56"/>
      <c r="F128" s="56"/>
      <c r="G128" s="56"/>
      <c r="H128" s="56"/>
      <c r="I128" s="56"/>
      <c r="J128" s="56"/>
      <c r="K128" s="56" t="e">
        <f>SUM(D128:J128)</f>
        <v>#REF!</v>
      </c>
      <c r="L128" s="501"/>
      <c r="M128" s="501"/>
    </row>
    <row r="129" spans="1:12" ht="15.75" x14ac:dyDescent="0.25">
      <c r="A129" s="111"/>
      <c r="B129" s="111"/>
      <c r="C129" s="111"/>
      <c r="D129" s="502"/>
      <c r="E129" s="502"/>
      <c r="F129" s="502"/>
      <c r="G129" s="502"/>
      <c r="H129" s="502"/>
      <c r="I129" s="502"/>
      <c r="J129" s="502"/>
      <c r="K129" s="467"/>
    </row>
    <row r="130" spans="1:12" ht="15.75" x14ac:dyDescent="0.25">
      <c r="A130" s="111"/>
      <c r="B130" s="111"/>
      <c r="C130" s="111"/>
      <c r="D130" s="499"/>
      <c r="E130" s="502"/>
      <c r="F130" s="503"/>
      <c r="G130" s="502"/>
      <c r="H130" s="467"/>
      <c r="I130" s="467"/>
      <c r="J130" s="467"/>
      <c r="K130" s="467"/>
      <c r="L130" s="111"/>
    </row>
    <row r="131" spans="1:12" ht="15.75" x14ac:dyDescent="0.25">
      <c r="A131" s="111"/>
      <c r="B131" s="111"/>
      <c r="C131" s="111"/>
      <c r="D131" s="467"/>
      <c r="E131" s="502"/>
      <c r="F131" s="503"/>
      <c r="G131" s="502"/>
      <c r="H131" s="467"/>
      <c r="I131" s="467"/>
      <c r="J131" s="467"/>
      <c r="K131" s="467"/>
      <c r="L131" s="111"/>
    </row>
    <row r="132" spans="1:12" ht="15.75" x14ac:dyDescent="0.25">
      <c r="A132" s="111"/>
      <c r="B132" s="111"/>
      <c r="C132" s="111"/>
      <c r="D132" s="467"/>
      <c r="E132" s="467"/>
      <c r="F132" s="467"/>
      <c r="G132" s="467"/>
      <c r="H132" s="467" t="s">
        <v>1675</v>
      </c>
      <c r="I132" s="467"/>
      <c r="J132" s="467"/>
      <c r="K132" s="467"/>
      <c r="L132" s="111"/>
    </row>
    <row r="133" spans="1:12" ht="15.75" x14ac:dyDescent="0.25">
      <c r="A133" s="111"/>
      <c r="B133" s="2084" t="s">
        <v>1605</v>
      </c>
      <c r="C133" s="2084"/>
      <c r="D133" s="2084"/>
      <c r="E133" s="467"/>
      <c r="F133" s="467"/>
      <c r="G133" s="467"/>
      <c r="H133" s="467" t="s">
        <v>1386</v>
      </c>
      <c r="I133" s="467"/>
      <c r="J133" s="467"/>
      <c r="K133" s="467"/>
      <c r="L133" s="111"/>
    </row>
    <row r="134" spans="1:12" ht="15.75" x14ac:dyDescent="0.25">
      <c r="A134" s="111"/>
      <c r="B134" s="2084" t="s">
        <v>1678</v>
      </c>
      <c r="C134" s="2084"/>
      <c r="D134" s="2084"/>
      <c r="E134" s="467"/>
      <c r="F134" s="467"/>
      <c r="G134" s="467"/>
      <c r="H134" s="467" t="s">
        <v>1676</v>
      </c>
      <c r="I134" s="467"/>
      <c r="J134" s="467"/>
      <c r="K134" s="467"/>
      <c r="L134" s="111"/>
    </row>
    <row r="135" spans="1:12" ht="15.75" x14ac:dyDescent="0.25">
      <c r="A135" s="111"/>
      <c r="B135" s="111"/>
      <c r="C135" s="111"/>
      <c r="D135" s="467"/>
      <c r="E135" s="467"/>
      <c r="F135" s="467"/>
      <c r="G135" s="467"/>
      <c r="H135" s="467"/>
      <c r="I135" s="467"/>
      <c r="J135" s="467"/>
      <c r="K135" s="467"/>
      <c r="L135" s="111"/>
    </row>
    <row r="136" spans="1:12" ht="15.75" x14ac:dyDescent="0.25">
      <c r="A136" s="111"/>
      <c r="B136" s="111"/>
      <c r="C136" s="111"/>
      <c r="D136" s="467"/>
      <c r="E136" s="467"/>
      <c r="F136" s="467"/>
      <c r="G136" s="467"/>
      <c r="H136" s="467"/>
      <c r="I136" s="467"/>
      <c r="J136" s="467"/>
      <c r="K136" s="467"/>
      <c r="L136" s="111"/>
    </row>
    <row r="137" spans="1:12" ht="16.5" x14ac:dyDescent="0.3">
      <c r="A137" s="111"/>
      <c r="B137" s="111"/>
      <c r="C137" s="111"/>
      <c r="D137" s="467"/>
      <c r="E137" s="467"/>
      <c r="F137" s="510"/>
      <c r="G137" s="467"/>
      <c r="H137" s="467"/>
      <c r="I137" s="467"/>
      <c r="J137" s="467"/>
      <c r="K137" s="467"/>
      <c r="L137" s="111"/>
    </row>
    <row r="138" spans="1:12" ht="15.75" x14ac:dyDescent="0.25">
      <c r="A138" s="111"/>
      <c r="B138" s="2084" t="s">
        <v>1387</v>
      </c>
      <c r="C138" s="2084"/>
      <c r="D138" s="2084"/>
      <c r="E138" s="467"/>
      <c r="F138" s="467"/>
      <c r="G138" s="467"/>
      <c r="H138" s="467" t="s">
        <v>1388</v>
      </c>
      <c r="I138" s="467"/>
      <c r="J138" s="467"/>
      <c r="K138" s="467"/>
      <c r="L138" s="111"/>
    </row>
    <row r="140" spans="1:12" x14ac:dyDescent="0.25">
      <c r="H140" s="56"/>
    </row>
    <row r="141" spans="1:12" x14ac:dyDescent="0.25">
      <c r="H141" s="56"/>
    </row>
  </sheetData>
  <mergeCells count="24">
    <mergeCell ref="B44:B85"/>
    <mergeCell ref="A44:A85"/>
    <mergeCell ref="B13:B43"/>
    <mergeCell ref="A13:A43"/>
    <mergeCell ref="B86:B112"/>
    <mergeCell ref="A86:A112"/>
    <mergeCell ref="A1:J1"/>
    <mergeCell ref="A2:J2"/>
    <mergeCell ref="A9:A11"/>
    <mergeCell ref="B9:B11"/>
    <mergeCell ref="C9:C11"/>
    <mergeCell ref="D9:J9"/>
    <mergeCell ref="D10:D11"/>
    <mergeCell ref="E10:E11"/>
    <mergeCell ref="F10:F11"/>
    <mergeCell ref="G10:G11"/>
    <mergeCell ref="H10:I10"/>
    <mergeCell ref="J10:J11"/>
    <mergeCell ref="B134:D134"/>
    <mergeCell ref="B138:D138"/>
    <mergeCell ref="A127:C127"/>
    <mergeCell ref="B133:D133"/>
    <mergeCell ref="A113:A126"/>
    <mergeCell ref="B113:B126"/>
  </mergeCells>
  <pageMargins left="0.7" right="0.7" top="0.75" bottom="0.75" header="0.3" footer="0.3"/>
  <pageSetup paperSize="9" scale="60" orientation="landscape" horizontalDpi="0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N26"/>
  <sheetViews>
    <sheetView workbookViewId="0">
      <pane xSplit="19920" ySplit="900" topLeftCell="E1" activePane="bottomLeft"/>
      <selection activeCell="N3" sqref="N1:N1048576"/>
      <selection pane="topRight" activeCell="E1" sqref="E1"/>
      <selection pane="bottomLeft" activeCell="B9" sqref="B9"/>
      <selection pane="bottomRight" activeCell="E6" sqref="E6"/>
    </sheetView>
  </sheetViews>
  <sheetFormatPr defaultRowHeight="15" x14ac:dyDescent="0.25"/>
  <cols>
    <col min="1" max="1" width="4.28515625" style="506" customWidth="1"/>
    <col min="2" max="2" width="15.7109375" style="86" customWidth="1"/>
    <col min="3" max="3" width="20.140625" style="86" customWidth="1"/>
    <col min="4" max="4" width="16.140625" style="451" customWidth="1"/>
    <col min="5" max="5" width="14.85546875" style="451" customWidth="1"/>
    <col min="6" max="6" width="15.28515625" style="451" customWidth="1"/>
    <col min="7" max="7" width="14.28515625" style="451" bestFit="1" customWidth="1"/>
    <col min="8" max="8" width="9.140625" style="451"/>
    <col min="9" max="9" width="5.5703125" style="451" customWidth="1"/>
    <col min="10" max="10" width="11.140625" style="451" customWidth="1"/>
    <col min="11" max="11" width="7.28515625" style="451" customWidth="1"/>
    <col min="12" max="12" width="5.85546875" style="451" customWidth="1"/>
    <col min="13" max="13" width="6.7109375" style="451" customWidth="1"/>
    <col min="14" max="14" width="8.7109375" style="451" customWidth="1"/>
  </cols>
  <sheetData>
    <row r="1" spans="1:14" x14ac:dyDescent="0.25">
      <c r="A1" s="2132" t="s">
        <v>1691</v>
      </c>
      <c r="B1" s="2132"/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</row>
    <row r="2" spans="1:14" x14ac:dyDescent="0.25">
      <c r="A2" s="2053" t="s">
        <v>1692</v>
      </c>
      <c r="B2" s="2053"/>
      <c r="C2" s="2053"/>
      <c r="D2" s="2053"/>
      <c r="E2" s="2053"/>
      <c r="F2" s="2053"/>
      <c r="G2" s="2053"/>
      <c r="H2" s="2053"/>
      <c r="I2" s="2053"/>
      <c r="J2" s="2053"/>
      <c r="K2" s="2053"/>
      <c r="L2" s="2053"/>
      <c r="M2" s="2053"/>
      <c r="N2" s="2053"/>
    </row>
    <row r="4" spans="1:14" x14ac:dyDescent="0.25">
      <c r="A4" s="2054" t="s">
        <v>1295</v>
      </c>
      <c r="B4" s="2057" t="s">
        <v>1680</v>
      </c>
      <c r="C4" s="2057" t="s">
        <v>863</v>
      </c>
      <c r="D4" s="2133" t="s">
        <v>1681</v>
      </c>
      <c r="E4" s="2134" t="s">
        <v>368</v>
      </c>
      <c r="F4" s="2134"/>
      <c r="G4" s="2134"/>
      <c r="H4" s="2134"/>
      <c r="I4" s="2134"/>
      <c r="J4" s="2134"/>
      <c r="K4" s="2134"/>
      <c r="L4" s="2134"/>
      <c r="M4" s="2134"/>
      <c r="N4" s="2134" t="s">
        <v>301</v>
      </c>
    </row>
    <row r="5" spans="1:14" ht="27" customHeight="1" x14ac:dyDescent="0.25">
      <c r="A5" s="2054"/>
      <c r="B5" s="2057"/>
      <c r="C5" s="2057"/>
      <c r="D5" s="2133"/>
      <c r="E5" s="505" t="s">
        <v>1682</v>
      </c>
      <c r="F5" s="505" t="s">
        <v>1683</v>
      </c>
      <c r="G5" s="505" t="s">
        <v>1684</v>
      </c>
      <c r="H5" s="505" t="s">
        <v>1685</v>
      </c>
      <c r="I5" s="505" t="s">
        <v>1686</v>
      </c>
      <c r="J5" s="514" t="s">
        <v>1687</v>
      </c>
      <c r="K5" s="505" t="s">
        <v>1688</v>
      </c>
      <c r="L5" s="505" t="s">
        <v>1689</v>
      </c>
      <c r="M5" s="505" t="s">
        <v>1690</v>
      </c>
      <c r="N5" s="2134"/>
    </row>
    <row r="6" spans="1:14" ht="30" x14ac:dyDescent="0.25">
      <c r="A6" s="268">
        <v>1</v>
      </c>
      <c r="B6" s="66" t="s">
        <v>1373</v>
      </c>
      <c r="C6" s="496" t="str">
        <f>'Rencana Pembiayaan Desa'!C47</f>
        <v>: Posyandu Remaja</v>
      </c>
      <c r="D6" s="470">
        <f>'Rencana Pembiayaan Desa'!E47</f>
        <v>16110000</v>
      </c>
      <c r="E6" s="470"/>
      <c r="F6" s="470">
        <f>'Rencana Pembiayaan Desa'!E47</f>
        <v>16110000</v>
      </c>
      <c r="G6" s="470"/>
      <c r="H6" s="470"/>
      <c r="I6" s="470"/>
      <c r="J6" s="470"/>
      <c r="K6" s="470"/>
      <c r="L6" s="470"/>
      <c r="M6" s="470"/>
      <c r="N6" s="470"/>
    </row>
    <row r="7" spans="1:14" ht="45" x14ac:dyDescent="0.25">
      <c r="A7" s="268">
        <v>2</v>
      </c>
      <c r="B7" s="66" t="s">
        <v>1373</v>
      </c>
      <c r="C7" s="496" t="str">
        <f>'Rencana Pembiayaan Desa'!C48</f>
        <v>: Penyelenggaraan Posyandu (Pemberian PMT)</v>
      </c>
      <c r="D7" s="470">
        <f>'Rencana Pembiayaan Desa'!F48</f>
        <v>249118000</v>
      </c>
      <c r="E7" s="470">
        <f>'Rencana Pembiayaan Desa'!F48</f>
        <v>249118000</v>
      </c>
      <c r="F7" s="470"/>
      <c r="G7" s="470"/>
      <c r="H7" s="470"/>
      <c r="I7" s="470"/>
      <c r="J7" s="470"/>
      <c r="K7" s="470"/>
      <c r="L7" s="470"/>
      <c r="M7" s="470"/>
      <c r="N7" s="470"/>
    </row>
    <row r="8" spans="1:14" ht="45" x14ac:dyDescent="0.25">
      <c r="A8" s="268">
        <v>3</v>
      </c>
      <c r="B8" s="66" t="s">
        <v>1373</v>
      </c>
      <c r="C8" s="496" t="str">
        <f>'Rencana Pembiayaan Desa'!C49</f>
        <v>: Penyelenggaraan POSyandu (Pos Gizi dan Ibu Hamil)</v>
      </c>
      <c r="D8" s="470">
        <f>'Rencana Pembiayaan Desa'!E49</f>
        <v>4230000</v>
      </c>
      <c r="E8" s="470"/>
      <c r="F8" s="470">
        <f>'Rencana Pembiayaan Desa'!E49</f>
        <v>4230000</v>
      </c>
      <c r="G8" s="470"/>
      <c r="H8" s="470"/>
      <c r="I8" s="470"/>
      <c r="J8" s="470"/>
      <c r="K8" s="470"/>
      <c r="L8" s="470"/>
      <c r="M8" s="470"/>
      <c r="N8" s="470"/>
    </row>
    <row r="9" spans="1:14" ht="95.25" customHeight="1" x14ac:dyDescent="0.25">
      <c r="A9" s="268">
        <v>4</v>
      </c>
      <c r="B9" s="66" t="s">
        <v>1373</v>
      </c>
      <c r="C9" s="496" t="str">
        <f>'Rencana Pembiayaan Desa'!C50</f>
        <v xml:space="preserve"> :  Pengasuhan Bersama atau Bina Keluarga Balita (Pelaksanaan Kegiatan Bina keluarga Balita BKB )</v>
      </c>
      <c r="D9" s="470">
        <f>'Rencana Pembiayaan Desa'!F50</f>
        <v>56775000</v>
      </c>
      <c r="E9" s="470">
        <f>'Rencana Pembiayaan Desa'!F50</f>
        <v>56775000</v>
      </c>
      <c r="F9" s="470"/>
      <c r="G9" s="470"/>
      <c r="H9" s="470"/>
      <c r="I9" s="470"/>
      <c r="J9" s="470"/>
      <c r="K9" s="470"/>
      <c r="L9" s="470"/>
      <c r="M9" s="470"/>
      <c r="N9" s="470"/>
    </row>
    <row r="10" spans="1:14" ht="90" x14ac:dyDescent="0.25">
      <c r="A10" s="268">
        <v>5</v>
      </c>
      <c r="B10" s="66" t="s">
        <v>1373</v>
      </c>
      <c r="C10" s="496" t="str">
        <f>'Rencana Pembiayaan Desa'!C51</f>
        <v xml:space="preserve"> :  Pengasuhan Bersama atau Bina Keluarga Lansia (Pelaksanaan Kegiatan Bina keluarga lansia BKL )</v>
      </c>
      <c r="D10" s="470">
        <f>'Rencana Pembiayaan Desa'!E51</f>
        <v>8340000</v>
      </c>
      <c r="E10" s="470"/>
      <c r="F10" s="470">
        <f>'Rencana Pembiayaan Desa'!E51</f>
        <v>8340000</v>
      </c>
      <c r="G10" s="470"/>
      <c r="H10" s="470"/>
      <c r="I10" s="470"/>
      <c r="J10" s="470"/>
      <c r="K10" s="470"/>
      <c r="L10" s="470"/>
      <c r="M10" s="470"/>
      <c r="N10" s="470"/>
    </row>
    <row r="11" spans="1:14" ht="75" x14ac:dyDescent="0.25">
      <c r="A11" s="268">
        <v>6</v>
      </c>
      <c r="B11" s="66" t="s">
        <v>1373</v>
      </c>
      <c r="C11" s="496" t="str">
        <f>'Rencana Pembiayaan Desa'!C52</f>
        <v>: Penyuluhan dan Pelatihan Bidang Kesehatan (Pembinaan Kader POSyandu)</v>
      </c>
      <c r="D11" s="470">
        <f>'Rencana Pembiayaan Desa'!F52</f>
        <v>1830000</v>
      </c>
      <c r="E11" s="470">
        <f>'Rencana Pembiayaan Desa'!F52</f>
        <v>1830000</v>
      </c>
      <c r="F11" s="470"/>
      <c r="G11" s="470"/>
      <c r="H11" s="470"/>
      <c r="I11" s="470"/>
      <c r="J11" s="470"/>
      <c r="K11" s="470"/>
      <c r="L11" s="470"/>
      <c r="M11" s="470"/>
      <c r="N11" s="470"/>
    </row>
    <row r="12" spans="1:14" ht="60" x14ac:dyDescent="0.25">
      <c r="A12" s="268">
        <v>7</v>
      </c>
      <c r="B12" s="66" t="s">
        <v>1373</v>
      </c>
      <c r="C12" s="496" t="str">
        <f>'Rencana Pembiayaan Desa'!C53</f>
        <v>: Penyuluhan dan Pelatihan Bidang Kesehatan(Sosialisasi Stunting)</v>
      </c>
      <c r="D12" s="470">
        <f>'Rencana Pembiayaan Desa'!E53</f>
        <v>2740000</v>
      </c>
      <c r="E12" s="470"/>
      <c r="F12" s="470">
        <f>'Rencana Pembiayaan Desa'!E53</f>
        <v>2740000</v>
      </c>
      <c r="G12" s="470"/>
      <c r="H12" s="470"/>
      <c r="I12" s="470"/>
      <c r="J12" s="470"/>
      <c r="K12" s="470"/>
      <c r="L12" s="470"/>
      <c r="M12" s="470"/>
      <c r="N12" s="470"/>
    </row>
    <row r="13" spans="1:14" ht="72" customHeight="1" x14ac:dyDescent="0.25">
      <c r="A13" s="268">
        <v>8</v>
      </c>
      <c r="B13" s="66" t="s">
        <v>1373</v>
      </c>
      <c r="C13" s="496" t="str">
        <f>'Rencana Pembiayaan Desa'!C55</f>
        <v>: Penyuluhan dan Pelatihan Bidang Kesehatan (Penyuluhan Narkoba dan HIV/AIDS)</v>
      </c>
      <c r="D13" s="470">
        <f>'Rencana Pembiayaan Desa'!E55</f>
        <v>19940000</v>
      </c>
      <c r="E13" s="470"/>
      <c r="F13" s="470">
        <f>'Rencana Pembiayaan Desa'!E55</f>
        <v>19940000</v>
      </c>
      <c r="G13" s="470"/>
      <c r="H13" s="470"/>
      <c r="I13" s="470"/>
      <c r="J13" s="470"/>
      <c r="K13" s="470"/>
      <c r="L13" s="470"/>
      <c r="M13" s="470"/>
      <c r="N13" s="470"/>
    </row>
    <row r="14" spans="1:14" ht="103.5" customHeight="1" x14ac:dyDescent="0.25">
      <c r="A14" s="268">
        <v>9</v>
      </c>
      <c r="B14" s="66" t="s">
        <v>1373</v>
      </c>
      <c r="C14" s="496" t="str">
        <f>'Rencana Pembiayaan Desa'!C56</f>
        <v>: Penyuluhan dan Pelatihan Bidang Kesehatan (Pemberian tambahan nutrisi bagi lansia)</v>
      </c>
      <c r="D14" s="470">
        <f>'Rencana Pembiayaan Desa'!E56</f>
        <v>101104000</v>
      </c>
      <c r="E14" s="470"/>
      <c r="F14" s="470">
        <f>'Rencana Pembiayaan Desa'!E56</f>
        <v>101104000</v>
      </c>
      <c r="G14" s="470"/>
      <c r="H14" s="470"/>
      <c r="I14" s="470"/>
      <c r="J14" s="470"/>
      <c r="K14" s="470"/>
      <c r="L14" s="470"/>
      <c r="M14" s="470"/>
      <c r="N14" s="470"/>
    </row>
    <row r="15" spans="1:14" ht="60" x14ac:dyDescent="0.25">
      <c r="A15" s="268">
        <v>10</v>
      </c>
      <c r="B15" s="66" t="s">
        <v>1373</v>
      </c>
      <c r="C15" s="496" t="str">
        <f>'Rencana Pembiayaan Desa'!C57</f>
        <v>: Penyuluhan dan Pelatihan Bidang Kesehatan (Posbindu)</v>
      </c>
      <c r="D15" s="470">
        <f>'Rencana Pembiayaan Desa'!E57</f>
        <v>14295000</v>
      </c>
      <c r="E15" s="470"/>
      <c r="F15" s="470">
        <f>'Rencana Pembiayaan Desa'!E57</f>
        <v>14295000</v>
      </c>
      <c r="G15" s="470"/>
      <c r="H15" s="470"/>
      <c r="I15" s="470"/>
      <c r="J15" s="470"/>
      <c r="K15" s="470"/>
      <c r="L15" s="470"/>
      <c r="M15" s="470"/>
      <c r="N15" s="470"/>
    </row>
    <row r="16" spans="1:14" ht="60" x14ac:dyDescent="0.25">
      <c r="A16" s="268">
        <v>11</v>
      </c>
      <c r="B16" s="66" t="s">
        <v>1373</v>
      </c>
      <c r="C16" s="496" t="str">
        <f>'Rencana Pembiayaan Desa'!C58</f>
        <v>: Penyuluhan dan Pelatihan Bidang Kesehatan (Penyuluhan KB)</v>
      </c>
      <c r="D16" s="470">
        <f>'Rencana Pembiayaan Desa'!F58</f>
        <v>17685000</v>
      </c>
      <c r="E16" s="470">
        <f>'Rencana Pembiayaan Desa'!F58</f>
        <v>17685000</v>
      </c>
      <c r="F16" s="470"/>
      <c r="G16" s="470"/>
      <c r="H16" s="470"/>
      <c r="I16" s="470"/>
      <c r="J16" s="470"/>
      <c r="K16" s="470"/>
      <c r="L16" s="470"/>
      <c r="M16" s="470"/>
      <c r="N16" s="470"/>
    </row>
    <row r="17" spans="1:14" ht="60" x14ac:dyDescent="0.25">
      <c r="A17" s="268">
        <v>12</v>
      </c>
      <c r="B17" s="66" t="s">
        <v>1373</v>
      </c>
      <c r="C17" s="496" t="str">
        <f>'Rencana Pembiayaan Desa'!C59</f>
        <v>: Penyuluhan dan Pelatihan Bidang Kesehatan (Desa Siaga Kesehatan)</v>
      </c>
      <c r="D17" s="470">
        <f>'Rencana Pembiayaan Desa'!F59</f>
        <v>2665000</v>
      </c>
      <c r="E17" s="470">
        <f>'Rencana Pembiayaan Desa'!F59</f>
        <v>2665000</v>
      </c>
      <c r="F17" s="470"/>
      <c r="G17" s="470"/>
      <c r="H17" s="470"/>
      <c r="I17" s="470"/>
      <c r="J17" s="470"/>
      <c r="K17" s="470"/>
      <c r="L17" s="470"/>
      <c r="M17" s="470"/>
      <c r="N17" s="470"/>
    </row>
    <row r="18" spans="1:14" ht="75" x14ac:dyDescent="0.25">
      <c r="A18" s="268">
        <v>13</v>
      </c>
      <c r="B18" s="66" t="s">
        <v>1373</v>
      </c>
      <c r="C18" s="496" t="str">
        <f>'Rencana Pembiayaan Desa'!C60</f>
        <v xml:space="preserve"> :Pengasuhan Bersama atau Bina Keluarga Balita (Pembinaan  kader BKB)</v>
      </c>
      <c r="D18" s="470">
        <f>'Rencana Pembiayaan Desa'!F60</f>
        <v>2385000</v>
      </c>
      <c r="E18" s="470">
        <f>'Rencana Pembiayaan Desa'!F60</f>
        <v>2385000</v>
      </c>
      <c r="F18" s="470"/>
      <c r="G18" s="470"/>
      <c r="H18" s="470"/>
      <c r="I18" s="470"/>
      <c r="J18" s="470"/>
      <c r="K18" s="470"/>
      <c r="L18" s="470"/>
      <c r="M18" s="470"/>
      <c r="N18" s="470"/>
    </row>
    <row r="19" spans="1:14" ht="90" x14ac:dyDescent="0.25">
      <c r="A19" s="268">
        <v>14</v>
      </c>
      <c r="B19" s="66" t="s">
        <v>1373</v>
      </c>
      <c r="C19" s="496" t="str">
        <f>'Rencana Pembiayaan Desa'!C61</f>
        <v xml:space="preserve"> :  Pengasuhan Bersama atau Bina Keluarga Balita (Pembinaan Kegiatan Bina keluarga Remaja BKR )</v>
      </c>
      <c r="D19" s="470">
        <f>'Rencana Pembiayaan Desa'!E61</f>
        <v>1690000</v>
      </c>
      <c r="E19" s="470"/>
      <c r="F19" s="470">
        <f>'Rencana Pembiayaan Desa'!E61</f>
        <v>1690000</v>
      </c>
      <c r="G19" s="470"/>
      <c r="H19" s="470"/>
      <c r="I19" s="470"/>
      <c r="J19" s="470"/>
      <c r="K19" s="470"/>
      <c r="L19" s="470"/>
      <c r="M19" s="470"/>
      <c r="N19" s="470"/>
    </row>
    <row r="20" spans="1:14" ht="75" x14ac:dyDescent="0.25">
      <c r="A20" s="268">
        <v>15</v>
      </c>
      <c r="B20" s="66" t="s">
        <v>1373</v>
      </c>
      <c r="C20" s="496" t="str">
        <f>'Rencana Pembiayaan Desa'!C62</f>
        <v xml:space="preserve"> :  Pengasuhan Bersama atau Bina Keluarga Remaja (Penyelenggaraan BKR)</v>
      </c>
      <c r="D20" s="470">
        <f>'Rencana Pembiayaan Desa'!F62</f>
        <v>8040000</v>
      </c>
      <c r="E20" s="470">
        <f>'Rencana Pembiayaan Desa'!F62</f>
        <v>8040000</v>
      </c>
      <c r="F20" s="470"/>
      <c r="G20" s="470"/>
      <c r="H20" s="470"/>
      <c r="I20" s="470"/>
      <c r="J20" s="470"/>
      <c r="K20" s="470"/>
      <c r="L20" s="470"/>
      <c r="M20" s="470"/>
      <c r="N20" s="470"/>
    </row>
    <row r="21" spans="1:14" ht="30" x14ac:dyDescent="0.25">
      <c r="A21" s="268">
        <v>16</v>
      </c>
      <c r="B21" s="66" t="s">
        <v>1373</v>
      </c>
      <c r="C21" s="496" t="str">
        <f>'Rencana Pembiayaan Desa'!C63</f>
        <v xml:space="preserve"> :Pendampingan calon pengantin</v>
      </c>
      <c r="D21" s="470">
        <f>'Rencana Pembiayaan Desa'!G63</f>
        <v>5757500</v>
      </c>
      <c r="E21" s="470"/>
      <c r="F21" s="470"/>
      <c r="G21" s="470">
        <f>D21</f>
        <v>5757500</v>
      </c>
      <c r="H21" s="470"/>
      <c r="I21" s="470"/>
      <c r="J21" s="470"/>
      <c r="K21" s="470"/>
      <c r="L21" s="470"/>
      <c r="M21" s="470"/>
      <c r="N21" s="470"/>
    </row>
    <row r="22" spans="1:14" ht="45" x14ac:dyDescent="0.25">
      <c r="A22" s="268">
        <v>17</v>
      </c>
      <c r="B22" s="66" t="s">
        <v>1373</v>
      </c>
      <c r="C22" s="496" t="str">
        <f>'Rencana Pembiayaan Desa'!C64</f>
        <v>:Penyelenggaraan Pembinaan dan Lomba Balita Sehat</v>
      </c>
      <c r="D22" s="470">
        <f>'Rencana Pembiayaan Desa'!G64</f>
        <v>10455000</v>
      </c>
      <c r="E22" s="470"/>
      <c r="F22" s="470"/>
      <c r="G22" s="470">
        <f>D22</f>
        <v>10455000</v>
      </c>
      <c r="H22" s="470"/>
      <c r="I22" s="470"/>
      <c r="J22" s="470"/>
      <c r="K22" s="470"/>
      <c r="L22" s="470"/>
      <c r="M22" s="470"/>
      <c r="N22" s="470"/>
    </row>
    <row r="23" spans="1:14" ht="30" x14ac:dyDescent="0.25">
      <c r="A23" s="268">
        <v>18</v>
      </c>
      <c r="B23" s="66" t="s">
        <v>1373</v>
      </c>
      <c r="C23" s="496" t="str">
        <f>'Rencana Pembiayaan Desa'!C65</f>
        <v>:  Foging Fokus</v>
      </c>
      <c r="D23" s="470">
        <f>'Rencana Pembiayaan Desa'!F65</f>
        <v>39717600</v>
      </c>
      <c r="E23" s="470">
        <f>D23</f>
        <v>39717600</v>
      </c>
      <c r="F23" s="470"/>
      <c r="G23" s="470"/>
      <c r="H23" s="470"/>
      <c r="I23" s="470"/>
      <c r="J23" s="470"/>
      <c r="K23" s="470"/>
      <c r="L23" s="470"/>
      <c r="M23" s="470"/>
      <c r="N23" s="470"/>
    </row>
    <row r="24" spans="1:14" ht="30" x14ac:dyDescent="0.25">
      <c r="A24" s="268">
        <v>19</v>
      </c>
      <c r="B24" s="66" t="s">
        <v>1373</v>
      </c>
      <c r="C24" s="496" t="str">
        <f>'Rencana Pembiayaan Desa'!C67</f>
        <v>: Penyelengggaraan Rumah Desa Sehat</v>
      </c>
      <c r="D24" s="470">
        <f>'Rencana Pembiayaan Desa'!G67</f>
        <v>6127385</v>
      </c>
      <c r="E24" s="470"/>
      <c r="F24" s="470"/>
      <c r="G24" s="470">
        <f>'Rencana Pembiayaan Desa'!G67</f>
        <v>6127385</v>
      </c>
      <c r="H24" s="470"/>
      <c r="I24" s="470"/>
      <c r="J24" s="470"/>
      <c r="K24" s="470"/>
      <c r="L24" s="470"/>
      <c r="M24" s="470"/>
      <c r="N24" s="470"/>
    </row>
    <row r="25" spans="1:14" ht="60" x14ac:dyDescent="0.25">
      <c r="A25" s="268">
        <v>20</v>
      </c>
      <c r="B25" s="66" t="s">
        <v>1373</v>
      </c>
      <c r="C25" s="496" t="str">
        <f>'Rencana Pembiayaan Desa'!C68</f>
        <v>: Pelaksanaan pemulihan penanganan pandemi Covid 19</v>
      </c>
      <c r="D25" s="470">
        <f>'Rencana Pembiayaan Desa'!E68</f>
        <v>159718000</v>
      </c>
      <c r="E25" s="470"/>
      <c r="F25" s="470">
        <f>'Rencana Pembiayaan Desa'!E68</f>
        <v>159718000</v>
      </c>
      <c r="G25" s="470"/>
      <c r="H25" s="470"/>
      <c r="I25" s="470"/>
      <c r="J25" s="470"/>
      <c r="K25" s="470"/>
      <c r="L25" s="470"/>
      <c r="M25" s="470"/>
      <c r="N25" s="470"/>
    </row>
    <row r="26" spans="1:14" x14ac:dyDescent="0.25">
      <c r="A26" s="2060" t="s">
        <v>27</v>
      </c>
      <c r="B26" s="2060"/>
      <c r="C26" s="2060"/>
      <c r="D26" s="470">
        <f>SUM(D6:D25)</f>
        <v>728722485</v>
      </c>
      <c r="E26" s="470">
        <f>SUM(E6:E25)</f>
        <v>378215600</v>
      </c>
      <c r="F26" s="470">
        <f>SUM(F6:F25)</f>
        <v>328167000</v>
      </c>
      <c r="G26" s="470">
        <f>SUM(G6:G25)</f>
        <v>22339885</v>
      </c>
      <c r="H26" s="470"/>
      <c r="I26" s="470"/>
      <c r="J26" s="470"/>
      <c r="K26" s="470"/>
      <c r="L26" s="470"/>
      <c r="M26" s="470"/>
      <c r="N26" s="470"/>
    </row>
  </sheetData>
  <mergeCells count="9">
    <mergeCell ref="A2:N2"/>
    <mergeCell ref="A1:N1"/>
    <mergeCell ref="A26:C26"/>
    <mergeCell ref="A4:A5"/>
    <mergeCell ref="B4:B5"/>
    <mergeCell ref="C4:C5"/>
    <mergeCell ref="D4:D5"/>
    <mergeCell ref="E4:M4"/>
    <mergeCell ref="N4:N5"/>
  </mergeCells>
  <pageMargins left="0.7" right="1.2" top="0.75" bottom="0.75" header="0.3" footer="0.3"/>
  <pageSetup paperSize="5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168"/>
  <sheetViews>
    <sheetView zoomScale="62" zoomScaleNormal="62" workbookViewId="0">
      <selection activeCell="B48" sqref="B48:B89"/>
    </sheetView>
  </sheetViews>
  <sheetFormatPr defaultRowHeight="15" x14ac:dyDescent="0.25"/>
  <cols>
    <col min="1" max="1" width="15" customWidth="1"/>
    <col min="2" max="2" width="21.140625" customWidth="1"/>
    <col min="3" max="3" width="13.42578125" customWidth="1"/>
    <col min="4" max="4" width="31.140625" customWidth="1"/>
    <col min="5" max="5" width="67.28515625" customWidth="1"/>
    <col min="6" max="6" width="17.42578125" customWidth="1"/>
    <col min="7" max="7" width="12.5703125" style="86" customWidth="1"/>
    <col min="8" max="8" width="13" style="476" customWidth="1"/>
    <col min="9" max="9" width="11.42578125" style="476" customWidth="1"/>
    <col min="10" max="10" width="10.5703125" style="476" customWidth="1"/>
    <col min="11" max="11" width="10.28515625" style="473" customWidth="1"/>
    <col min="12" max="12" width="24.85546875" style="451" bestFit="1" customWidth="1"/>
    <col min="13" max="13" width="13.85546875" customWidth="1"/>
  </cols>
  <sheetData>
    <row r="1" spans="1:13" s="383" customFormat="1" ht="18.75" x14ac:dyDescent="0.3">
      <c r="A1" s="2097" t="s">
        <v>1514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  <c r="M1" s="2097"/>
    </row>
    <row r="2" spans="1:13" s="383" customFormat="1" ht="18.75" x14ac:dyDescent="0.3">
      <c r="A2" s="2097" t="s">
        <v>1496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  <c r="M2" s="2097"/>
    </row>
    <row r="3" spans="1:13" s="111" customFormat="1" ht="15.75" x14ac:dyDescent="0.25">
      <c r="G3" s="112"/>
      <c r="H3" s="110"/>
      <c r="I3" s="110"/>
      <c r="J3" s="110"/>
      <c r="K3" s="113"/>
      <c r="L3" s="467"/>
    </row>
    <row r="4" spans="1:13" s="111" customFormat="1" ht="15.75" x14ac:dyDescent="0.25">
      <c r="A4" s="384" t="s">
        <v>1337</v>
      </c>
      <c r="B4" s="384" t="s">
        <v>1338</v>
      </c>
      <c r="C4" s="384"/>
      <c r="G4" s="112"/>
      <c r="H4" s="110"/>
      <c r="I4" s="110"/>
      <c r="J4" s="110"/>
      <c r="K4" s="113"/>
      <c r="L4" s="467"/>
    </row>
    <row r="5" spans="1:13" s="111" customFormat="1" ht="15.75" x14ac:dyDescent="0.25">
      <c r="A5" s="384" t="s">
        <v>1339</v>
      </c>
      <c r="B5" s="384" t="s">
        <v>1340</v>
      </c>
      <c r="C5" s="384"/>
      <c r="G5" s="112"/>
      <c r="H5" s="110"/>
      <c r="I5" s="110"/>
      <c r="J5" s="110"/>
      <c r="K5" s="113"/>
      <c r="L5" s="467"/>
    </row>
    <row r="6" spans="1:13" s="111" customFormat="1" ht="15.75" x14ac:dyDescent="0.25">
      <c r="A6" s="384" t="s">
        <v>1341</v>
      </c>
      <c r="B6" s="384" t="s">
        <v>1342</v>
      </c>
      <c r="C6" s="384"/>
      <c r="G6" s="112"/>
      <c r="H6" s="110"/>
      <c r="I6" s="110"/>
      <c r="J6" s="110"/>
      <c r="K6" s="113"/>
      <c r="L6" s="467"/>
    </row>
    <row r="7" spans="1:13" s="111" customFormat="1" ht="15.75" x14ac:dyDescent="0.25">
      <c r="A7" s="384" t="s">
        <v>1343</v>
      </c>
      <c r="B7" s="384" t="s">
        <v>1344</v>
      </c>
      <c r="C7" s="384"/>
      <c r="G7" s="112"/>
      <c r="H7" s="110"/>
      <c r="I7" s="110"/>
      <c r="J7" s="110"/>
      <c r="K7" s="113"/>
      <c r="L7" s="467"/>
    </row>
    <row r="8" spans="1:13" s="111" customFormat="1" ht="15.75" x14ac:dyDescent="0.25">
      <c r="G8" s="112"/>
      <c r="H8" s="110"/>
      <c r="I8" s="110"/>
      <c r="J8" s="110"/>
      <c r="K8" s="113"/>
      <c r="L8" s="467"/>
    </row>
    <row r="9" spans="1:13" s="111" customFormat="1" ht="63" customHeight="1" x14ac:dyDescent="0.25">
      <c r="A9" s="2099" t="s">
        <v>1295</v>
      </c>
      <c r="B9" s="2099" t="s">
        <v>1345</v>
      </c>
      <c r="C9" s="2099"/>
      <c r="D9" s="2099"/>
      <c r="E9" s="2098" t="s">
        <v>1516</v>
      </c>
      <c r="F9" s="2098" t="s">
        <v>1517</v>
      </c>
      <c r="G9" s="2098" t="s">
        <v>1518</v>
      </c>
      <c r="H9" s="2098" t="s">
        <v>1519</v>
      </c>
      <c r="I9" s="2099" t="s">
        <v>1350</v>
      </c>
      <c r="J9" s="2099"/>
      <c r="K9" s="2099"/>
      <c r="L9" s="2098" t="s">
        <v>1520</v>
      </c>
      <c r="M9" s="2098"/>
    </row>
    <row r="10" spans="1:13" s="111" customFormat="1" ht="32.25" customHeight="1" x14ac:dyDescent="0.25">
      <c r="A10" s="2099"/>
      <c r="B10" s="452" t="s">
        <v>1354</v>
      </c>
      <c r="C10" s="453" t="s">
        <v>1521</v>
      </c>
      <c r="D10" s="453" t="s">
        <v>1522</v>
      </c>
      <c r="E10" s="2098"/>
      <c r="F10" s="2098"/>
      <c r="G10" s="2098"/>
      <c r="H10" s="2098"/>
      <c r="I10" s="452" t="s">
        <v>1523</v>
      </c>
      <c r="J10" s="452" t="s">
        <v>1524</v>
      </c>
      <c r="K10" s="452" t="s">
        <v>1525</v>
      </c>
      <c r="L10" s="468" t="s">
        <v>1526</v>
      </c>
      <c r="M10" s="452" t="s">
        <v>1357</v>
      </c>
    </row>
    <row r="11" spans="1:13" s="111" customFormat="1" ht="15.75" x14ac:dyDescent="0.25">
      <c r="A11" s="117" t="s">
        <v>1358</v>
      </c>
      <c r="B11" s="117" t="s">
        <v>1359</v>
      </c>
      <c r="C11" s="117" t="s">
        <v>1360</v>
      </c>
      <c r="D11" s="117" t="s">
        <v>1361</v>
      </c>
      <c r="E11" s="117" t="s">
        <v>1362</v>
      </c>
      <c r="F11" s="117" t="s">
        <v>1363</v>
      </c>
      <c r="G11" s="118" t="s">
        <v>1364</v>
      </c>
      <c r="H11" s="114" t="s">
        <v>1365</v>
      </c>
      <c r="I11" s="114" t="s">
        <v>1366</v>
      </c>
      <c r="J11" s="114" t="s">
        <v>1367</v>
      </c>
      <c r="K11" s="114" t="s">
        <v>1368</v>
      </c>
      <c r="L11" s="469" t="s">
        <v>1369</v>
      </c>
      <c r="M11" s="117" t="s">
        <v>539</v>
      </c>
    </row>
    <row r="12" spans="1:13" s="111" customFormat="1" ht="111.75" customHeight="1" x14ac:dyDescent="0.25">
      <c r="A12" s="2135">
        <v>1</v>
      </c>
      <c r="B12" s="2126" t="s">
        <v>1572</v>
      </c>
      <c r="C12" s="134">
        <v>1</v>
      </c>
      <c r="D12" s="133" t="str">
        <f>'BID I'!B7</f>
        <v>: Penyediaan Penghasilan tetap dan Tunjangan Perbekel</v>
      </c>
      <c r="E12" s="119"/>
      <c r="F12" s="124" t="s">
        <v>1372</v>
      </c>
      <c r="G12" s="124" t="s">
        <v>1373</v>
      </c>
      <c r="H12" s="125" t="s">
        <v>1374</v>
      </c>
      <c r="I12" s="114">
        <v>1</v>
      </c>
      <c r="J12" s="114"/>
      <c r="K12" s="114"/>
      <c r="L12" s="129">
        <f>'BID I'!F20</f>
        <v>159920000</v>
      </c>
      <c r="M12" s="128" t="s">
        <v>1375</v>
      </c>
    </row>
    <row r="13" spans="1:13" s="111" customFormat="1" ht="94.5" customHeight="1" x14ac:dyDescent="0.25">
      <c r="A13" s="2136"/>
      <c r="B13" s="2127"/>
      <c r="C13" s="134">
        <v>2</v>
      </c>
      <c r="D13" s="133" t="str">
        <f>'BID I'!B35</f>
        <v>: Penyediaan Penghasilan tetap dan Tunjangan Perangkat Desa</v>
      </c>
      <c r="E13" s="119"/>
      <c r="F13" s="124" t="s">
        <v>1402</v>
      </c>
      <c r="G13" s="124" t="s">
        <v>1373</v>
      </c>
      <c r="H13" s="125" t="s">
        <v>1374</v>
      </c>
      <c r="I13" s="114">
        <v>12</v>
      </c>
      <c r="J13" s="114">
        <v>3</v>
      </c>
      <c r="K13" s="114"/>
      <c r="L13" s="130">
        <f>'BID I'!F60</f>
        <v>939625760</v>
      </c>
      <c r="M13" s="128" t="s">
        <v>1375</v>
      </c>
    </row>
    <row r="14" spans="1:13" s="111" customFormat="1" ht="108" customHeight="1" x14ac:dyDescent="0.25">
      <c r="A14" s="2136"/>
      <c r="B14" s="2127"/>
      <c r="C14" s="133">
        <v>3</v>
      </c>
      <c r="D14" s="133" t="str">
        <f>'BID I'!B76</f>
        <v>Penyediaan Jaminan Kesehatan dan Ketenaga Kerjaan Bagi Perbekel dan Perangkat Desa</v>
      </c>
      <c r="E14" s="120"/>
      <c r="F14" s="124" t="s">
        <v>1403</v>
      </c>
      <c r="G14" s="124" t="s">
        <v>1373</v>
      </c>
      <c r="H14" s="125" t="s">
        <v>1374</v>
      </c>
      <c r="I14" s="114">
        <v>13</v>
      </c>
      <c r="J14" s="114">
        <v>3</v>
      </c>
      <c r="K14" s="114"/>
      <c r="L14" s="130">
        <f>'BID I'!F94</f>
        <v>70001760</v>
      </c>
      <c r="M14" s="128" t="s">
        <v>1375</v>
      </c>
    </row>
    <row r="15" spans="1:13" s="111" customFormat="1" ht="86.25" customHeight="1" x14ac:dyDescent="0.25">
      <c r="A15" s="2136"/>
      <c r="B15" s="2127"/>
      <c r="C15" s="134">
        <v>4</v>
      </c>
      <c r="D15" s="133" t="str">
        <f>'BID I'!B110</f>
        <v>: Penyediaan Operasional Pemerintah Desa</v>
      </c>
      <c r="E15" s="119"/>
      <c r="F15" s="124" t="s">
        <v>1404</v>
      </c>
      <c r="G15" s="124" t="s">
        <v>1373</v>
      </c>
      <c r="H15" s="125" t="s">
        <v>1374</v>
      </c>
      <c r="I15" s="114">
        <v>3.5179999999999998</v>
      </c>
      <c r="J15" s="114">
        <v>3.3730000000000002</v>
      </c>
      <c r="K15" s="114"/>
      <c r="L15" s="130">
        <f>'BID I'!F277</f>
        <v>486652349</v>
      </c>
      <c r="M15" s="128" t="s">
        <v>1375</v>
      </c>
    </row>
    <row r="16" spans="1:13" s="111" customFormat="1" ht="105.75" customHeight="1" x14ac:dyDescent="0.25">
      <c r="A16" s="2136"/>
      <c r="B16" s="2127"/>
      <c r="C16" s="134">
        <v>5</v>
      </c>
      <c r="D16" s="133" t="str">
        <f>'BID I'!B293</f>
        <v>: Penyediaan Oprasional Pemerinthanan Desa ( Kegiatan Rapat - Rapat)</v>
      </c>
      <c r="E16" s="119"/>
      <c r="F16" s="124" t="s">
        <v>1405</v>
      </c>
      <c r="G16" s="124" t="s">
        <v>1373</v>
      </c>
      <c r="H16" s="125" t="s">
        <v>1374</v>
      </c>
      <c r="I16" s="114">
        <v>20</v>
      </c>
      <c r="J16" s="114">
        <v>9</v>
      </c>
      <c r="K16" s="114"/>
      <c r="L16" s="130">
        <f>'BID I'!F308</f>
        <v>25560000</v>
      </c>
      <c r="M16" s="128" t="s">
        <v>1375</v>
      </c>
    </row>
    <row r="17" spans="1:13" s="111" customFormat="1" ht="105.75" customHeight="1" x14ac:dyDescent="0.25">
      <c r="A17" s="2136"/>
      <c r="B17" s="2127"/>
      <c r="C17" s="134">
        <v>6</v>
      </c>
      <c r="D17" s="133" t="str">
        <f>'BID I'!B323</f>
        <v>: Penyediaan tunjangan BPD</v>
      </c>
      <c r="E17" s="119"/>
      <c r="F17" s="124" t="s">
        <v>1406</v>
      </c>
      <c r="G17" s="124" t="s">
        <v>1373</v>
      </c>
      <c r="H17" s="125" t="s">
        <v>1374</v>
      </c>
      <c r="I17" s="114">
        <v>8</v>
      </c>
      <c r="J17" s="114">
        <v>1</v>
      </c>
      <c r="K17" s="114"/>
      <c r="L17" s="130">
        <f>'BID I'!F349</f>
        <v>410200000</v>
      </c>
      <c r="M17" s="128" t="s">
        <v>1375</v>
      </c>
    </row>
    <row r="18" spans="1:13" s="111" customFormat="1" ht="105.75" customHeight="1" x14ac:dyDescent="0.25">
      <c r="A18" s="2136"/>
      <c r="B18" s="2127"/>
      <c r="C18" s="134">
        <v>7</v>
      </c>
      <c r="D18" s="133" t="str">
        <f>'BID I'!B365</f>
        <v>: Penyediaan Operasional BPD</v>
      </c>
      <c r="E18" s="119"/>
      <c r="F18" s="124" t="s">
        <v>1407</v>
      </c>
      <c r="G18" s="124" t="s">
        <v>1373</v>
      </c>
      <c r="H18" s="125" t="s">
        <v>1408</v>
      </c>
      <c r="I18" s="114">
        <v>8</v>
      </c>
      <c r="J18" s="114">
        <v>1</v>
      </c>
      <c r="K18" s="114"/>
      <c r="L18" s="130">
        <f>'BID I'!F390</f>
        <v>15999000</v>
      </c>
      <c r="M18" s="128" t="s">
        <v>1375</v>
      </c>
    </row>
    <row r="19" spans="1:13" s="111" customFormat="1" ht="105.75" customHeight="1" x14ac:dyDescent="0.25">
      <c r="A19" s="2136"/>
      <c r="B19" s="2127"/>
      <c r="C19" s="134">
        <v>8</v>
      </c>
      <c r="D19" s="133" t="str">
        <f>'BID I'!B406</f>
        <v>: Penyediaan Operasional BPD (Musyawarah BPD)</v>
      </c>
      <c r="E19" s="119"/>
      <c r="F19" s="124" t="s">
        <v>1409</v>
      </c>
      <c r="G19" s="124" t="s">
        <v>1373</v>
      </c>
      <c r="H19" s="125" t="s">
        <v>1410</v>
      </c>
      <c r="I19" s="114">
        <v>3.5179999999999998</v>
      </c>
      <c r="J19" s="114">
        <v>3.3730000000000002</v>
      </c>
      <c r="K19" s="114"/>
      <c r="L19" s="130">
        <f>'BID I'!F429</f>
        <v>12400000</v>
      </c>
      <c r="M19" s="128" t="s">
        <v>1375</v>
      </c>
    </row>
    <row r="20" spans="1:13" s="111" customFormat="1" ht="105.75" customHeight="1" x14ac:dyDescent="0.25">
      <c r="A20" s="2136"/>
      <c r="B20" s="2127"/>
      <c r="C20" s="134">
        <v>9</v>
      </c>
      <c r="D20" s="133" t="str">
        <f>'BID I'!B479</f>
        <v xml:space="preserve">: Penyediaan Penghasilan Staf Desa </v>
      </c>
      <c r="E20" s="119"/>
      <c r="F20" s="124" t="s">
        <v>1411</v>
      </c>
      <c r="G20" s="124" t="s">
        <v>1373</v>
      </c>
      <c r="H20" s="125" t="s">
        <v>1412</v>
      </c>
      <c r="I20" s="114">
        <v>9</v>
      </c>
      <c r="J20" s="114">
        <v>4</v>
      </c>
      <c r="K20" s="114"/>
      <c r="L20" s="130">
        <f>'BID I'!F495</f>
        <v>482054400</v>
      </c>
      <c r="M20" s="128" t="s">
        <v>1375</v>
      </c>
    </row>
    <row r="21" spans="1:13" s="111" customFormat="1" ht="105.75" customHeight="1" x14ac:dyDescent="0.25">
      <c r="A21" s="2136"/>
      <c r="B21" s="2127"/>
      <c r="C21" s="133">
        <v>10</v>
      </c>
      <c r="D21" s="133" t="str">
        <f>'BID I'!B656</f>
        <v>: Penyediaan opersional pemerintah Desa 3% DD</v>
      </c>
      <c r="E21" s="119"/>
      <c r="F21" s="124" t="s">
        <v>1630</v>
      </c>
      <c r="G21" s="124" t="s">
        <v>1373</v>
      </c>
      <c r="H21" s="125" t="s">
        <v>1417</v>
      </c>
      <c r="I21" s="114">
        <v>3.5179999999999998</v>
      </c>
      <c r="J21" s="114">
        <v>3.3730000000000002</v>
      </c>
      <c r="K21" s="130" t="e">
        <f>'BID I'!#REF!</f>
        <v>#REF!</v>
      </c>
      <c r="L21" s="130" t="e">
        <f>'BID I'!#REF!</f>
        <v>#REF!</v>
      </c>
      <c r="M21" s="128" t="s">
        <v>1375</v>
      </c>
    </row>
    <row r="22" spans="1:13" s="111" customFormat="1" ht="105.75" customHeight="1" x14ac:dyDescent="0.25">
      <c r="A22" s="2136"/>
      <c r="B22" s="2127"/>
      <c r="C22" s="134">
        <v>11</v>
      </c>
      <c r="D22" s="133" t="str">
        <f>'BID I'!B657</f>
        <v>: Penyediaan Kegiatan Sosial Desa</v>
      </c>
      <c r="E22" s="119"/>
      <c r="F22" s="124" t="s">
        <v>1413</v>
      </c>
      <c r="G22" s="124" t="s">
        <v>1373</v>
      </c>
      <c r="H22" s="125" t="s">
        <v>1374</v>
      </c>
      <c r="I22" s="114">
        <v>3.5179999999999998</v>
      </c>
      <c r="J22" s="114">
        <v>3.3730000000000002</v>
      </c>
      <c r="K22" s="114"/>
      <c r="L22" s="130">
        <f>'BID I'!F674</f>
        <v>34032000</v>
      </c>
      <c r="M22" s="128" t="s">
        <v>1375</v>
      </c>
    </row>
    <row r="23" spans="1:13" s="111" customFormat="1" ht="105.75" customHeight="1" x14ac:dyDescent="0.25">
      <c r="A23" s="2136"/>
      <c r="B23" s="2127"/>
      <c r="C23" s="134">
        <v>12</v>
      </c>
      <c r="D23" s="133" t="str">
        <f>'BID I'!B689</f>
        <v>: Administrasi Bank</v>
      </c>
      <c r="E23" s="119"/>
      <c r="F23" s="124" t="s">
        <v>1413</v>
      </c>
      <c r="G23" s="124" t="s">
        <v>1373</v>
      </c>
      <c r="H23" s="125" t="s">
        <v>1374</v>
      </c>
      <c r="I23" s="114">
        <v>20</v>
      </c>
      <c r="J23" s="114">
        <v>8</v>
      </c>
      <c r="K23" s="114"/>
      <c r="L23" s="130">
        <f>'BID I'!F700</f>
        <v>0</v>
      </c>
      <c r="M23" s="128" t="s">
        <v>1375</v>
      </c>
    </row>
    <row r="24" spans="1:13" s="111" customFormat="1" ht="105.75" customHeight="1" x14ac:dyDescent="0.25">
      <c r="A24" s="2136"/>
      <c r="B24" s="2127"/>
      <c r="C24" s="134">
        <v>13</v>
      </c>
      <c r="D24" s="133" t="str">
        <f>'BID I'!B716</f>
        <v>: Tambahan  Penghasilan Perbekel dari BKK</v>
      </c>
      <c r="E24" s="119"/>
      <c r="F24" s="124" t="s">
        <v>1372</v>
      </c>
      <c r="G24" s="124" t="s">
        <v>1373</v>
      </c>
      <c r="H24" s="125" t="s">
        <v>1374</v>
      </c>
      <c r="I24" s="114">
        <v>1</v>
      </c>
      <c r="J24" s="114"/>
      <c r="K24" s="114"/>
      <c r="L24" s="130">
        <f>'BID I'!F728</f>
        <v>22500000</v>
      </c>
      <c r="M24" s="128" t="s">
        <v>1375</v>
      </c>
    </row>
    <row r="25" spans="1:13" s="111" customFormat="1" ht="105.75" customHeight="1" x14ac:dyDescent="0.25">
      <c r="A25" s="2136"/>
      <c r="B25" s="2127"/>
      <c r="C25" s="134">
        <v>14</v>
      </c>
      <c r="D25" s="133" t="str">
        <f>'BID I'!B778</f>
        <v>: Penyediaan Aset Tetap (Prasarana Kantor Desa)</v>
      </c>
      <c r="E25" s="119"/>
      <c r="F25" s="124" t="s">
        <v>1415</v>
      </c>
      <c r="G25" s="124" t="s">
        <v>1373</v>
      </c>
      <c r="H25" s="125" t="s">
        <v>1414</v>
      </c>
      <c r="I25" s="114">
        <v>20</v>
      </c>
      <c r="J25" s="114">
        <v>8</v>
      </c>
      <c r="K25" s="114"/>
      <c r="L25" s="130">
        <f>'BID I'!F802</f>
        <v>84962003.659999996</v>
      </c>
      <c r="M25" s="128" t="s">
        <v>1375</v>
      </c>
    </row>
    <row r="26" spans="1:13" s="111" customFormat="1" ht="105.75" customHeight="1" x14ac:dyDescent="0.25">
      <c r="A26" s="2136"/>
      <c r="B26" s="2127"/>
      <c r="C26" s="134">
        <v>15</v>
      </c>
      <c r="D26" s="133" t="e">
        <f>'BID I'!#REF!</f>
        <v>#REF!</v>
      </c>
      <c r="E26" s="119"/>
      <c r="F26" s="124" t="s">
        <v>1416</v>
      </c>
      <c r="G26" s="124" t="s">
        <v>1373</v>
      </c>
      <c r="H26" s="125" t="s">
        <v>1417</v>
      </c>
      <c r="I26" s="114">
        <v>3.5179999999999998</v>
      </c>
      <c r="J26" s="114">
        <v>3.3730000000000002</v>
      </c>
      <c r="K26" s="114"/>
      <c r="L26" s="130" t="e">
        <f>'BID I'!#REF!</f>
        <v>#REF!</v>
      </c>
      <c r="M26" s="128" t="s">
        <v>1375</v>
      </c>
    </row>
    <row r="27" spans="1:13" s="111" customFormat="1" ht="105.75" customHeight="1" x14ac:dyDescent="0.25">
      <c r="A27" s="2136"/>
      <c r="B27" s="2127"/>
      <c r="C27" s="134">
        <v>16</v>
      </c>
      <c r="D27" s="133" t="e">
        <f>'BID I'!#REF!</f>
        <v>#REF!</v>
      </c>
      <c r="E27" s="119"/>
      <c r="F27" s="124" t="s">
        <v>1416</v>
      </c>
      <c r="G27" s="124" t="s">
        <v>1373</v>
      </c>
      <c r="H27" s="125" t="s">
        <v>1417</v>
      </c>
      <c r="I27" s="114">
        <v>3.5179999999999998</v>
      </c>
      <c r="J27" s="114">
        <v>3.3730000000000002</v>
      </c>
      <c r="K27" s="114"/>
      <c r="L27" s="130" t="e">
        <f>'BID I'!#REF!</f>
        <v>#REF!</v>
      </c>
      <c r="M27" s="128" t="s">
        <v>1375</v>
      </c>
    </row>
    <row r="28" spans="1:13" s="111" customFormat="1" ht="105.75" customHeight="1" x14ac:dyDescent="0.25">
      <c r="A28" s="2136"/>
      <c r="B28" s="2127"/>
      <c r="C28" s="133">
        <v>17</v>
      </c>
      <c r="D28" s="133" t="e">
        <f>'BID I'!#REF!</f>
        <v>#REF!</v>
      </c>
      <c r="E28" s="119"/>
      <c r="F28" s="124" t="s">
        <v>1416</v>
      </c>
      <c r="G28" s="124" t="s">
        <v>1373</v>
      </c>
      <c r="H28" s="125" t="s">
        <v>1417</v>
      </c>
      <c r="I28" s="114">
        <v>3.5179999999999998</v>
      </c>
      <c r="J28" s="114">
        <v>3.3730000000000002</v>
      </c>
      <c r="K28" s="114"/>
      <c r="L28" s="130" t="e">
        <f>'BID I'!#REF!</f>
        <v>#REF!</v>
      </c>
      <c r="M28" s="128" t="s">
        <v>1375</v>
      </c>
    </row>
    <row r="29" spans="1:13" s="111" customFormat="1" ht="105.75" customHeight="1" x14ac:dyDescent="0.25">
      <c r="A29" s="2136"/>
      <c r="B29" s="2127"/>
      <c r="C29" s="134">
        <v>18</v>
      </c>
      <c r="D29" s="133" t="e">
        <f>'BID I'!#REF!</f>
        <v>#REF!</v>
      </c>
      <c r="E29" s="119"/>
      <c r="F29" s="124" t="s">
        <v>1416</v>
      </c>
      <c r="G29" s="124" t="s">
        <v>1373</v>
      </c>
      <c r="H29" s="125" t="s">
        <v>1417</v>
      </c>
      <c r="I29" s="114">
        <v>3.5179999999999998</v>
      </c>
      <c r="J29" s="114">
        <v>3.3730000000000002</v>
      </c>
      <c r="K29" s="114"/>
      <c r="L29" s="130" t="e">
        <f>'BID I'!#REF!</f>
        <v>#REF!</v>
      </c>
      <c r="M29" s="128" t="s">
        <v>1375</v>
      </c>
    </row>
    <row r="30" spans="1:13" s="111" customFormat="1" ht="105.75" customHeight="1" x14ac:dyDescent="0.25">
      <c r="A30" s="2136"/>
      <c r="B30" s="2127"/>
      <c r="C30" s="134">
        <v>19</v>
      </c>
      <c r="D30" s="133" t="e">
        <f>'BID I'!#REF!</f>
        <v>#REF!</v>
      </c>
      <c r="E30" s="119"/>
      <c r="F30" s="124" t="s">
        <v>1416</v>
      </c>
      <c r="G30" s="124" t="s">
        <v>1373</v>
      </c>
      <c r="H30" s="125" t="s">
        <v>1417</v>
      </c>
      <c r="I30" s="114">
        <v>3.5179999999999998</v>
      </c>
      <c r="J30" s="114">
        <v>3.3730000000000002</v>
      </c>
      <c r="K30" s="114"/>
      <c r="L30" s="130" t="e">
        <f>'BID I'!#REF!</f>
        <v>#REF!</v>
      </c>
      <c r="M30" s="128" t="s">
        <v>1375</v>
      </c>
    </row>
    <row r="31" spans="1:13" s="111" customFormat="1" ht="105.75" customHeight="1" x14ac:dyDescent="0.25">
      <c r="A31" s="2136"/>
      <c r="B31" s="2127"/>
      <c r="C31" s="134">
        <v>20</v>
      </c>
      <c r="D31" s="133" t="str">
        <f>'BID I'!B919</f>
        <v>: Penyusunan/ Pendataan/Pemuktahiran Profil Desa (Profil Kependudukan dan potensi Desa )</v>
      </c>
      <c r="E31" s="119"/>
      <c r="F31" s="124" t="s">
        <v>1418</v>
      </c>
      <c r="G31" s="124" t="s">
        <v>1373</v>
      </c>
      <c r="H31" s="125" t="s">
        <v>1417</v>
      </c>
      <c r="I31" s="114">
        <v>3.5179999999999998</v>
      </c>
      <c r="J31" s="114">
        <v>3.3730000000000002</v>
      </c>
      <c r="K31" s="114"/>
      <c r="L31" s="130">
        <f>'BID I'!F959</f>
        <v>51506000</v>
      </c>
      <c r="M31" s="128" t="s">
        <v>1375</v>
      </c>
    </row>
    <row r="32" spans="1:13" s="111" customFormat="1" ht="105.75" customHeight="1" x14ac:dyDescent="0.25">
      <c r="A32" s="2136"/>
      <c r="B32" s="2127"/>
      <c r="C32" s="134">
        <v>21</v>
      </c>
      <c r="D32" s="133" t="e">
        <f>'BID I'!#REF!</f>
        <v>#REF!</v>
      </c>
      <c r="E32" s="119"/>
      <c r="F32" s="124" t="s">
        <v>1495</v>
      </c>
      <c r="G32" s="124" t="s">
        <v>1373</v>
      </c>
      <c r="H32" s="125" t="s">
        <v>1417</v>
      </c>
      <c r="I32" s="114">
        <v>3.5179999999999998</v>
      </c>
      <c r="J32" s="114">
        <v>3.3730000000000002</v>
      </c>
      <c r="K32" s="114"/>
      <c r="L32" s="130" t="e">
        <f>'BID I'!#REF!</f>
        <v>#REF!</v>
      </c>
      <c r="M32" s="128" t="s">
        <v>1375</v>
      </c>
    </row>
    <row r="33" spans="1:13" s="111" customFormat="1" ht="105.75" customHeight="1" x14ac:dyDescent="0.25">
      <c r="A33" s="2136"/>
      <c r="B33" s="2127"/>
      <c r="C33" s="134">
        <v>22</v>
      </c>
      <c r="D33" s="133" t="str">
        <f>'BID I'!B975</f>
        <v>: Pengelolaan Administrasi dan Kearsipan pemerintahan Desa ( Pelatihan )</v>
      </c>
      <c r="E33" s="119"/>
      <c r="F33" s="123" t="s">
        <v>1419</v>
      </c>
      <c r="G33" s="124" t="s">
        <v>1373</v>
      </c>
      <c r="H33" s="125" t="s">
        <v>1417</v>
      </c>
      <c r="I33" s="114">
        <v>20</v>
      </c>
      <c r="J33" s="114">
        <v>8</v>
      </c>
      <c r="K33" s="119"/>
      <c r="L33" s="130">
        <f>'BID I'!F998</f>
        <v>910000</v>
      </c>
      <c r="M33" s="128" t="s">
        <v>1375</v>
      </c>
    </row>
    <row r="34" spans="1:13" ht="105.75" customHeight="1" x14ac:dyDescent="0.25">
      <c r="A34" s="2136"/>
      <c r="B34" s="2127"/>
      <c r="C34" s="134">
        <v>23</v>
      </c>
      <c r="D34" s="133" t="str">
        <f>'BID I'!B1013</f>
        <v>: Pendataan Administrasi Penduduk Non Permanen (Penertiban Penduduk Pendatang dan Sidak Dialogis)</v>
      </c>
      <c r="E34" s="119"/>
      <c r="F34" s="124" t="s">
        <v>1420</v>
      </c>
      <c r="G34" s="124" t="s">
        <v>1373</v>
      </c>
      <c r="H34" s="125" t="s">
        <v>1421</v>
      </c>
      <c r="I34" s="114">
        <v>3.5179999999999998</v>
      </c>
      <c r="J34" s="114">
        <v>3.3730000000000002</v>
      </c>
      <c r="K34" s="356"/>
      <c r="L34" s="130">
        <f>'BID I'!F1038</f>
        <v>41205000</v>
      </c>
      <c r="M34" s="128" t="s">
        <v>1375</v>
      </c>
    </row>
    <row r="35" spans="1:13" ht="105.75" customHeight="1" x14ac:dyDescent="0.25">
      <c r="A35" s="2136"/>
      <c r="B35" s="2127"/>
      <c r="C35" s="133">
        <v>24</v>
      </c>
      <c r="D35" s="133" t="str">
        <f>'BID I'!B1054</f>
        <v>Penyelenggaraan Musyawarah Desa/ Pembahasan APBDes (Musrenbangdes)</v>
      </c>
      <c r="E35" s="119"/>
      <c r="F35" s="124" t="s">
        <v>1413</v>
      </c>
      <c r="G35" s="124" t="s">
        <v>1373</v>
      </c>
      <c r="H35" s="125" t="s">
        <v>1377</v>
      </c>
      <c r="I35" s="114">
        <v>3.5179999999999998</v>
      </c>
      <c r="J35" s="114">
        <v>3.3730000000000002</v>
      </c>
      <c r="K35" s="356"/>
      <c r="L35" s="130">
        <f>'BID I'!F1082</f>
        <v>22595200</v>
      </c>
      <c r="M35" s="128" t="s">
        <v>1375</v>
      </c>
    </row>
    <row r="36" spans="1:13" ht="105.75" customHeight="1" x14ac:dyDescent="0.25">
      <c r="A36" s="2136"/>
      <c r="B36" s="2127"/>
      <c r="C36" s="134">
        <v>25</v>
      </c>
      <c r="D36" s="133" t="str">
        <f>'BID I'!B1098</f>
        <v>Penyelenggaraan Musyawarah Desa/ Pembahasan APBDes (Musdes, Musrenbangdes/pra musrenbangdes, dll yang bersifat reguler )</v>
      </c>
      <c r="E36" s="119"/>
      <c r="F36" s="124" t="s">
        <v>1413</v>
      </c>
      <c r="G36" s="124" t="s">
        <v>1373</v>
      </c>
      <c r="H36" s="125" t="s">
        <v>1422</v>
      </c>
      <c r="I36" s="114">
        <v>3.5179999999999998</v>
      </c>
      <c r="J36" s="114">
        <v>3.3730000000000002</v>
      </c>
      <c r="K36" s="356"/>
      <c r="L36" s="130">
        <f>'BID I'!F1126</f>
        <v>41416000</v>
      </c>
      <c r="M36" s="128" t="s">
        <v>1375</v>
      </c>
    </row>
    <row r="37" spans="1:13" ht="105.75" customHeight="1" x14ac:dyDescent="0.25">
      <c r="A37" s="2136"/>
      <c r="B37" s="2127"/>
      <c r="C37" s="134">
        <v>26</v>
      </c>
      <c r="D37" s="133" t="str">
        <f>'BID I'!B1143</f>
        <v>: Penyelenggaraan Musyawarah Desa lainya (yang bersifat non reguler )</v>
      </c>
      <c r="E37" s="119"/>
      <c r="F37" s="124" t="s">
        <v>1413</v>
      </c>
      <c r="G37" s="124" t="s">
        <v>1373</v>
      </c>
      <c r="H37" s="125" t="s">
        <v>1423</v>
      </c>
      <c r="I37" s="114">
        <v>3.5179999999999998</v>
      </c>
      <c r="J37" s="114">
        <v>3.3730000000000002</v>
      </c>
      <c r="K37" s="356"/>
      <c r="L37" s="130">
        <f>'BID I'!F1171</f>
        <v>41412000</v>
      </c>
      <c r="M37" s="128" t="s">
        <v>1375</v>
      </c>
    </row>
    <row r="38" spans="1:13" ht="105.75" customHeight="1" x14ac:dyDescent="0.25">
      <c r="A38" s="2136"/>
      <c r="B38" s="2127"/>
      <c r="C38" s="134">
        <v>27</v>
      </c>
      <c r="D38" s="133" t="str">
        <f>'BID I'!B1219</f>
        <v>Penyusunan Dokumen Perencanaan Desa (RKP Desa 2025)</v>
      </c>
      <c r="E38" s="119"/>
      <c r="F38" s="124" t="s">
        <v>1413</v>
      </c>
      <c r="G38" s="124" t="s">
        <v>1373</v>
      </c>
      <c r="H38" s="125" t="s">
        <v>1377</v>
      </c>
      <c r="I38" s="114">
        <v>3.5179999999999998</v>
      </c>
      <c r="J38" s="114">
        <v>3.3730000000000002</v>
      </c>
      <c r="K38" s="356"/>
      <c r="L38" s="130">
        <f>'BID I'!F1245</f>
        <v>25930000</v>
      </c>
      <c r="M38" s="128" t="s">
        <v>1375</v>
      </c>
    </row>
    <row r="39" spans="1:13" ht="105.75" customHeight="1" x14ac:dyDescent="0.25">
      <c r="A39" s="2136"/>
      <c r="B39" s="2127"/>
      <c r="C39" s="134">
        <v>28</v>
      </c>
      <c r="D39" s="133" t="str">
        <f>'BID I'!B1260</f>
        <v>: Penyusunan dokumen keuangan Desa (APBDesa 2025 )</v>
      </c>
      <c r="E39" s="119"/>
      <c r="F39" s="124" t="s">
        <v>1413</v>
      </c>
      <c r="G39" s="124" t="s">
        <v>1373</v>
      </c>
      <c r="H39" s="125" t="s">
        <v>1377</v>
      </c>
      <c r="I39" s="114">
        <v>3.5179999999999998</v>
      </c>
      <c r="J39" s="114">
        <v>3.3730000000000002</v>
      </c>
      <c r="K39" s="356"/>
      <c r="L39" s="130">
        <f>'BID I'!F1275</f>
        <v>5175000</v>
      </c>
      <c r="M39" s="128" t="s">
        <v>1375</v>
      </c>
    </row>
    <row r="40" spans="1:13" ht="105.75" customHeight="1" x14ac:dyDescent="0.25">
      <c r="A40" s="2136"/>
      <c r="B40" s="2127"/>
      <c r="C40" s="134">
        <v>29</v>
      </c>
      <c r="D40" s="133" t="str">
        <f>'BID I'!B1291</f>
        <v>: Penyusunan dokumen keuangan Desa (APBDesa Perubahan 2024)</v>
      </c>
      <c r="E40" s="119"/>
      <c r="F40" s="124" t="s">
        <v>1413</v>
      </c>
      <c r="G40" s="124" t="s">
        <v>1373</v>
      </c>
      <c r="H40" s="125" t="s">
        <v>1377</v>
      </c>
      <c r="I40" s="114">
        <v>3.5179999999999998</v>
      </c>
      <c r="J40" s="114">
        <v>3.3730000000000002</v>
      </c>
      <c r="K40" s="356"/>
      <c r="L40" s="130">
        <f>'BID I'!F1306</f>
        <v>4805000</v>
      </c>
      <c r="M40" s="128" t="s">
        <v>1375</v>
      </c>
    </row>
    <row r="41" spans="1:13" ht="105.75" customHeight="1" x14ac:dyDescent="0.25">
      <c r="A41" s="2136"/>
      <c r="B41" s="2127"/>
      <c r="C41" s="134">
        <v>30</v>
      </c>
      <c r="D41" s="133" t="str">
        <f>'BID I'!B1321</f>
        <v>: Penyusunan dokumen keuangan Desa ( LPJ APBDesa 2023)</v>
      </c>
      <c r="E41" s="119"/>
      <c r="F41" s="124" t="s">
        <v>1413</v>
      </c>
      <c r="G41" s="124" t="s">
        <v>1373</v>
      </c>
      <c r="H41" s="125" t="s">
        <v>1377</v>
      </c>
      <c r="I41" s="114">
        <v>3.5179999999999998</v>
      </c>
      <c r="J41" s="114">
        <v>3.3730000000000002</v>
      </c>
      <c r="K41" s="356"/>
      <c r="L41" s="130">
        <f>'BID I'!F1333</f>
        <v>1575000</v>
      </c>
      <c r="M41" s="128" t="s">
        <v>1375</v>
      </c>
    </row>
    <row r="42" spans="1:13" ht="105.75" customHeight="1" x14ac:dyDescent="0.25">
      <c r="A42" s="2137"/>
      <c r="B42" s="2128"/>
      <c r="C42" s="133">
        <v>31</v>
      </c>
      <c r="D42" s="132" t="str">
        <f>'BID I'!B1349</f>
        <v>: Penyusunan laporan Kepala Desa/ Penyelenggaraan Pemerintah Desa (Laporan akhir tahun anggaran )</v>
      </c>
      <c r="E42" s="465"/>
      <c r="F42" s="466" t="s">
        <v>1413</v>
      </c>
      <c r="G42" s="466" t="s">
        <v>1373</v>
      </c>
      <c r="H42" s="128" t="s">
        <v>1377</v>
      </c>
      <c r="I42" s="114">
        <v>3.5179999999999998</v>
      </c>
      <c r="J42" s="114">
        <v>3.3730000000000002</v>
      </c>
      <c r="K42" s="472"/>
      <c r="L42" s="129">
        <f>'BID I'!F1362</f>
        <v>1625000</v>
      </c>
      <c r="M42" s="128" t="s">
        <v>1375</v>
      </c>
    </row>
    <row r="43" spans="1:13" ht="17.25" customHeight="1" x14ac:dyDescent="0.25">
      <c r="A43" s="251"/>
      <c r="B43" s="251"/>
      <c r="C43" s="131"/>
      <c r="D43" s="132"/>
      <c r="E43" s="465"/>
      <c r="F43" s="466"/>
      <c r="G43" s="466"/>
      <c r="H43" s="128"/>
      <c r="I43" s="475"/>
      <c r="J43" s="475"/>
      <c r="K43" s="472"/>
      <c r="L43" s="129"/>
      <c r="M43" s="128"/>
    </row>
    <row r="44" spans="1:13" ht="21.75" customHeight="1" x14ac:dyDescent="0.3">
      <c r="A44" s="2141" t="s">
        <v>1567</v>
      </c>
      <c r="B44" s="2141"/>
      <c r="C44" s="2141"/>
      <c r="D44" s="2141"/>
      <c r="E44" s="2141"/>
      <c r="F44" s="2141"/>
      <c r="G44" s="2141"/>
      <c r="H44" s="2141"/>
      <c r="I44" s="2141"/>
      <c r="J44" s="2141"/>
      <c r="K44" s="2141"/>
      <c r="L44" s="470" t="e">
        <f>SUM(L12:L42)</f>
        <v>#REF!</v>
      </c>
      <c r="M44" s="32"/>
    </row>
    <row r="45" spans="1:13" s="111" customFormat="1" ht="63" customHeight="1" x14ac:dyDescent="0.25">
      <c r="A45" s="2099" t="s">
        <v>1295</v>
      </c>
      <c r="B45" s="2099" t="s">
        <v>1345</v>
      </c>
      <c r="C45" s="2099"/>
      <c r="D45" s="2099"/>
      <c r="E45" s="2098" t="s">
        <v>1516</v>
      </c>
      <c r="F45" s="2098" t="s">
        <v>1517</v>
      </c>
      <c r="G45" s="2098" t="s">
        <v>1518</v>
      </c>
      <c r="H45" s="2098" t="s">
        <v>1519</v>
      </c>
      <c r="I45" s="2099" t="s">
        <v>1350</v>
      </c>
      <c r="J45" s="2099"/>
      <c r="K45" s="2099"/>
      <c r="L45" s="2098" t="s">
        <v>1520</v>
      </c>
      <c r="M45" s="2098"/>
    </row>
    <row r="46" spans="1:13" s="111" customFormat="1" ht="32.25" customHeight="1" x14ac:dyDescent="0.25">
      <c r="A46" s="2099"/>
      <c r="B46" s="452" t="s">
        <v>1354</v>
      </c>
      <c r="C46" s="453" t="s">
        <v>1521</v>
      </c>
      <c r="D46" s="453" t="s">
        <v>1522</v>
      </c>
      <c r="E46" s="2098"/>
      <c r="F46" s="2098"/>
      <c r="G46" s="2098"/>
      <c r="H46" s="2098"/>
      <c r="I46" s="452" t="s">
        <v>1523</v>
      </c>
      <c r="J46" s="452" t="s">
        <v>1524</v>
      </c>
      <c r="K46" s="452" t="s">
        <v>1525</v>
      </c>
      <c r="L46" s="468" t="s">
        <v>1526</v>
      </c>
      <c r="M46" s="452" t="s">
        <v>1357</v>
      </c>
    </row>
    <row r="47" spans="1:13" s="111" customFormat="1" ht="15.75" x14ac:dyDescent="0.25">
      <c r="A47" s="117" t="s">
        <v>1358</v>
      </c>
      <c r="B47" s="117" t="s">
        <v>1359</v>
      </c>
      <c r="C47" s="117" t="s">
        <v>1360</v>
      </c>
      <c r="D47" s="117" t="s">
        <v>1361</v>
      </c>
      <c r="E47" s="117" t="s">
        <v>1362</v>
      </c>
      <c r="F47" s="117" t="s">
        <v>1363</v>
      </c>
      <c r="G47" s="118" t="s">
        <v>1364</v>
      </c>
      <c r="H47" s="114" t="s">
        <v>1365</v>
      </c>
      <c r="I47" s="114" t="s">
        <v>1366</v>
      </c>
      <c r="J47" s="114" t="s">
        <v>1367</v>
      </c>
      <c r="K47" s="114" t="s">
        <v>1368</v>
      </c>
      <c r="L47" s="469" t="s">
        <v>1369</v>
      </c>
      <c r="M47" s="117" t="s">
        <v>539</v>
      </c>
    </row>
    <row r="48" spans="1:13" ht="105.75" customHeight="1" x14ac:dyDescent="0.25">
      <c r="A48" s="2129">
        <v>2</v>
      </c>
      <c r="B48" s="2138" t="s">
        <v>1573</v>
      </c>
      <c r="C48" s="134">
        <v>1</v>
      </c>
      <c r="D48" s="127" t="e">
        <f>'BID II'!#REF!</f>
        <v>#REF!</v>
      </c>
      <c r="E48" s="117"/>
      <c r="F48" s="133" t="s">
        <v>1379</v>
      </c>
      <c r="G48" s="124" t="s">
        <v>1373</v>
      </c>
      <c r="H48" s="125" t="s">
        <v>1377</v>
      </c>
      <c r="I48" s="267">
        <v>40</v>
      </c>
      <c r="J48" s="267">
        <v>40</v>
      </c>
      <c r="K48" s="356"/>
      <c r="L48" s="470" t="e">
        <f>#REF!</f>
        <v>#REF!</v>
      </c>
      <c r="M48" s="125" t="s">
        <v>1375</v>
      </c>
    </row>
    <row r="49" spans="1:13" ht="105.75" customHeight="1" x14ac:dyDescent="0.25">
      <c r="A49" s="2130"/>
      <c r="B49" s="2139"/>
      <c r="C49" s="134">
        <v>2</v>
      </c>
      <c r="D49" s="127" t="e">
        <f>'BID II'!#REF!</f>
        <v>#REF!</v>
      </c>
      <c r="E49" s="117"/>
      <c r="F49" s="133" t="s">
        <v>1506</v>
      </c>
      <c r="G49" s="124" t="s">
        <v>1373</v>
      </c>
      <c r="H49" s="125" t="s">
        <v>1377</v>
      </c>
      <c r="I49" s="267">
        <v>40</v>
      </c>
      <c r="J49" s="267">
        <v>40</v>
      </c>
      <c r="K49" s="356"/>
      <c r="L49" s="470" t="e">
        <f>#REF!</f>
        <v>#REF!</v>
      </c>
      <c r="M49" s="125" t="s">
        <v>1375</v>
      </c>
    </row>
    <row r="50" spans="1:13" ht="105.75" customHeight="1" x14ac:dyDescent="0.25">
      <c r="A50" s="2130"/>
      <c r="B50" s="2139"/>
      <c r="C50" s="134">
        <v>3</v>
      </c>
      <c r="D50" s="127" t="e">
        <f>'BID II'!#REF!</f>
        <v>#REF!</v>
      </c>
      <c r="E50" s="117"/>
      <c r="F50" s="133" t="s">
        <v>1506</v>
      </c>
      <c r="G50" s="124" t="s">
        <v>1373</v>
      </c>
      <c r="H50" s="125" t="s">
        <v>1377</v>
      </c>
      <c r="I50" s="267">
        <v>40</v>
      </c>
      <c r="J50" s="267">
        <v>40</v>
      </c>
      <c r="K50" s="356"/>
      <c r="L50" s="470" t="e">
        <f>#REF!</f>
        <v>#REF!</v>
      </c>
      <c r="M50" s="125" t="s">
        <v>1375</v>
      </c>
    </row>
    <row r="51" spans="1:13" ht="105.75" customHeight="1" x14ac:dyDescent="0.25">
      <c r="A51" s="2130"/>
      <c r="B51" s="2139"/>
      <c r="C51" s="134">
        <v>4</v>
      </c>
      <c r="D51" s="133" t="e">
        <f>'BID II'!#REF!</f>
        <v>#REF!</v>
      </c>
      <c r="E51" s="117"/>
      <c r="F51" s="133" t="s">
        <v>1424</v>
      </c>
      <c r="G51" s="124" t="s">
        <v>1373</v>
      </c>
      <c r="H51" s="125" t="s">
        <v>1408</v>
      </c>
      <c r="I51" s="267">
        <v>2</v>
      </c>
      <c r="J51" s="267">
        <v>3</v>
      </c>
      <c r="K51" s="356"/>
      <c r="L51" s="470" t="e">
        <f>#REF!</f>
        <v>#REF!</v>
      </c>
      <c r="M51" s="125" t="s">
        <v>1375</v>
      </c>
    </row>
    <row r="52" spans="1:13" ht="105.75" customHeight="1" x14ac:dyDescent="0.25">
      <c r="A52" s="2130"/>
      <c r="B52" s="2139"/>
      <c r="C52" s="134">
        <v>5</v>
      </c>
      <c r="D52" s="133" t="e">
        <f>'BID II'!#REF!</f>
        <v>#REF!</v>
      </c>
      <c r="E52" s="117"/>
      <c r="F52" s="133" t="s">
        <v>1425</v>
      </c>
      <c r="G52" s="124" t="s">
        <v>1373</v>
      </c>
      <c r="H52" s="125" t="s">
        <v>1408</v>
      </c>
      <c r="I52" s="267">
        <v>215</v>
      </c>
      <c r="J52" s="267">
        <v>218</v>
      </c>
      <c r="K52" s="356"/>
      <c r="L52" s="470" t="e">
        <f>#REF!</f>
        <v>#REF!</v>
      </c>
      <c r="M52" s="125" t="s">
        <v>1375</v>
      </c>
    </row>
    <row r="53" spans="1:13" ht="105.75" customHeight="1" x14ac:dyDescent="0.25">
      <c r="A53" s="2130"/>
      <c r="B53" s="2139"/>
      <c r="C53" s="134">
        <v>6</v>
      </c>
      <c r="D53" s="133" t="e">
        <f>'BID II'!#REF!</f>
        <v>#REF!</v>
      </c>
      <c r="E53" s="117"/>
      <c r="F53" s="133" t="s">
        <v>1426</v>
      </c>
      <c r="G53" s="124" t="s">
        <v>1373</v>
      </c>
      <c r="H53" s="125" t="s">
        <v>1377</v>
      </c>
      <c r="I53" s="267"/>
      <c r="J53" s="267">
        <v>15</v>
      </c>
      <c r="K53" s="356"/>
      <c r="L53" s="470" t="e">
        <f>#REF!</f>
        <v>#REF!</v>
      </c>
      <c r="M53" s="125" t="s">
        <v>1375</v>
      </c>
    </row>
    <row r="54" spans="1:13" ht="105.75" customHeight="1" x14ac:dyDescent="0.25">
      <c r="A54" s="2130"/>
      <c r="B54" s="2139"/>
      <c r="C54" s="134">
        <v>7</v>
      </c>
      <c r="D54" s="133" t="e">
        <f>'BID II'!#REF!</f>
        <v>#REF!</v>
      </c>
      <c r="E54" s="117"/>
      <c r="F54" s="133" t="s">
        <v>1427</v>
      </c>
      <c r="G54" s="124" t="s">
        <v>1373</v>
      </c>
      <c r="H54" s="125" t="s">
        <v>1408</v>
      </c>
      <c r="I54" s="267"/>
      <c r="J54" s="267">
        <v>30</v>
      </c>
      <c r="K54" s="356"/>
      <c r="L54" s="470" t="e">
        <f>#REF!</f>
        <v>#REF!</v>
      </c>
      <c r="M54" s="125" t="s">
        <v>1375</v>
      </c>
    </row>
    <row r="55" spans="1:13" ht="105.75" customHeight="1" x14ac:dyDescent="0.25">
      <c r="A55" s="2130"/>
      <c r="B55" s="2139"/>
      <c r="C55" s="134">
        <v>8</v>
      </c>
      <c r="D55" s="133" t="e">
        <f>'BID II'!#REF!</f>
        <v>#REF!</v>
      </c>
      <c r="E55" s="117"/>
      <c r="F55" s="133" t="s">
        <v>1428</v>
      </c>
      <c r="G55" s="124" t="s">
        <v>1373</v>
      </c>
      <c r="H55" s="125" t="s">
        <v>1377</v>
      </c>
      <c r="I55" s="267"/>
      <c r="J55" s="267">
        <v>6</v>
      </c>
      <c r="K55" s="356"/>
      <c r="L55" s="470" t="e">
        <f>#REF!</f>
        <v>#REF!</v>
      </c>
      <c r="M55" s="125" t="s">
        <v>1375</v>
      </c>
    </row>
    <row r="56" spans="1:13" ht="105.75" customHeight="1" x14ac:dyDescent="0.25">
      <c r="A56" s="2130"/>
      <c r="B56" s="2139"/>
      <c r="C56" s="134">
        <v>9</v>
      </c>
      <c r="D56" s="133" t="e">
        <f>'BID II'!#REF!</f>
        <v>#REF!</v>
      </c>
      <c r="E56" s="117"/>
      <c r="F56" s="133" t="s">
        <v>1429</v>
      </c>
      <c r="G56" s="124" t="s">
        <v>1373</v>
      </c>
      <c r="H56" s="125" t="s">
        <v>1377</v>
      </c>
      <c r="I56" s="267"/>
      <c r="J56" s="267">
        <v>71</v>
      </c>
      <c r="K56" s="356"/>
      <c r="L56" s="470" t="e">
        <f>#REF!</f>
        <v>#REF!</v>
      </c>
      <c r="M56" s="125" t="s">
        <v>1375</v>
      </c>
    </row>
    <row r="57" spans="1:13" ht="105.75" customHeight="1" x14ac:dyDescent="0.25">
      <c r="A57" s="2130"/>
      <c r="B57" s="2139"/>
      <c r="C57" s="134">
        <v>10</v>
      </c>
      <c r="D57" s="133" t="e">
        <f>'BID II'!#REF!</f>
        <v>#REF!</v>
      </c>
      <c r="E57" s="117"/>
      <c r="F57" s="133" t="s">
        <v>1430</v>
      </c>
      <c r="G57" s="124" t="s">
        <v>1373</v>
      </c>
      <c r="H57" s="125" t="s">
        <v>1377</v>
      </c>
      <c r="I57" s="267">
        <v>3.5179999999999998</v>
      </c>
      <c r="J57" s="267">
        <v>3.3730000000000002</v>
      </c>
      <c r="K57" s="356"/>
      <c r="L57" s="470" t="e">
        <f>#REF!</f>
        <v>#REF!</v>
      </c>
      <c r="M57" s="125" t="s">
        <v>1375</v>
      </c>
    </row>
    <row r="58" spans="1:13" ht="105.75" customHeight="1" x14ac:dyDescent="0.25">
      <c r="A58" s="2130"/>
      <c r="B58" s="2139"/>
      <c r="C58" s="134">
        <v>11</v>
      </c>
      <c r="D58" s="133" t="e">
        <f>#REF!</f>
        <v>#REF!</v>
      </c>
      <c r="E58" s="117"/>
      <c r="F58" s="133" t="e">
        <f>#REF!</f>
        <v>#REF!</v>
      </c>
      <c r="G58" s="124" t="s">
        <v>1373</v>
      </c>
      <c r="H58" s="125" t="s">
        <v>1377</v>
      </c>
      <c r="I58" s="267">
        <v>3.5179999999999998</v>
      </c>
      <c r="J58" s="267">
        <v>3.3730000000000002</v>
      </c>
      <c r="K58" s="356"/>
      <c r="L58" s="470" t="e">
        <f>#REF!</f>
        <v>#REF!</v>
      </c>
      <c r="M58" s="125" t="s">
        <v>1375</v>
      </c>
    </row>
    <row r="59" spans="1:13" ht="105.75" customHeight="1" x14ac:dyDescent="0.25">
      <c r="A59" s="2130"/>
      <c r="B59" s="2139"/>
      <c r="C59" s="134">
        <v>12</v>
      </c>
      <c r="D59" s="133" t="e">
        <f>'BID II'!#REF!</f>
        <v>#REF!</v>
      </c>
      <c r="E59" s="117"/>
      <c r="F59" s="133" t="s">
        <v>1431</v>
      </c>
      <c r="G59" s="124" t="s">
        <v>1373</v>
      </c>
      <c r="H59" s="125" t="s">
        <v>1377</v>
      </c>
      <c r="I59" s="267">
        <v>3.5179999999999998</v>
      </c>
      <c r="J59" s="267">
        <v>3.3730000000000002</v>
      </c>
      <c r="K59" s="356"/>
      <c r="L59" s="470" t="e">
        <f>#REF!</f>
        <v>#REF!</v>
      </c>
      <c r="M59" s="125" t="s">
        <v>1375</v>
      </c>
    </row>
    <row r="60" spans="1:13" ht="105.75" customHeight="1" x14ac:dyDescent="0.25">
      <c r="A60" s="2130"/>
      <c r="B60" s="2139"/>
      <c r="C60" s="134">
        <v>13</v>
      </c>
      <c r="D60" s="133" t="e">
        <f>'BID II'!#REF!</f>
        <v>#REF!</v>
      </c>
      <c r="E60" s="117"/>
      <c r="F60" s="133" t="s">
        <v>1428</v>
      </c>
      <c r="G60" s="124" t="s">
        <v>1373</v>
      </c>
      <c r="H60" s="125" t="s">
        <v>1377</v>
      </c>
      <c r="I60" s="267">
        <v>82</v>
      </c>
      <c r="J60" s="267">
        <v>90</v>
      </c>
      <c r="K60" s="356"/>
      <c r="L60" s="470" t="e">
        <f>#REF!</f>
        <v>#REF!</v>
      </c>
      <c r="M60" s="125" t="s">
        <v>1375</v>
      </c>
    </row>
    <row r="61" spans="1:13" ht="105.75" customHeight="1" x14ac:dyDescent="0.25">
      <c r="A61" s="2130"/>
      <c r="B61" s="2139"/>
      <c r="C61" s="134">
        <v>14</v>
      </c>
      <c r="D61" s="133" t="e">
        <f>'BID II'!#REF!</f>
        <v>#REF!</v>
      </c>
      <c r="E61" s="117"/>
      <c r="F61" s="133" t="s">
        <v>1455</v>
      </c>
      <c r="G61" s="124" t="s">
        <v>1373</v>
      </c>
      <c r="H61" s="125" t="s">
        <v>1377</v>
      </c>
      <c r="I61" s="267"/>
      <c r="J61" s="267">
        <v>16</v>
      </c>
      <c r="K61" s="356"/>
      <c r="L61" s="470" t="e">
        <f>#REF!</f>
        <v>#REF!</v>
      </c>
      <c r="M61" s="125" t="s">
        <v>1375</v>
      </c>
    </row>
    <row r="62" spans="1:13" ht="105.75" customHeight="1" x14ac:dyDescent="0.25">
      <c r="A62" s="2130"/>
      <c r="B62" s="2139"/>
      <c r="C62" s="134">
        <v>15</v>
      </c>
      <c r="D62" s="133" t="e">
        <f>'BID II'!#REF!</f>
        <v>#REF!</v>
      </c>
      <c r="E62" s="117"/>
      <c r="F62" s="133" t="s">
        <v>1456</v>
      </c>
      <c r="G62" s="124" t="s">
        <v>1373</v>
      </c>
      <c r="H62" s="125" t="s">
        <v>1377</v>
      </c>
      <c r="I62" s="267">
        <v>3.5179999999999998</v>
      </c>
      <c r="J62" s="267">
        <v>3.3730000000000002</v>
      </c>
      <c r="K62" s="356"/>
      <c r="L62" s="470" t="e">
        <f>#REF!</f>
        <v>#REF!</v>
      </c>
      <c r="M62" s="125" t="s">
        <v>1375</v>
      </c>
    </row>
    <row r="63" spans="1:13" ht="105.75" customHeight="1" x14ac:dyDescent="0.25">
      <c r="A63" s="2130"/>
      <c r="B63" s="2139"/>
      <c r="C63" s="134">
        <v>16</v>
      </c>
      <c r="D63" s="133" t="e">
        <f>'BID II'!#REF!</f>
        <v>#REF!</v>
      </c>
      <c r="E63" s="117"/>
      <c r="F63" s="133" t="s">
        <v>1457</v>
      </c>
      <c r="G63" s="124" t="s">
        <v>1373</v>
      </c>
      <c r="H63" s="125" t="s">
        <v>1408</v>
      </c>
      <c r="I63" s="267"/>
      <c r="J63" s="267">
        <v>8</v>
      </c>
      <c r="K63" s="356"/>
      <c r="L63" s="470" t="e">
        <f>#REF!</f>
        <v>#REF!</v>
      </c>
      <c r="M63" s="125" t="s">
        <v>1375</v>
      </c>
    </row>
    <row r="64" spans="1:13" ht="105.75" customHeight="1" x14ac:dyDescent="0.25">
      <c r="A64" s="2130"/>
      <c r="B64" s="2139"/>
      <c r="C64" s="134">
        <v>17</v>
      </c>
      <c r="D64" s="133" t="e">
        <f>'BID II'!#REF!</f>
        <v>#REF!</v>
      </c>
      <c r="E64" s="117"/>
      <c r="F64" s="133" t="s">
        <v>1458</v>
      </c>
      <c r="G64" s="124" t="s">
        <v>1373</v>
      </c>
      <c r="H64" s="125" t="s">
        <v>1377</v>
      </c>
      <c r="I64" s="267"/>
      <c r="J64" s="267">
        <v>30</v>
      </c>
      <c r="K64" s="356"/>
      <c r="L64" s="470" t="e">
        <f>#REF!</f>
        <v>#REF!</v>
      </c>
      <c r="M64" s="125" t="s">
        <v>1375</v>
      </c>
    </row>
    <row r="65" spans="1:13" ht="105.75" customHeight="1" x14ac:dyDescent="0.25">
      <c r="A65" s="2130"/>
      <c r="B65" s="2139"/>
      <c r="C65" s="134">
        <v>18</v>
      </c>
      <c r="D65" s="133" t="e">
        <f>'BID II'!#REF!</f>
        <v>#REF!</v>
      </c>
      <c r="E65" s="117"/>
      <c r="F65" s="133" t="s">
        <v>1459</v>
      </c>
      <c r="G65" s="124" t="s">
        <v>1373</v>
      </c>
      <c r="H65" s="125" t="s">
        <v>1377</v>
      </c>
      <c r="I65" s="267">
        <v>2</v>
      </c>
      <c r="J65" s="267">
        <v>3</v>
      </c>
      <c r="K65" s="356"/>
      <c r="L65" s="470" t="e">
        <f>#REF!</f>
        <v>#REF!</v>
      </c>
      <c r="M65" s="125" t="s">
        <v>1375</v>
      </c>
    </row>
    <row r="66" spans="1:13" ht="105.75" customHeight="1" x14ac:dyDescent="0.25">
      <c r="A66" s="2130"/>
      <c r="B66" s="2139"/>
      <c r="C66" s="134">
        <v>19</v>
      </c>
      <c r="D66" s="133" t="e">
        <f>'BID II'!#REF!</f>
        <v>#REF!</v>
      </c>
      <c r="E66" s="117"/>
      <c r="F66" s="133" t="s">
        <v>1460</v>
      </c>
      <c r="G66" s="124" t="s">
        <v>1373</v>
      </c>
      <c r="H66" s="125" t="s">
        <v>1408</v>
      </c>
      <c r="I66" s="267">
        <v>55</v>
      </c>
      <c r="J66" s="267">
        <v>50</v>
      </c>
      <c r="K66" s="356"/>
      <c r="L66" s="470" t="e">
        <f>#REF!</f>
        <v>#REF!</v>
      </c>
      <c r="M66" s="125" t="s">
        <v>1375</v>
      </c>
    </row>
    <row r="67" spans="1:13" ht="105.75" customHeight="1" x14ac:dyDescent="0.25">
      <c r="A67" s="2130"/>
      <c r="B67" s="2139"/>
      <c r="C67" s="134">
        <v>20</v>
      </c>
      <c r="D67" s="133" t="e">
        <f>'BID II'!#REF!</f>
        <v>#REF!</v>
      </c>
      <c r="E67" s="117"/>
      <c r="F67" s="133" t="s">
        <v>1565</v>
      </c>
      <c r="G67" s="124" t="s">
        <v>1373</v>
      </c>
      <c r="H67" s="125" t="s">
        <v>1566</v>
      </c>
      <c r="I67" s="267">
        <v>3.5179999999999998</v>
      </c>
      <c r="J67" s="267">
        <v>3.3730000000000002</v>
      </c>
      <c r="K67" s="356"/>
      <c r="L67" s="470" t="e">
        <f>#REF!</f>
        <v>#REF!</v>
      </c>
      <c r="M67" s="125" t="s">
        <v>1375</v>
      </c>
    </row>
    <row r="68" spans="1:13" ht="105.75" customHeight="1" x14ac:dyDescent="0.25">
      <c r="A68" s="2130"/>
      <c r="B68" s="2139"/>
      <c r="C68" s="134">
        <v>21</v>
      </c>
      <c r="D68" s="133" t="e">
        <f>'BID II'!#REF!</f>
        <v>#REF!</v>
      </c>
      <c r="E68" s="117"/>
      <c r="F68" s="133" t="s">
        <v>1462</v>
      </c>
      <c r="G68" s="124" t="s">
        <v>1373</v>
      </c>
      <c r="H68" s="125" t="s">
        <v>1568</v>
      </c>
      <c r="I68" s="267">
        <v>3.5179999999999998</v>
      </c>
      <c r="J68" s="267">
        <v>3.3730000000000002</v>
      </c>
      <c r="K68" s="356"/>
      <c r="L68" s="470" t="e">
        <f>#REF!</f>
        <v>#REF!</v>
      </c>
      <c r="M68" s="125" t="s">
        <v>1375</v>
      </c>
    </row>
    <row r="69" spans="1:13" ht="105.75" customHeight="1" x14ac:dyDescent="0.25">
      <c r="A69" s="2130"/>
      <c r="B69" s="2139"/>
      <c r="C69" s="134">
        <v>22</v>
      </c>
      <c r="D69" s="133" t="e">
        <f>'BID II'!#REF!</f>
        <v>#REF!</v>
      </c>
      <c r="E69" s="117"/>
      <c r="F69" s="133" t="s">
        <v>1462</v>
      </c>
      <c r="G69" s="124" t="s">
        <v>1373</v>
      </c>
      <c r="H69" s="125" t="s">
        <v>1377</v>
      </c>
      <c r="I69" s="267">
        <v>3.5179999999999998</v>
      </c>
      <c r="J69" s="267">
        <v>3.3730000000000002</v>
      </c>
      <c r="K69" s="356"/>
      <c r="L69" s="470" t="e">
        <f>#REF!</f>
        <v>#REF!</v>
      </c>
      <c r="M69" s="125" t="s">
        <v>1375</v>
      </c>
    </row>
    <row r="70" spans="1:13" ht="105.75" customHeight="1" x14ac:dyDescent="0.25">
      <c r="A70" s="2130"/>
      <c r="B70" s="2139"/>
      <c r="C70" s="134">
        <v>23</v>
      </c>
      <c r="D70" s="133" t="e">
        <f>'BID II'!#REF!</f>
        <v>#REF!</v>
      </c>
      <c r="E70" s="117"/>
      <c r="F70" s="133" t="s">
        <v>1463</v>
      </c>
      <c r="G70" s="124" t="s">
        <v>1373</v>
      </c>
      <c r="H70" s="125" t="s">
        <v>1408</v>
      </c>
      <c r="I70" s="267"/>
      <c r="J70" s="267">
        <v>9</v>
      </c>
      <c r="K70" s="356"/>
      <c r="L70" s="470" t="e">
        <f>#REF!</f>
        <v>#REF!</v>
      </c>
      <c r="M70" s="125" t="s">
        <v>1375</v>
      </c>
    </row>
    <row r="71" spans="1:13" ht="105.75" customHeight="1" x14ac:dyDescent="0.25">
      <c r="A71" s="2130"/>
      <c r="B71" s="2139"/>
      <c r="C71" s="134">
        <v>24</v>
      </c>
      <c r="D71" s="133" t="e">
        <f>'BID II'!#REF!</f>
        <v>#REF!</v>
      </c>
      <c r="E71" s="117"/>
      <c r="F71" s="133" t="s">
        <v>1507</v>
      </c>
      <c r="G71" s="124" t="s">
        <v>1373</v>
      </c>
      <c r="H71" s="125" t="s">
        <v>1468</v>
      </c>
      <c r="I71" s="267">
        <v>3.5179999999999998</v>
      </c>
      <c r="J71" s="267">
        <v>3.3730000000000002</v>
      </c>
      <c r="K71" s="356"/>
      <c r="L71" s="470" t="e">
        <f>#REF!</f>
        <v>#REF!</v>
      </c>
      <c r="M71" s="125" t="s">
        <v>1375</v>
      </c>
    </row>
    <row r="72" spans="1:13" ht="105.75" customHeight="1" x14ac:dyDescent="0.25">
      <c r="A72" s="2130"/>
      <c r="B72" s="2139"/>
      <c r="C72" s="134">
        <v>25</v>
      </c>
      <c r="D72" s="133" t="e">
        <f>'BID II'!#REF!</f>
        <v>#REF!</v>
      </c>
      <c r="E72" s="117"/>
      <c r="F72" s="133" t="s">
        <v>1508</v>
      </c>
      <c r="G72" s="124" t="s">
        <v>1373</v>
      </c>
      <c r="H72" s="125" t="s">
        <v>1468</v>
      </c>
      <c r="I72" s="267">
        <v>3.5179999999999998</v>
      </c>
      <c r="J72" s="267">
        <v>3.3730000000000002</v>
      </c>
      <c r="K72" s="356"/>
      <c r="L72" s="470" t="e">
        <f>#REF!</f>
        <v>#REF!</v>
      </c>
      <c r="M72" s="125" t="s">
        <v>1375</v>
      </c>
    </row>
    <row r="73" spans="1:13" ht="105.75" customHeight="1" x14ac:dyDescent="0.25">
      <c r="A73" s="2130"/>
      <c r="B73" s="2139"/>
      <c r="C73" s="134">
        <v>26</v>
      </c>
      <c r="D73" s="133" t="e">
        <f>'BID II'!#REF!</f>
        <v>#REF!</v>
      </c>
      <c r="E73" s="117"/>
      <c r="F73" s="133" t="s">
        <v>1466</v>
      </c>
      <c r="G73" s="124" t="s">
        <v>1373</v>
      </c>
      <c r="H73" s="125" t="s">
        <v>1408</v>
      </c>
      <c r="I73" s="267">
        <v>3.5179999999999998</v>
      </c>
      <c r="J73" s="267">
        <v>3.3730000000000002</v>
      </c>
      <c r="K73" s="356"/>
      <c r="L73" s="470" t="e">
        <f>#REF!</f>
        <v>#REF!</v>
      </c>
      <c r="M73" s="125" t="s">
        <v>1375</v>
      </c>
    </row>
    <row r="74" spans="1:13" ht="105.75" customHeight="1" x14ac:dyDescent="0.25">
      <c r="A74" s="2130"/>
      <c r="B74" s="2139"/>
      <c r="C74" s="134">
        <v>27</v>
      </c>
      <c r="D74" s="133" t="e">
        <f>'BID II'!#REF!</f>
        <v>#REF!</v>
      </c>
      <c r="E74" s="117"/>
      <c r="F74" s="133" t="s">
        <v>1469</v>
      </c>
      <c r="G74" s="124" t="s">
        <v>1373</v>
      </c>
      <c r="H74" s="125" t="s">
        <v>1408</v>
      </c>
      <c r="I74" s="267">
        <v>3.5179999999999998</v>
      </c>
      <c r="J74" s="267">
        <v>3.3730000000000002</v>
      </c>
      <c r="K74" s="356"/>
      <c r="L74" s="470" t="e">
        <f>#REF!</f>
        <v>#REF!</v>
      </c>
      <c r="M74" s="125" t="s">
        <v>1375</v>
      </c>
    </row>
    <row r="75" spans="1:13" ht="105.75" customHeight="1" x14ac:dyDescent="0.25">
      <c r="A75" s="2130"/>
      <c r="B75" s="2139"/>
      <c r="C75" s="134">
        <v>28</v>
      </c>
      <c r="D75" s="133" t="e">
        <f>'BID II'!#REF!</f>
        <v>#REF!</v>
      </c>
      <c r="E75" s="117"/>
      <c r="F75" s="133" t="s">
        <v>1470</v>
      </c>
      <c r="G75" s="124" t="s">
        <v>1373</v>
      </c>
      <c r="H75" s="125" t="s">
        <v>1408</v>
      </c>
      <c r="I75" s="267">
        <v>3.5179999999999998</v>
      </c>
      <c r="J75" s="267">
        <v>3.3730000000000002</v>
      </c>
      <c r="K75" s="356"/>
      <c r="L75" s="470" t="e">
        <f>#REF!</f>
        <v>#REF!</v>
      </c>
      <c r="M75" s="125" t="s">
        <v>1375</v>
      </c>
    </row>
    <row r="76" spans="1:13" ht="105.75" customHeight="1" x14ac:dyDescent="0.25">
      <c r="A76" s="2130"/>
      <c r="B76" s="2139"/>
      <c r="C76" s="134">
        <v>29</v>
      </c>
      <c r="D76" s="133" t="e">
        <f>'BID II'!#REF!</f>
        <v>#REF!</v>
      </c>
      <c r="E76" s="134"/>
      <c r="F76" s="133" t="s">
        <v>1509</v>
      </c>
      <c r="G76" s="124" t="s">
        <v>1373</v>
      </c>
      <c r="H76" s="125" t="s">
        <v>1417</v>
      </c>
      <c r="I76" s="267">
        <v>3.5179999999999998</v>
      </c>
      <c r="J76" s="267">
        <v>3.3730000000000002</v>
      </c>
      <c r="K76" s="356"/>
      <c r="L76" s="470" t="e">
        <f>#REF!</f>
        <v>#REF!</v>
      </c>
      <c r="M76" s="125" t="s">
        <v>1375</v>
      </c>
    </row>
    <row r="77" spans="1:13" ht="105.75" customHeight="1" x14ac:dyDescent="0.25">
      <c r="A77" s="2130"/>
      <c r="B77" s="2139"/>
      <c r="C77" s="134">
        <v>30</v>
      </c>
      <c r="D77" s="133" t="e">
        <f>'BID II'!#REF!</f>
        <v>#REF!</v>
      </c>
      <c r="E77" s="134"/>
      <c r="F77" s="133" t="s">
        <v>1510</v>
      </c>
      <c r="G77" s="124" t="s">
        <v>1373</v>
      </c>
      <c r="H77" s="125" t="s">
        <v>1417</v>
      </c>
      <c r="I77" s="267">
        <v>3.5179999999999998</v>
      </c>
      <c r="J77" s="267">
        <v>3.3730000000000002</v>
      </c>
      <c r="K77" s="356"/>
      <c r="L77" s="470" t="e">
        <f>#REF!</f>
        <v>#REF!</v>
      </c>
      <c r="M77" s="125" t="s">
        <v>1375</v>
      </c>
    </row>
    <row r="78" spans="1:13" ht="105.75" customHeight="1" x14ac:dyDescent="0.25">
      <c r="A78" s="2130"/>
      <c r="B78" s="2139"/>
      <c r="C78" s="134">
        <v>31</v>
      </c>
      <c r="D78" s="133" t="e">
        <f>'BID II'!#REF!</f>
        <v>#REF!</v>
      </c>
      <c r="E78" s="134"/>
      <c r="F78" s="133" t="s">
        <v>1511</v>
      </c>
      <c r="G78" s="124" t="s">
        <v>1373</v>
      </c>
      <c r="H78" s="125" t="s">
        <v>1417</v>
      </c>
      <c r="I78" s="267">
        <v>3.5179999999999998</v>
      </c>
      <c r="J78" s="267">
        <v>3.3730000000000002</v>
      </c>
      <c r="K78" s="356"/>
      <c r="L78" s="470" t="e">
        <f>#REF!</f>
        <v>#REF!</v>
      </c>
      <c r="M78" s="125" t="s">
        <v>1375</v>
      </c>
    </row>
    <row r="79" spans="1:13" ht="105.75" customHeight="1" x14ac:dyDescent="0.25">
      <c r="A79" s="2130"/>
      <c r="B79" s="2139"/>
      <c r="C79" s="134">
        <v>32</v>
      </c>
      <c r="D79" s="133" t="e">
        <f>'BID II'!#REF!</f>
        <v>#REF!</v>
      </c>
      <c r="E79" s="117"/>
      <c r="F79" s="133" t="s">
        <v>1511</v>
      </c>
      <c r="G79" s="124" t="s">
        <v>1373</v>
      </c>
      <c r="H79" s="125" t="s">
        <v>1417</v>
      </c>
      <c r="I79" s="267">
        <v>3.5179999999999998</v>
      </c>
      <c r="J79" s="267">
        <v>3.3730000000000002</v>
      </c>
      <c r="K79" s="356"/>
      <c r="L79" s="470" t="e">
        <f>#REF!</f>
        <v>#REF!</v>
      </c>
      <c r="M79" s="125" t="s">
        <v>1375</v>
      </c>
    </row>
    <row r="80" spans="1:13" ht="105.75" customHeight="1" x14ac:dyDescent="0.25">
      <c r="A80" s="2130"/>
      <c r="B80" s="2139"/>
      <c r="C80" s="134">
        <v>33</v>
      </c>
      <c r="D80" s="133" t="e">
        <f>'BID II'!#REF!</f>
        <v>#REF!</v>
      </c>
      <c r="E80" s="117"/>
      <c r="F80" s="133" t="s">
        <v>1471</v>
      </c>
      <c r="G80" s="124" t="s">
        <v>1373</v>
      </c>
      <c r="H80" s="125" t="s">
        <v>1377</v>
      </c>
      <c r="I80" s="267">
        <v>3.5179999999999998</v>
      </c>
      <c r="J80" s="267">
        <v>3.3730000000000002</v>
      </c>
      <c r="K80" s="356"/>
      <c r="L80" s="470" t="e">
        <f>#REF!</f>
        <v>#REF!</v>
      </c>
      <c r="M80" s="125" t="s">
        <v>1375</v>
      </c>
    </row>
    <row r="81" spans="1:13" ht="105.75" customHeight="1" x14ac:dyDescent="0.25">
      <c r="A81" s="2130"/>
      <c r="B81" s="2139"/>
      <c r="C81" s="134">
        <v>34</v>
      </c>
      <c r="D81" s="133" t="str">
        <f>'BID II'!B2296</f>
        <v>: Penyelenggaraan Informasi Publik Desa ( Pembuatan dan Pemasangan Baliho APBDesa )</v>
      </c>
      <c r="E81" s="116"/>
      <c r="F81" s="133" t="s">
        <v>1472</v>
      </c>
      <c r="G81" s="124" t="s">
        <v>1373</v>
      </c>
      <c r="H81" s="125" t="s">
        <v>1377</v>
      </c>
      <c r="I81" s="267">
        <v>3.5179999999999998</v>
      </c>
      <c r="J81" s="267">
        <v>3.3730000000000002</v>
      </c>
      <c r="K81" s="356"/>
      <c r="L81" s="470" t="e">
        <f>#REF!</f>
        <v>#REF!</v>
      </c>
      <c r="M81" s="125" t="s">
        <v>1375</v>
      </c>
    </row>
    <row r="82" spans="1:13" ht="105.75" customHeight="1" x14ac:dyDescent="0.25">
      <c r="A82" s="2130"/>
      <c r="B82" s="2139"/>
      <c r="C82" s="134">
        <v>35</v>
      </c>
      <c r="D82" s="133" t="e">
        <f>#REF!</f>
        <v>#REF!</v>
      </c>
      <c r="E82" s="117"/>
      <c r="F82" s="133" t="s">
        <v>1461</v>
      </c>
      <c r="G82" s="124" t="s">
        <v>1373</v>
      </c>
      <c r="H82" s="125" t="s">
        <v>1377</v>
      </c>
      <c r="I82" s="267">
        <v>3.5179999999999998</v>
      </c>
      <c r="J82" s="267">
        <v>3.3730000000000002</v>
      </c>
      <c r="K82" s="356"/>
      <c r="L82" s="470" t="e">
        <f>#REF!</f>
        <v>#REF!</v>
      </c>
      <c r="M82" s="125" t="s">
        <v>1375</v>
      </c>
    </row>
    <row r="83" spans="1:13" ht="105.75" customHeight="1" x14ac:dyDescent="0.25">
      <c r="A83" s="2130"/>
      <c r="B83" s="2139"/>
      <c r="C83" s="134">
        <v>36</v>
      </c>
      <c r="D83" s="133" t="e">
        <f>#REF!</f>
        <v>#REF!</v>
      </c>
      <c r="E83" s="117"/>
      <c r="F83" s="133" t="s">
        <v>1464</v>
      </c>
      <c r="G83" s="124" t="s">
        <v>1373</v>
      </c>
      <c r="H83" s="125" t="s">
        <v>1465</v>
      </c>
      <c r="I83" s="267">
        <v>3.5179999999999998</v>
      </c>
      <c r="J83" s="267">
        <v>3.3730000000000002</v>
      </c>
      <c r="K83" s="356"/>
      <c r="L83" s="470" t="e">
        <f>#REF!</f>
        <v>#REF!</v>
      </c>
      <c r="M83" s="125" t="s">
        <v>1375</v>
      </c>
    </row>
    <row r="84" spans="1:13" ht="105.75" customHeight="1" x14ac:dyDescent="0.25">
      <c r="A84" s="2130"/>
      <c r="B84" s="2139"/>
      <c r="C84" s="134">
        <v>37</v>
      </c>
      <c r="D84" s="133" t="e">
        <f>#REF!</f>
        <v>#REF!</v>
      </c>
      <c r="E84" s="117"/>
      <c r="F84" s="133" t="s">
        <v>1467</v>
      </c>
      <c r="G84" s="124" t="s">
        <v>1373</v>
      </c>
      <c r="H84" s="125" t="s">
        <v>1468</v>
      </c>
      <c r="I84" s="267">
        <v>3.5179999999999998</v>
      </c>
      <c r="J84" s="267">
        <v>3.3730000000000002</v>
      </c>
      <c r="K84" s="356"/>
      <c r="L84" s="470" t="e">
        <f>#REF!</f>
        <v>#REF!</v>
      </c>
      <c r="M84" s="125" t="s">
        <v>1375</v>
      </c>
    </row>
    <row r="85" spans="1:13" ht="78.75" customHeight="1" x14ac:dyDescent="0.25">
      <c r="A85" s="2130"/>
      <c r="B85" s="2139"/>
      <c r="C85" s="134">
        <v>38</v>
      </c>
      <c r="D85" s="133" t="e">
        <f>#REF!</f>
        <v>#REF!</v>
      </c>
      <c r="E85" s="117"/>
      <c r="F85" s="133" t="s">
        <v>1467</v>
      </c>
      <c r="G85" s="124" t="s">
        <v>1373</v>
      </c>
      <c r="H85" s="125" t="s">
        <v>1468</v>
      </c>
      <c r="I85" s="267">
        <v>3.5179999999999998</v>
      </c>
      <c r="J85" s="267">
        <v>3.3730000000000002</v>
      </c>
      <c r="K85" s="356"/>
      <c r="L85" s="470" t="e">
        <f>#REF!</f>
        <v>#REF!</v>
      </c>
      <c r="M85" s="125" t="s">
        <v>1375</v>
      </c>
    </row>
    <row r="86" spans="1:13" ht="78.75" customHeight="1" x14ac:dyDescent="0.25">
      <c r="A86" s="2130"/>
      <c r="B86" s="2139"/>
      <c r="C86" s="134">
        <v>39</v>
      </c>
      <c r="D86" s="133" t="e">
        <f>#REF!</f>
        <v>#REF!</v>
      </c>
      <c r="E86" s="117"/>
      <c r="F86" s="133" t="s">
        <v>1467</v>
      </c>
      <c r="G86" s="124" t="s">
        <v>1373</v>
      </c>
      <c r="H86" s="125" t="s">
        <v>1468</v>
      </c>
      <c r="I86" s="267">
        <v>3.5179999999999998</v>
      </c>
      <c r="J86" s="267">
        <v>3.3730000000000002</v>
      </c>
      <c r="K86" s="356"/>
      <c r="L86" s="470" t="e">
        <f>#REF!</f>
        <v>#REF!</v>
      </c>
      <c r="M86" s="125" t="s">
        <v>1375</v>
      </c>
    </row>
    <row r="87" spans="1:13" ht="78.75" customHeight="1" x14ac:dyDescent="0.25">
      <c r="A87" s="2130"/>
      <c r="B87" s="2139"/>
      <c r="C87" s="134">
        <v>40</v>
      </c>
      <c r="D87" s="133" t="e">
        <f>#REF!</f>
        <v>#REF!</v>
      </c>
      <c r="E87" s="117"/>
      <c r="F87" s="133" t="s">
        <v>1467</v>
      </c>
      <c r="G87" s="124" t="s">
        <v>1373</v>
      </c>
      <c r="H87" s="125" t="s">
        <v>1468</v>
      </c>
      <c r="I87" s="267">
        <v>3.5179999999999998</v>
      </c>
      <c r="J87" s="267">
        <v>3.3730000000000002</v>
      </c>
      <c r="K87" s="356"/>
      <c r="L87" s="470" t="e">
        <f>#REF!</f>
        <v>#REF!</v>
      </c>
      <c r="M87" s="125" t="s">
        <v>1375</v>
      </c>
    </row>
    <row r="88" spans="1:13" ht="78.75" customHeight="1" x14ac:dyDescent="0.25">
      <c r="A88" s="2130"/>
      <c r="B88" s="2139"/>
      <c r="C88" s="134">
        <v>41</v>
      </c>
      <c r="D88" s="133" t="e">
        <f>#REF!</f>
        <v>#REF!</v>
      </c>
      <c r="E88" s="117"/>
      <c r="F88" s="133" t="s">
        <v>1467</v>
      </c>
      <c r="G88" s="124" t="s">
        <v>1373</v>
      </c>
      <c r="H88" s="125" t="s">
        <v>1468</v>
      </c>
      <c r="I88" s="267">
        <v>3.5179999999999998</v>
      </c>
      <c r="J88" s="267">
        <v>3.3730000000000002</v>
      </c>
      <c r="K88" s="356"/>
      <c r="L88" s="470" t="e">
        <f>#REF!</f>
        <v>#REF!</v>
      </c>
      <c r="M88" s="125" t="s">
        <v>1375</v>
      </c>
    </row>
    <row r="89" spans="1:13" ht="78.75" customHeight="1" x14ac:dyDescent="0.25">
      <c r="A89" s="2131"/>
      <c r="B89" s="2140"/>
      <c r="C89" s="134">
        <v>42</v>
      </c>
      <c r="D89" s="133" t="e">
        <f>#REF!</f>
        <v>#REF!</v>
      </c>
      <c r="E89" s="117"/>
      <c r="F89" s="133" t="s">
        <v>1467</v>
      </c>
      <c r="G89" s="124" t="s">
        <v>1373</v>
      </c>
      <c r="H89" s="125" t="s">
        <v>1468</v>
      </c>
      <c r="I89" s="267">
        <v>3.5179999999999998</v>
      </c>
      <c r="J89" s="267">
        <v>3.3730000000000002</v>
      </c>
      <c r="K89" s="356"/>
      <c r="L89" s="470" t="e">
        <f>#REF!</f>
        <v>#REF!</v>
      </c>
      <c r="M89" s="125" t="s">
        <v>1375</v>
      </c>
    </row>
    <row r="90" spans="1:13" ht="21.75" customHeight="1" x14ac:dyDescent="0.3">
      <c r="A90" s="2141" t="s">
        <v>1569</v>
      </c>
      <c r="B90" s="2141"/>
      <c r="C90" s="2141"/>
      <c r="D90" s="2141"/>
      <c r="E90" s="2141"/>
      <c r="F90" s="2141"/>
      <c r="G90" s="2141"/>
      <c r="H90" s="2141"/>
      <c r="I90" s="2141"/>
      <c r="J90" s="2141"/>
      <c r="K90" s="2141"/>
      <c r="L90" s="470" t="e">
        <f>SUM(L48:L89)</f>
        <v>#REF!</v>
      </c>
      <c r="M90" s="32"/>
    </row>
    <row r="91" spans="1:13" s="111" customFormat="1" ht="63" customHeight="1" x14ac:dyDescent="0.25">
      <c r="A91" s="2099" t="s">
        <v>1295</v>
      </c>
      <c r="B91" s="2099" t="s">
        <v>1345</v>
      </c>
      <c r="C91" s="2099"/>
      <c r="D91" s="2099"/>
      <c r="E91" s="2098" t="s">
        <v>1516</v>
      </c>
      <c r="F91" s="2098" t="s">
        <v>1517</v>
      </c>
      <c r="G91" s="2098" t="s">
        <v>1518</v>
      </c>
      <c r="H91" s="2098" t="s">
        <v>1519</v>
      </c>
      <c r="I91" s="2099" t="s">
        <v>1350</v>
      </c>
      <c r="J91" s="2099"/>
      <c r="K91" s="2099"/>
      <c r="L91" s="2098" t="s">
        <v>1520</v>
      </c>
      <c r="M91" s="2098"/>
    </row>
    <row r="92" spans="1:13" s="111" customFormat="1" ht="32.25" customHeight="1" x14ac:dyDescent="0.25">
      <c r="A92" s="2099"/>
      <c r="B92" s="452" t="s">
        <v>1354</v>
      </c>
      <c r="C92" s="453" t="s">
        <v>1521</v>
      </c>
      <c r="D92" s="453" t="s">
        <v>1522</v>
      </c>
      <c r="E92" s="2098"/>
      <c r="F92" s="2098"/>
      <c r="G92" s="2098"/>
      <c r="H92" s="2098"/>
      <c r="I92" s="452" t="s">
        <v>1523</v>
      </c>
      <c r="J92" s="452" t="s">
        <v>1524</v>
      </c>
      <c r="K92" s="452" t="s">
        <v>1525</v>
      </c>
      <c r="L92" s="468" t="s">
        <v>1526</v>
      </c>
      <c r="M92" s="452" t="s">
        <v>1357</v>
      </c>
    </row>
    <row r="93" spans="1:13" s="111" customFormat="1" ht="15.75" x14ac:dyDescent="0.25">
      <c r="A93" s="117" t="s">
        <v>1358</v>
      </c>
      <c r="B93" s="117" t="s">
        <v>1359</v>
      </c>
      <c r="C93" s="117" t="s">
        <v>1360</v>
      </c>
      <c r="D93" s="117" t="s">
        <v>1361</v>
      </c>
      <c r="E93" s="117" t="s">
        <v>1362</v>
      </c>
      <c r="F93" s="117" t="s">
        <v>1363</v>
      </c>
      <c r="G93" s="118" t="s">
        <v>1364</v>
      </c>
      <c r="H93" s="114" t="s">
        <v>1365</v>
      </c>
      <c r="I93" s="114" t="s">
        <v>1366</v>
      </c>
      <c r="J93" s="114" t="s">
        <v>1367</v>
      </c>
      <c r="K93" s="114" t="s">
        <v>1368</v>
      </c>
      <c r="L93" s="469" t="s">
        <v>1369</v>
      </c>
      <c r="M93" s="117" t="s">
        <v>539</v>
      </c>
    </row>
    <row r="94" spans="1:13" ht="80.25" customHeight="1" x14ac:dyDescent="0.25">
      <c r="A94" s="2129">
        <v>3</v>
      </c>
      <c r="B94" s="2138" t="s">
        <v>1574</v>
      </c>
      <c r="C94" s="134">
        <v>1</v>
      </c>
      <c r="D94" s="133" t="e">
        <f>'BID III'!#REF!</f>
        <v>#REF!</v>
      </c>
      <c r="E94" s="116"/>
      <c r="F94" s="133" t="s">
        <v>1382</v>
      </c>
      <c r="G94" s="124" t="s">
        <v>1373</v>
      </c>
      <c r="H94" s="125" t="s">
        <v>1377</v>
      </c>
      <c r="I94" s="267">
        <v>3.5179999999999998</v>
      </c>
      <c r="J94" s="267">
        <v>3.3730000000000002</v>
      </c>
      <c r="K94" s="356"/>
      <c r="L94" s="130" t="e">
        <f>'BID III'!#REF!</f>
        <v>#REF!</v>
      </c>
      <c r="M94" s="125" t="s">
        <v>1375</v>
      </c>
    </row>
    <row r="95" spans="1:13" ht="80.25" customHeight="1" x14ac:dyDescent="0.25">
      <c r="A95" s="2130"/>
      <c r="B95" s="2139"/>
      <c r="C95" s="134">
        <v>2</v>
      </c>
      <c r="D95" s="133" t="e">
        <f>'BID III'!#REF!</f>
        <v>#REF!</v>
      </c>
      <c r="E95" s="116"/>
      <c r="F95" s="133" t="s">
        <v>1382</v>
      </c>
      <c r="G95" s="124" t="s">
        <v>1373</v>
      </c>
      <c r="H95" s="125" t="s">
        <v>1377</v>
      </c>
      <c r="I95" s="267">
        <v>3.5179999999999998</v>
      </c>
      <c r="J95" s="267">
        <v>3.3730000000000002</v>
      </c>
      <c r="K95" s="356"/>
      <c r="L95" s="130" t="e">
        <f>'BID III'!#REF!</f>
        <v>#REF!</v>
      </c>
      <c r="M95" s="125" t="s">
        <v>1375</v>
      </c>
    </row>
    <row r="96" spans="1:13" ht="106.5" customHeight="1" x14ac:dyDescent="0.25">
      <c r="A96" s="2130"/>
      <c r="B96" s="2139"/>
      <c r="C96" s="134">
        <v>3</v>
      </c>
      <c r="D96" s="133" t="e">
        <f>'BID III'!#REF!</f>
        <v>#REF!</v>
      </c>
      <c r="E96" s="116"/>
      <c r="F96" s="133" t="s">
        <v>1473</v>
      </c>
      <c r="G96" s="124" t="s">
        <v>1373</v>
      </c>
      <c r="H96" s="125" t="s">
        <v>1377</v>
      </c>
      <c r="I96" s="267">
        <v>35</v>
      </c>
      <c r="J96" s="267"/>
      <c r="K96" s="356"/>
      <c r="L96" s="130" t="e">
        <f>'BID III'!#REF!</f>
        <v>#REF!</v>
      </c>
      <c r="M96" s="125" t="s">
        <v>1375</v>
      </c>
    </row>
    <row r="97" spans="1:13" ht="99.75" customHeight="1" x14ac:dyDescent="0.25">
      <c r="A97" s="2130"/>
      <c r="B97" s="2139"/>
      <c r="C97" s="134">
        <v>4</v>
      </c>
      <c r="D97" s="133" t="e">
        <f>'BID III'!#REF!</f>
        <v>#REF!</v>
      </c>
      <c r="E97" s="116"/>
      <c r="F97" s="133" t="s">
        <v>1474</v>
      </c>
      <c r="G97" s="124" t="s">
        <v>1373</v>
      </c>
      <c r="H97" s="125" t="s">
        <v>1408</v>
      </c>
      <c r="I97" s="267">
        <v>35</v>
      </c>
      <c r="J97" s="267"/>
      <c r="K97" s="356"/>
      <c r="L97" s="130" t="e">
        <f>'BID III'!#REF!</f>
        <v>#REF!</v>
      </c>
      <c r="M97" s="125" t="s">
        <v>1375</v>
      </c>
    </row>
    <row r="98" spans="1:13" ht="80.25" customHeight="1" x14ac:dyDescent="0.25">
      <c r="A98" s="2130"/>
      <c r="B98" s="2139"/>
      <c r="C98" s="134">
        <v>5</v>
      </c>
      <c r="D98" s="133" t="e">
        <f>'BID III'!#REF!</f>
        <v>#REF!</v>
      </c>
      <c r="E98" s="32"/>
      <c r="F98" s="133" t="s">
        <v>1487</v>
      </c>
      <c r="G98" s="124" t="s">
        <v>1373</v>
      </c>
      <c r="H98" s="125" t="s">
        <v>1408</v>
      </c>
      <c r="I98" s="267">
        <v>3.5179999999999998</v>
      </c>
      <c r="J98" s="267">
        <v>3.3730000000000002</v>
      </c>
      <c r="K98" s="356"/>
      <c r="L98" s="130" t="e">
        <f>'BID III'!#REF!</f>
        <v>#REF!</v>
      </c>
      <c r="M98" s="125" t="s">
        <v>1375</v>
      </c>
    </row>
    <row r="99" spans="1:13" ht="80.25" customHeight="1" x14ac:dyDescent="0.25">
      <c r="A99" s="2130"/>
      <c r="B99" s="2139"/>
      <c r="C99" s="134">
        <v>6</v>
      </c>
      <c r="D99" s="133" t="e">
        <f>'BID III'!#REF!</f>
        <v>#REF!</v>
      </c>
      <c r="E99" s="116"/>
      <c r="F99" s="133" t="s">
        <v>1475</v>
      </c>
      <c r="G99" s="124" t="s">
        <v>1373</v>
      </c>
      <c r="H99" s="125" t="s">
        <v>1377</v>
      </c>
      <c r="I99" s="267"/>
      <c r="J99" s="267">
        <v>29</v>
      </c>
      <c r="K99" s="356"/>
      <c r="L99" s="130" t="e">
        <f>'BID III'!#REF!</f>
        <v>#REF!</v>
      </c>
      <c r="M99" s="125" t="s">
        <v>1375</v>
      </c>
    </row>
    <row r="100" spans="1:13" ht="80.25" customHeight="1" x14ac:dyDescent="0.25">
      <c r="A100" s="2130"/>
      <c r="B100" s="2139"/>
      <c r="C100" s="134">
        <v>7</v>
      </c>
      <c r="D100" s="133" t="e">
        <f>'BID III'!#REF!</f>
        <v>#REF!</v>
      </c>
      <c r="E100" s="116"/>
      <c r="F100" s="133" t="s">
        <v>1476</v>
      </c>
      <c r="G100" s="124" t="s">
        <v>1373</v>
      </c>
      <c r="H100" s="125" t="s">
        <v>1377</v>
      </c>
      <c r="I100" s="267">
        <v>20</v>
      </c>
      <c r="J100" s="267">
        <v>8</v>
      </c>
      <c r="K100" s="356"/>
      <c r="L100" s="130" t="e">
        <f>'BID III'!#REF!</f>
        <v>#REF!</v>
      </c>
      <c r="M100" s="125" t="s">
        <v>1375</v>
      </c>
    </row>
    <row r="101" spans="1:13" ht="80.25" customHeight="1" x14ac:dyDescent="0.25">
      <c r="A101" s="2130"/>
      <c r="B101" s="2139"/>
      <c r="C101" s="134">
        <v>8</v>
      </c>
      <c r="D101" s="133" t="e">
        <f>'BID III'!#REF!</f>
        <v>#REF!</v>
      </c>
      <c r="E101" s="116"/>
      <c r="F101" s="133" t="s">
        <v>1476</v>
      </c>
      <c r="G101" s="124" t="s">
        <v>1373</v>
      </c>
      <c r="H101" s="125" t="s">
        <v>1377</v>
      </c>
      <c r="I101" s="267">
        <v>20</v>
      </c>
      <c r="J101" s="267">
        <v>8</v>
      </c>
      <c r="K101" s="356"/>
      <c r="L101" s="130" t="e">
        <f>'BID III'!#REF!</f>
        <v>#REF!</v>
      </c>
      <c r="M101" s="125" t="s">
        <v>1375</v>
      </c>
    </row>
    <row r="102" spans="1:13" ht="80.25" customHeight="1" x14ac:dyDescent="0.25">
      <c r="A102" s="2130"/>
      <c r="B102" s="2139"/>
      <c r="C102" s="134">
        <v>9</v>
      </c>
      <c r="D102" s="133" t="e">
        <f>'BID III'!#REF!</f>
        <v>#REF!</v>
      </c>
      <c r="E102" s="116"/>
      <c r="F102" s="133" t="s">
        <v>1476</v>
      </c>
      <c r="G102" s="124" t="s">
        <v>1373</v>
      </c>
      <c r="H102" s="125" t="s">
        <v>1377</v>
      </c>
      <c r="I102" s="267">
        <v>20</v>
      </c>
      <c r="J102" s="267">
        <v>8</v>
      </c>
      <c r="K102" s="356"/>
      <c r="L102" s="130" t="e">
        <f>'BID III'!#REF!</f>
        <v>#REF!</v>
      </c>
      <c r="M102" s="125" t="s">
        <v>1375</v>
      </c>
    </row>
    <row r="103" spans="1:13" ht="80.25" customHeight="1" x14ac:dyDescent="0.25">
      <c r="A103" s="2130"/>
      <c r="B103" s="2139"/>
      <c r="C103" s="134">
        <v>10</v>
      </c>
      <c r="D103" s="133" t="e">
        <f>'BID III'!#REF!</f>
        <v>#REF!</v>
      </c>
      <c r="E103" s="116"/>
      <c r="F103" s="133" t="s">
        <v>1486</v>
      </c>
      <c r="G103" s="124" t="s">
        <v>1373</v>
      </c>
      <c r="H103" s="125" t="s">
        <v>1377</v>
      </c>
      <c r="I103" s="267">
        <v>3.5179999999999998</v>
      </c>
      <c r="J103" s="267">
        <v>3.3730000000000002</v>
      </c>
      <c r="K103" s="356"/>
      <c r="L103" s="130" t="e">
        <f>'BID III'!#REF!</f>
        <v>#REF!</v>
      </c>
      <c r="M103" s="125" t="s">
        <v>1375</v>
      </c>
    </row>
    <row r="104" spans="1:13" ht="80.25" customHeight="1" x14ac:dyDescent="0.25">
      <c r="A104" s="2130"/>
      <c r="B104" s="2139"/>
      <c r="C104" s="134">
        <v>11</v>
      </c>
      <c r="D104" s="133" t="e">
        <f>'BID III'!#REF!</f>
        <v>#REF!</v>
      </c>
      <c r="E104" s="116"/>
      <c r="F104" s="133" t="s">
        <v>1476</v>
      </c>
      <c r="G104" s="124" t="s">
        <v>1373</v>
      </c>
      <c r="H104" s="125" t="s">
        <v>1377</v>
      </c>
      <c r="I104" s="267">
        <v>3.5179999999999998</v>
      </c>
      <c r="J104" s="267">
        <v>3.3730000000000002</v>
      </c>
      <c r="K104" s="356"/>
      <c r="L104" s="130" t="e">
        <f>'BID III'!#REF!</f>
        <v>#REF!</v>
      </c>
      <c r="M104" s="125" t="s">
        <v>1375</v>
      </c>
    </row>
    <row r="105" spans="1:13" ht="80.25" customHeight="1" x14ac:dyDescent="0.25">
      <c r="A105" s="2130"/>
      <c r="B105" s="2139"/>
      <c r="C105" s="134">
        <v>12</v>
      </c>
      <c r="D105" s="133" t="e">
        <f>'BID III'!#REF!</f>
        <v>#REF!</v>
      </c>
      <c r="E105" s="116"/>
      <c r="F105" s="133" t="s">
        <v>1476</v>
      </c>
      <c r="G105" s="124" t="s">
        <v>1373</v>
      </c>
      <c r="H105" s="125" t="s">
        <v>1377</v>
      </c>
      <c r="I105" s="267">
        <v>3.5179999999999998</v>
      </c>
      <c r="J105" s="267">
        <v>3.3730000000000002</v>
      </c>
      <c r="K105" s="356"/>
      <c r="L105" s="130" t="e">
        <f>'BID III'!#REF!</f>
        <v>#REF!</v>
      </c>
      <c r="M105" s="125" t="s">
        <v>1375</v>
      </c>
    </row>
    <row r="106" spans="1:13" ht="80.25" customHeight="1" x14ac:dyDescent="0.25">
      <c r="A106" s="2130"/>
      <c r="B106" s="2139"/>
      <c r="C106" s="134">
        <v>13</v>
      </c>
      <c r="D106" s="133" t="e">
        <f>'BID III'!#REF!</f>
        <v>#REF!</v>
      </c>
      <c r="E106" s="134"/>
      <c r="F106" s="133" t="s">
        <v>1485</v>
      </c>
      <c r="G106" s="124" t="s">
        <v>1373</v>
      </c>
      <c r="H106" s="125" t="s">
        <v>1377</v>
      </c>
      <c r="I106" s="267">
        <v>3.5179999999999998</v>
      </c>
      <c r="J106" s="267">
        <v>3.3730000000000002</v>
      </c>
      <c r="K106" s="356"/>
      <c r="L106" s="130" t="e">
        <f>'BID III'!#REF!</f>
        <v>#REF!</v>
      </c>
      <c r="M106" s="125" t="s">
        <v>1375</v>
      </c>
    </row>
    <row r="107" spans="1:13" ht="80.25" customHeight="1" x14ac:dyDescent="0.25">
      <c r="A107" s="2130"/>
      <c r="B107" s="2139"/>
      <c r="C107" s="134">
        <v>14</v>
      </c>
      <c r="D107" s="135" t="e">
        <f>'BID III'!#REF!</f>
        <v>#REF!</v>
      </c>
      <c r="E107" s="135"/>
      <c r="F107" s="133" t="s">
        <v>1485</v>
      </c>
      <c r="G107" s="124" t="s">
        <v>1373</v>
      </c>
      <c r="H107" s="125" t="s">
        <v>1377</v>
      </c>
      <c r="I107" s="267">
        <v>3.5179999999999998</v>
      </c>
      <c r="J107" s="267">
        <v>3.3730000000000002</v>
      </c>
      <c r="K107" s="356"/>
      <c r="L107" s="130" t="e">
        <f>'BID III'!#REF!</f>
        <v>#REF!</v>
      </c>
      <c r="M107" s="125" t="s">
        <v>1375</v>
      </c>
    </row>
    <row r="108" spans="1:13" ht="80.25" customHeight="1" x14ac:dyDescent="0.25">
      <c r="A108" s="2130"/>
      <c r="B108" s="2139"/>
      <c r="C108" s="134">
        <v>15</v>
      </c>
      <c r="D108" s="135" t="e">
        <f>'BID III'!#REF!</f>
        <v>#REF!</v>
      </c>
      <c r="E108" s="135"/>
      <c r="F108" s="133" t="s">
        <v>1679</v>
      </c>
      <c r="G108" s="124" t="s">
        <v>1373</v>
      </c>
      <c r="H108" s="125" t="s">
        <v>1377</v>
      </c>
      <c r="I108" s="267">
        <v>3.5179999999999998</v>
      </c>
      <c r="J108" s="267">
        <v>3.3730000000000002</v>
      </c>
      <c r="K108" s="356"/>
      <c r="L108" s="130" t="e">
        <f>'BID III'!#REF!</f>
        <v>#REF!</v>
      </c>
      <c r="M108" s="125" t="s">
        <v>1375</v>
      </c>
    </row>
    <row r="109" spans="1:13" ht="180.75" customHeight="1" x14ac:dyDescent="0.25">
      <c r="A109" s="2130"/>
      <c r="B109" s="2139"/>
      <c r="C109" s="134">
        <v>16</v>
      </c>
      <c r="D109" s="135" t="e">
        <f>'BID III'!#REF!</f>
        <v>#REF!</v>
      </c>
      <c r="E109" s="116"/>
      <c r="F109" s="133" t="s">
        <v>1477</v>
      </c>
      <c r="G109" s="124" t="s">
        <v>1373</v>
      </c>
      <c r="H109" s="125" t="s">
        <v>1377</v>
      </c>
      <c r="I109" s="267">
        <v>3.5179999999999998</v>
      </c>
      <c r="J109" s="267">
        <v>3.3730000000000002</v>
      </c>
      <c r="K109" s="356"/>
      <c r="L109" s="130" t="e">
        <f>'BID III'!#REF!</f>
        <v>#REF!</v>
      </c>
      <c r="M109" s="125" t="s">
        <v>1375</v>
      </c>
    </row>
    <row r="110" spans="1:13" ht="115.5" customHeight="1" x14ac:dyDescent="0.25">
      <c r="A110" s="2130"/>
      <c r="B110" s="2139"/>
      <c r="C110" s="134">
        <v>17</v>
      </c>
      <c r="D110" s="135" t="e">
        <f>#REF!</f>
        <v>#REF!</v>
      </c>
      <c r="E110" s="116"/>
      <c r="F110" s="133" t="s">
        <v>1476</v>
      </c>
      <c r="G110" s="124" t="s">
        <v>1373</v>
      </c>
      <c r="H110" s="125" t="s">
        <v>1377</v>
      </c>
      <c r="I110" s="267">
        <v>3.5179999999999998</v>
      </c>
      <c r="J110" s="267">
        <v>3.3730000000000002</v>
      </c>
      <c r="K110" s="356"/>
      <c r="L110" s="130" t="e">
        <f>#REF!</f>
        <v>#REF!</v>
      </c>
      <c r="M110" s="125" t="s">
        <v>1375</v>
      </c>
    </row>
    <row r="111" spans="1:13" ht="80.25" customHeight="1" x14ac:dyDescent="0.25">
      <c r="A111" s="2130"/>
      <c r="B111" s="2139"/>
      <c r="C111" s="134">
        <v>18</v>
      </c>
      <c r="D111" s="471" t="e">
        <f>'BID III'!#REF!</f>
        <v>#REF!</v>
      </c>
      <c r="E111" s="116"/>
      <c r="F111" s="133" t="s">
        <v>1476</v>
      </c>
      <c r="G111" s="124" t="s">
        <v>1373</v>
      </c>
      <c r="H111" s="125" t="s">
        <v>1377</v>
      </c>
      <c r="I111" s="267">
        <v>3.5179999999999998</v>
      </c>
      <c r="J111" s="267">
        <v>3.3730000000000002</v>
      </c>
      <c r="K111" s="356"/>
      <c r="L111" s="130" t="e">
        <f>'BID III'!#REF!</f>
        <v>#REF!</v>
      </c>
      <c r="M111" s="125" t="s">
        <v>1375</v>
      </c>
    </row>
    <row r="112" spans="1:13" ht="80.25" customHeight="1" x14ac:dyDescent="0.25">
      <c r="A112" s="2130"/>
      <c r="B112" s="2139"/>
      <c r="C112" s="134">
        <v>19</v>
      </c>
      <c r="D112" s="133" t="e">
        <f>'BID III'!#REF!</f>
        <v>#REF!</v>
      </c>
      <c r="E112" s="116"/>
      <c r="F112" s="133" t="s">
        <v>1478</v>
      </c>
      <c r="G112" s="124" t="s">
        <v>1373</v>
      </c>
      <c r="H112" s="125" t="s">
        <v>1377</v>
      </c>
      <c r="I112" s="267">
        <v>13</v>
      </c>
      <c r="J112" s="267">
        <v>4</v>
      </c>
      <c r="K112" s="356"/>
      <c r="L112" s="130" t="e">
        <f>'BID III'!#REF!</f>
        <v>#REF!</v>
      </c>
      <c r="M112" s="125" t="s">
        <v>1375</v>
      </c>
    </row>
    <row r="113" spans="1:13" ht="80.25" customHeight="1" x14ac:dyDescent="0.25">
      <c r="A113" s="2130"/>
      <c r="B113" s="2139"/>
      <c r="C113" s="134">
        <v>20</v>
      </c>
      <c r="D113" s="133" t="e">
        <f>'BID III'!#REF!</f>
        <v>#REF!</v>
      </c>
      <c r="E113" s="116"/>
      <c r="F113" s="133" t="s">
        <v>1479</v>
      </c>
      <c r="G113" s="124" t="s">
        <v>1373</v>
      </c>
      <c r="H113" s="125" t="s">
        <v>1377</v>
      </c>
      <c r="I113" s="267">
        <v>13</v>
      </c>
      <c r="J113" s="267">
        <v>4</v>
      </c>
      <c r="K113" s="356"/>
      <c r="L113" s="130" t="e">
        <f>'BID III'!#REF!</f>
        <v>#REF!</v>
      </c>
      <c r="M113" s="125" t="s">
        <v>1375</v>
      </c>
    </row>
    <row r="114" spans="1:13" ht="80.25" customHeight="1" x14ac:dyDescent="0.25">
      <c r="A114" s="2130"/>
      <c r="B114" s="2139"/>
      <c r="C114" s="134">
        <v>21</v>
      </c>
      <c r="D114" s="133" t="e">
        <f>'BID III'!#REF!</f>
        <v>#REF!</v>
      </c>
      <c r="E114" s="116"/>
      <c r="F114" s="133" t="s">
        <v>1480</v>
      </c>
      <c r="G114" s="124" t="s">
        <v>1373</v>
      </c>
      <c r="H114" s="125" t="s">
        <v>1377</v>
      </c>
      <c r="I114" s="267">
        <v>3.5179999999999998</v>
      </c>
      <c r="J114" s="267">
        <v>3.3730000000000002</v>
      </c>
      <c r="K114" s="356"/>
      <c r="L114" s="130" t="e">
        <f>'BID III'!#REF!</f>
        <v>#REF!</v>
      </c>
      <c r="M114" s="125" t="s">
        <v>1375</v>
      </c>
    </row>
    <row r="115" spans="1:13" ht="115.5" customHeight="1" x14ac:dyDescent="0.25">
      <c r="A115" s="2130"/>
      <c r="B115" s="2139"/>
      <c r="C115" s="134">
        <v>22</v>
      </c>
      <c r="D115" s="133" t="e">
        <f>'BID III'!#REF!</f>
        <v>#REF!</v>
      </c>
      <c r="E115" s="116"/>
      <c r="F115" s="133" t="s">
        <v>1476</v>
      </c>
      <c r="G115" s="124" t="s">
        <v>1373</v>
      </c>
      <c r="H115" s="125" t="s">
        <v>1377</v>
      </c>
      <c r="I115" s="267">
        <v>3.5179999999999998</v>
      </c>
      <c r="J115" s="267">
        <v>3.3730000000000002</v>
      </c>
      <c r="K115" s="356"/>
      <c r="L115" s="130" t="e">
        <f>'BID III'!#REF!</f>
        <v>#REF!</v>
      </c>
      <c r="M115" s="125" t="s">
        <v>1375</v>
      </c>
    </row>
    <row r="116" spans="1:13" ht="80.25" customHeight="1" x14ac:dyDescent="0.25">
      <c r="A116" s="2130"/>
      <c r="B116" s="2139"/>
      <c r="C116" s="134">
        <v>23</v>
      </c>
      <c r="D116" s="133" t="e">
        <f>'BID III'!#REF!</f>
        <v>#REF!</v>
      </c>
      <c r="E116" s="134"/>
      <c r="F116" s="133" t="s">
        <v>1481</v>
      </c>
      <c r="G116" s="124" t="s">
        <v>1373</v>
      </c>
      <c r="H116" s="125" t="s">
        <v>1377</v>
      </c>
      <c r="I116" s="267">
        <v>3.5179999999999998</v>
      </c>
      <c r="J116" s="267">
        <v>3.3730000000000002</v>
      </c>
      <c r="K116" s="356"/>
      <c r="L116" s="382" t="e">
        <f>'BID III'!#REF!</f>
        <v>#REF!</v>
      </c>
      <c r="M116" s="125" t="s">
        <v>1375</v>
      </c>
    </row>
    <row r="117" spans="1:13" ht="80.25" customHeight="1" x14ac:dyDescent="0.25">
      <c r="A117" s="2130"/>
      <c r="B117" s="2139"/>
      <c r="C117" s="134">
        <v>24</v>
      </c>
      <c r="D117" s="133" t="e">
        <f>'BID III'!#REF!</f>
        <v>#REF!</v>
      </c>
      <c r="E117" s="116"/>
      <c r="F117" s="133" t="s">
        <v>1482</v>
      </c>
      <c r="G117" s="124" t="s">
        <v>1373</v>
      </c>
      <c r="H117" s="125" t="s">
        <v>1377</v>
      </c>
      <c r="I117" s="267">
        <v>3.5179999999999998</v>
      </c>
      <c r="J117" s="267">
        <v>3.3730000000000002</v>
      </c>
      <c r="K117" s="356"/>
      <c r="L117" s="382" t="e">
        <f>'BID III'!#REF!</f>
        <v>#REF!</v>
      </c>
      <c r="M117" s="125" t="s">
        <v>1375</v>
      </c>
    </row>
    <row r="118" spans="1:13" ht="80.25" customHeight="1" x14ac:dyDescent="0.25">
      <c r="A118" s="2130"/>
      <c r="B118" s="2139"/>
      <c r="C118" s="134">
        <v>25</v>
      </c>
      <c r="D118" s="133" t="e">
        <f>'BID III'!#REF!</f>
        <v>#REF!</v>
      </c>
      <c r="E118" s="134"/>
      <c r="F118" s="133" t="s">
        <v>1483</v>
      </c>
      <c r="G118" s="124" t="s">
        <v>1373</v>
      </c>
      <c r="H118" s="125" t="s">
        <v>1377</v>
      </c>
      <c r="I118" s="267">
        <v>3.5179999999999998</v>
      </c>
      <c r="J118" s="267">
        <v>3.3730000000000002</v>
      </c>
      <c r="K118" s="356"/>
      <c r="L118" s="382" t="e">
        <f>'BID III'!#REF!</f>
        <v>#REF!</v>
      </c>
      <c r="M118" s="125" t="s">
        <v>1375</v>
      </c>
    </row>
    <row r="119" spans="1:13" ht="80.25" customHeight="1" x14ac:dyDescent="0.25">
      <c r="A119" s="2130"/>
      <c r="B119" s="2139"/>
      <c r="C119" s="134">
        <v>26</v>
      </c>
      <c r="D119" s="133" t="e">
        <f>'BID III'!#REF!</f>
        <v>#REF!</v>
      </c>
      <c r="E119" s="116"/>
      <c r="F119" s="133" t="s">
        <v>1484</v>
      </c>
      <c r="G119" s="124" t="s">
        <v>1373</v>
      </c>
      <c r="H119" s="125" t="s">
        <v>1377</v>
      </c>
      <c r="I119" s="267">
        <v>3.5179999999999998</v>
      </c>
      <c r="J119" s="267">
        <v>3.3730000000000002</v>
      </c>
      <c r="K119" s="356"/>
      <c r="L119" s="382" t="e">
        <f>'BID III'!#REF!</f>
        <v>#REF!</v>
      </c>
      <c r="M119" s="125" t="s">
        <v>1375</v>
      </c>
    </row>
    <row r="120" spans="1:13" ht="80.25" customHeight="1" x14ac:dyDescent="0.25">
      <c r="A120" s="2131"/>
      <c r="B120" s="2140"/>
      <c r="C120" s="134">
        <v>27</v>
      </c>
      <c r="D120" s="133" t="e">
        <f>'BID III'!#REF!</f>
        <v>#REF!</v>
      </c>
      <c r="E120" s="116"/>
      <c r="F120" s="133" t="s">
        <v>1484</v>
      </c>
      <c r="G120" s="124" t="s">
        <v>1373</v>
      </c>
      <c r="H120" s="125" t="s">
        <v>1377</v>
      </c>
      <c r="I120" s="267">
        <v>3.5179999999999998</v>
      </c>
      <c r="J120" s="267">
        <v>3.3730000000000002</v>
      </c>
      <c r="K120" s="356"/>
      <c r="L120" s="382" t="e">
        <f>'BID III'!#REF!</f>
        <v>#REF!</v>
      </c>
      <c r="M120" s="125" t="s">
        <v>1375</v>
      </c>
    </row>
    <row r="121" spans="1:13" ht="21.75" customHeight="1" x14ac:dyDescent="0.3">
      <c r="A121" s="2141" t="s">
        <v>1570</v>
      </c>
      <c r="B121" s="2141"/>
      <c r="C121" s="2141"/>
      <c r="D121" s="2141"/>
      <c r="E121" s="2141"/>
      <c r="F121" s="2141"/>
      <c r="G121" s="2141"/>
      <c r="H121" s="2141"/>
      <c r="I121" s="2141"/>
      <c r="J121" s="2141"/>
      <c r="K121" s="2141"/>
      <c r="L121" s="470" t="e">
        <f>SUM(L94:L120)</f>
        <v>#REF!</v>
      </c>
      <c r="M121" s="32"/>
    </row>
    <row r="122" spans="1:13" s="111" customFormat="1" ht="63" customHeight="1" x14ac:dyDescent="0.25">
      <c r="A122" s="2099" t="s">
        <v>1295</v>
      </c>
      <c r="B122" s="2099" t="s">
        <v>1345</v>
      </c>
      <c r="C122" s="2099"/>
      <c r="D122" s="2099"/>
      <c r="E122" s="2098" t="s">
        <v>1516</v>
      </c>
      <c r="F122" s="2098" t="s">
        <v>1517</v>
      </c>
      <c r="G122" s="2098" t="s">
        <v>1518</v>
      </c>
      <c r="H122" s="2098" t="s">
        <v>1519</v>
      </c>
      <c r="I122" s="2099" t="s">
        <v>1350</v>
      </c>
      <c r="J122" s="2099"/>
      <c r="K122" s="2099"/>
      <c r="L122" s="2098" t="s">
        <v>1520</v>
      </c>
      <c r="M122" s="2098"/>
    </row>
    <row r="123" spans="1:13" s="111" customFormat="1" ht="32.25" customHeight="1" x14ac:dyDescent="0.25">
      <c r="A123" s="2099"/>
      <c r="B123" s="452" t="s">
        <v>1354</v>
      </c>
      <c r="C123" s="453" t="s">
        <v>1521</v>
      </c>
      <c r="D123" s="453" t="s">
        <v>1522</v>
      </c>
      <c r="E123" s="2098"/>
      <c r="F123" s="2098"/>
      <c r="G123" s="2098"/>
      <c r="H123" s="2098"/>
      <c r="I123" s="452" t="s">
        <v>1523</v>
      </c>
      <c r="J123" s="452" t="s">
        <v>1524</v>
      </c>
      <c r="K123" s="452" t="s">
        <v>1525</v>
      </c>
      <c r="L123" s="468" t="s">
        <v>1526</v>
      </c>
      <c r="M123" s="452" t="s">
        <v>1357</v>
      </c>
    </row>
    <row r="124" spans="1:13" s="111" customFormat="1" ht="15.75" x14ac:dyDescent="0.25">
      <c r="A124" s="117" t="s">
        <v>1358</v>
      </c>
      <c r="B124" s="117" t="s">
        <v>1359</v>
      </c>
      <c r="C124" s="117" t="s">
        <v>1360</v>
      </c>
      <c r="D124" s="117" t="s">
        <v>1361</v>
      </c>
      <c r="E124" s="117" t="s">
        <v>1362</v>
      </c>
      <c r="F124" s="117" t="s">
        <v>1363</v>
      </c>
      <c r="G124" s="118" t="s">
        <v>1364</v>
      </c>
      <c r="H124" s="114" t="s">
        <v>1365</v>
      </c>
      <c r="I124" s="114" t="s">
        <v>1366</v>
      </c>
      <c r="J124" s="114" t="s">
        <v>1367</v>
      </c>
      <c r="K124" s="114" t="s">
        <v>1368</v>
      </c>
      <c r="L124" s="469" t="s">
        <v>1369</v>
      </c>
      <c r="M124" s="117" t="s">
        <v>539</v>
      </c>
    </row>
    <row r="125" spans="1:13" ht="80.25" customHeight="1" x14ac:dyDescent="0.25">
      <c r="A125" s="2129">
        <v>4</v>
      </c>
      <c r="B125" s="2138" t="s">
        <v>1575</v>
      </c>
      <c r="C125" s="134">
        <v>1</v>
      </c>
      <c r="D125" s="133" t="str">
        <f>'BID IV'!B9</f>
        <v>: (Ketahanan Pangan) Pelatihan Budidaya Jamur</v>
      </c>
      <c r="E125" s="116"/>
      <c r="F125" s="133" t="s">
        <v>1494</v>
      </c>
      <c r="G125" s="66" t="e">
        <f>#REF!</f>
        <v>#REF!</v>
      </c>
      <c r="H125" s="267" t="e">
        <f>#REF!</f>
        <v>#REF!</v>
      </c>
      <c r="I125" s="267">
        <v>30</v>
      </c>
      <c r="J125" s="267"/>
      <c r="K125" s="356"/>
      <c r="L125" s="470" t="e">
        <f>#REF!</f>
        <v>#REF!</v>
      </c>
      <c r="M125" s="125" t="s">
        <v>1375</v>
      </c>
    </row>
    <row r="126" spans="1:13" ht="80.25" customHeight="1" x14ac:dyDescent="0.25">
      <c r="A126" s="2130"/>
      <c r="B126" s="2139"/>
      <c r="C126" s="134">
        <v>2</v>
      </c>
      <c r="D126" s="133" t="e">
        <f>'BID IV'!#REF!</f>
        <v>#REF!</v>
      </c>
      <c r="E126" s="116"/>
      <c r="F126" s="133" t="s">
        <v>1494</v>
      </c>
      <c r="G126" s="66" t="e">
        <f>#REF!</f>
        <v>#REF!</v>
      </c>
      <c r="H126" s="267" t="e">
        <f>#REF!</f>
        <v>#REF!</v>
      </c>
      <c r="I126" s="267">
        <v>35</v>
      </c>
      <c r="J126" s="267"/>
      <c r="K126" s="356"/>
      <c r="L126" s="470" t="e">
        <f>#REF!</f>
        <v>#REF!</v>
      </c>
      <c r="M126" s="125" t="s">
        <v>1375</v>
      </c>
    </row>
    <row r="127" spans="1:13" ht="80.25" customHeight="1" x14ac:dyDescent="0.25">
      <c r="A127" s="2130"/>
      <c r="B127" s="2139"/>
      <c r="C127" s="134">
        <v>3</v>
      </c>
      <c r="D127" s="133" t="e">
        <f>'BID IV'!#REF!</f>
        <v>#REF!</v>
      </c>
      <c r="E127" s="116"/>
      <c r="F127" s="133" t="s">
        <v>1494</v>
      </c>
      <c r="G127" s="66" t="e">
        <f>#REF!</f>
        <v>#REF!</v>
      </c>
      <c r="H127" s="267" t="e">
        <f>#REF!</f>
        <v>#REF!</v>
      </c>
      <c r="I127" s="267">
        <v>30</v>
      </c>
      <c r="J127" s="267"/>
      <c r="K127" s="356"/>
      <c r="L127" s="470" t="e">
        <f>#REF!</f>
        <v>#REF!</v>
      </c>
      <c r="M127" s="125" t="s">
        <v>1375</v>
      </c>
    </row>
    <row r="128" spans="1:13" ht="80.25" customHeight="1" x14ac:dyDescent="0.25">
      <c r="A128" s="2130"/>
      <c r="B128" s="2139"/>
      <c r="C128" s="134">
        <v>4</v>
      </c>
      <c r="D128" s="133" t="e">
        <f>'BID IV'!#REF!</f>
        <v>#REF!</v>
      </c>
      <c r="E128" s="116"/>
      <c r="F128" s="133" t="s">
        <v>1488</v>
      </c>
      <c r="G128" s="66" t="e">
        <f>#REF!</f>
        <v>#REF!</v>
      </c>
      <c r="H128" s="267" t="e">
        <f>#REF!</f>
        <v>#REF!</v>
      </c>
      <c r="I128" s="267">
        <v>20</v>
      </c>
      <c r="J128" s="267">
        <v>8</v>
      </c>
      <c r="K128" s="356"/>
      <c r="L128" s="470" t="e">
        <f>#REF!</f>
        <v>#REF!</v>
      </c>
      <c r="M128" s="125" t="s">
        <v>1375</v>
      </c>
    </row>
    <row r="129" spans="1:15" ht="80.25" customHeight="1" x14ac:dyDescent="0.25">
      <c r="A129" s="2130"/>
      <c r="B129" s="2139"/>
      <c r="C129" s="134">
        <v>5</v>
      </c>
      <c r="D129" s="133" t="str">
        <f>'BID IV'!B187</f>
        <v>: Pelatihan Tim Verifikasi dan penyusunan RKP ( Pelatihan Penysunan RKPDes)</v>
      </c>
      <c r="E129" s="116"/>
      <c r="F129" s="133" t="s">
        <v>1489</v>
      </c>
      <c r="G129" s="66" t="e">
        <f>#REF!</f>
        <v>#REF!</v>
      </c>
      <c r="H129" s="267" t="e">
        <f>#REF!</f>
        <v>#REF!</v>
      </c>
      <c r="I129" s="267">
        <v>20</v>
      </c>
      <c r="J129" s="267">
        <v>8</v>
      </c>
      <c r="K129" s="356"/>
      <c r="L129" s="470" t="e">
        <f>#REF!</f>
        <v>#REF!</v>
      </c>
      <c r="M129" s="125" t="s">
        <v>1375</v>
      </c>
    </row>
    <row r="130" spans="1:15" ht="80.25" customHeight="1" x14ac:dyDescent="0.25">
      <c r="A130" s="2130"/>
      <c r="B130" s="2139"/>
      <c r="C130" s="134">
        <v>6</v>
      </c>
      <c r="D130" s="133" t="str">
        <f>'BID IV'!B226</f>
        <v>: Pelatihan Perangkat Desa</v>
      </c>
      <c r="E130" s="116"/>
      <c r="F130" s="133" t="s">
        <v>1490</v>
      </c>
      <c r="G130" s="66" t="e">
        <f>#REF!</f>
        <v>#REF!</v>
      </c>
      <c r="H130" s="267" t="e">
        <f>#REF!</f>
        <v>#REF!</v>
      </c>
      <c r="I130" s="267">
        <v>20</v>
      </c>
      <c r="J130" s="267">
        <v>8</v>
      </c>
      <c r="K130" s="356"/>
      <c r="L130" s="470" t="e">
        <f>#REF!</f>
        <v>#REF!</v>
      </c>
      <c r="M130" s="125" t="s">
        <v>1375</v>
      </c>
    </row>
    <row r="131" spans="1:15" ht="80.25" customHeight="1" x14ac:dyDescent="0.25">
      <c r="A131" s="2130"/>
      <c r="B131" s="2139"/>
      <c r="C131" s="134">
        <v>7</v>
      </c>
      <c r="D131" s="133" t="str">
        <f>'BID IV'!B266</f>
        <v>: Peningkatan Kapasitas BPD</v>
      </c>
      <c r="E131" s="116"/>
      <c r="F131" s="133" t="s">
        <v>1491</v>
      </c>
      <c r="G131" s="66" t="e">
        <f>#REF!</f>
        <v>#REF!</v>
      </c>
      <c r="H131" s="267" t="e">
        <f>#REF!</f>
        <v>#REF!</v>
      </c>
      <c r="I131" s="267">
        <v>8</v>
      </c>
      <c r="J131" s="267">
        <v>1</v>
      </c>
      <c r="K131" s="356"/>
      <c r="L131" s="470" t="e">
        <f>#REF!</f>
        <v>#REF!</v>
      </c>
      <c r="M131" s="125" t="s">
        <v>1375</v>
      </c>
    </row>
    <row r="132" spans="1:15" ht="80.25" customHeight="1" x14ac:dyDescent="0.25">
      <c r="A132" s="2130"/>
      <c r="B132" s="2139"/>
      <c r="C132" s="134">
        <v>8</v>
      </c>
      <c r="D132" s="133" t="e">
        <f>'BID IV'!#REF!</f>
        <v>#REF!</v>
      </c>
      <c r="E132" s="116"/>
      <c r="F132" s="133" t="s">
        <v>1493</v>
      </c>
      <c r="G132" s="66" t="e">
        <f>#REF!</f>
        <v>#REF!</v>
      </c>
      <c r="H132" s="267" t="e">
        <f>#REF!</f>
        <v>#REF!</v>
      </c>
      <c r="I132" s="267"/>
      <c r="J132" s="267">
        <v>32</v>
      </c>
      <c r="K132" s="356"/>
      <c r="L132" s="470" t="e">
        <f>#REF!</f>
        <v>#REF!</v>
      </c>
      <c r="M132" s="125" t="s">
        <v>1375</v>
      </c>
    </row>
    <row r="133" spans="1:15" ht="80.25" customHeight="1" x14ac:dyDescent="0.25">
      <c r="A133" s="2130"/>
      <c r="B133" s="2139"/>
      <c r="C133" s="134">
        <v>9</v>
      </c>
      <c r="D133" s="133" t="e">
        <f>'BID IV'!#REF!</f>
        <v>#REF!</v>
      </c>
      <c r="E133" s="116"/>
      <c r="F133" s="133" t="s">
        <v>1531</v>
      </c>
      <c r="G133" s="66" t="e">
        <f>#REF!</f>
        <v>#REF!</v>
      </c>
      <c r="H133" s="267" t="e">
        <f>#REF!</f>
        <v>#REF!</v>
      </c>
      <c r="I133" s="267">
        <v>5</v>
      </c>
      <c r="J133" s="267"/>
      <c r="K133" s="356"/>
      <c r="L133" s="470" t="e">
        <f>#REF!</f>
        <v>#REF!</v>
      </c>
      <c r="M133" s="125" t="s">
        <v>1375</v>
      </c>
    </row>
    <row r="134" spans="1:15" ht="80.25" customHeight="1" x14ac:dyDescent="0.25">
      <c r="A134" s="2130"/>
      <c r="B134" s="2139"/>
      <c r="C134" s="134">
        <v>10</v>
      </c>
      <c r="D134" s="450" t="e">
        <f>'BID IV'!#REF!</f>
        <v>#REF!</v>
      </c>
      <c r="E134" s="116"/>
      <c r="F134" s="133" t="s">
        <v>1492</v>
      </c>
      <c r="G134" s="66" t="e">
        <f>#REF!</f>
        <v>#REF!</v>
      </c>
      <c r="H134" s="267" t="e">
        <f>#REF!</f>
        <v>#REF!</v>
      </c>
      <c r="I134" s="267">
        <v>5</v>
      </c>
      <c r="J134" s="267">
        <v>3</v>
      </c>
      <c r="K134" s="356"/>
      <c r="L134" s="470" t="e">
        <f>#REF!</f>
        <v>#REF!</v>
      </c>
      <c r="M134" s="125" t="s">
        <v>1375</v>
      </c>
    </row>
    <row r="135" spans="1:15" ht="80.25" customHeight="1" x14ac:dyDescent="0.25">
      <c r="A135" s="2130"/>
      <c r="B135" s="2139"/>
      <c r="C135" s="134">
        <v>11</v>
      </c>
      <c r="D135" s="133" t="e">
        <f>#REF!</f>
        <v>#REF!</v>
      </c>
      <c r="E135" s="116"/>
      <c r="F135" s="133" t="s">
        <v>1494</v>
      </c>
      <c r="G135" s="66" t="e">
        <f>#REF!</f>
        <v>#REF!</v>
      </c>
      <c r="H135" s="267" t="e">
        <f>#REF!</f>
        <v>#REF!</v>
      </c>
      <c r="I135" s="267">
        <v>50</v>
      </c>
      <c r="J135" s="267"/>
      <c r="K135" s="356"/>
      <c r="L135" s="470" t="e">
        <f>#REF!</f>
        <v>#REF!</v>
      </c>
      <c r="M135" s="125" t="s">
        <v>1375</v>
      </c>
    </row>
    <row r="136" spans="1:15" ht="80.25" customHeight="1" x14ac:dyDescent="0.25">
      <c r="A136" s="2130"/>
      <c r="B136" s="2139"/>
      <c r="C136" s="134">
        <v>12</v>
      </c>
      <c r="D136" s="133" t="e">
        <f>#REF!</f>
        <v>#REF!</v>
      </c>
      <c r="E136" s="116"/>
      <c r="F136" s="133" t="s">
        <v>1493</v>
      </c>
      <c r="G136" s="66" t="e">
        <f>#REF!</f>
        <v>#REF!</v>
      </c>
      <c r="H136" s="267" t="e">
        <f>#REF!</f>
        <v>#REF!</v>
      </c>
      <c r="I136" s="267"/>
      <c r="J136" s="267">
        <v>32</v>
      </c>
      <c r="K136" s="356"/>
      <c r="L136" s="470" t="e">
        <f>#REF!</f>
        <v>#REF!</v>
      </c>
      <c r="M136" s="125" t="s">
        <v>1375</v>
      </c>
    </row>
    <row r="137" spans="1:15" ht="100.5" customHeight="1" x14ac:dyDescent="0.25">
      <c r="A137" s="2130"/>
      <c r="B137" s="2139"/>
      <c r="C137" s="134">
        <v>13</v>
      </c>
      <c r="D137" s="133" t="e">
        <f>#REF!</f>
        <v>#REF!</v>
      </c>
      <c r="E137" s="116"/>
      <c r="F137" s="133" t="s">
        <v>1492</v>
      </c>
      <c r="G137" s="66" t="e">
        <f>#REF!</f>
        <v>#REF!</v>
      </c>
      <c r="H137" s="267" t="e">
        <f>#REF!</f>
        <v>#REF!</v>
      </c>
      <c r="I137" s="267">
        <v>5</v>
      </c>
      <c r="J137" s="267">
        <v>3</v>
      </c>
      <c r="K137" s="356"/>
      <c r="L137" s="470" t="e">
        <f>#REF!</f>
        <v>#REF!</v>
      </c>
      <c r="M137" s="125" t="s">
        <v>1375</v>
      </c>
    </row>
    <row r="138" spans="1:15" ht="100.5" customHeight="1" x14ac:dyDescent="0.25">
      <c r="A138" s="2131"/>
      <c r="B138" s="2140"/>
      <c r="C138" s="134">
        <v>14</v>
      </c>
      <c r="D138" s="133" t="e">
        <f>'BID IV'!#REF!</f>
        <v>#REF!</v>
      </c>
      <c r="E138" s="116"/>
      <c r="F138" s="133" t="e">
        <f>#REF!</f>
        <v>#REF!</v>
      </c>
      <c r="G138" s="66" t="e">
        <f>#REF!</f>
        <v>#REF!</v>
      </c>
      <c r="H138" s="267" t="s">
        <v>295</v>
      </c>
      <c r="I138" s="267">
        <v>171</v>
      </c>
      <c r="J138" s="267"/>
      <c r="K138" s="356"/>
      <c r="L138" s="470" t="e">
        <f>'BID IV'!#REF!</f>
        <v>#REF!</v>
      </c>
      <c r="M138" s="125"/>
    </row>
    <row r="139" spans="1:15" ht="21.75" customHeight="1" x14ac:dyDescent="0.3">
      <c r="A139" s="2141" t="s">
        <v>1571</v>
      </c>
      <c r="B139" s="2141"/>
      <c r="C139" s="2141"/>
      <c r="D139" s="2141"/>
      <c r="E139" s="2141"/>
      <c r="F139" s="2141"/>
      <c r="G139" s="2141"/>
      <c r="H139" s="2141"/>
      <c r="I139" s="2141"/>
      <c r="J139" s="2141"/>
      <c r="K139" s="2141"/>
      <c r="L139" s="470" t="e">
        <f>SUM(L125:L137)</f>
        <v>#REF!</v>
      </c>
      <c r="M139" s="32"/>
    </row>
    <row r="140" spans="1:15" ht="40.5" customHeight="1" x14ac:dyDescent="0.4">
      <c r="A140" s="2143" t="s">
        <v>1554</v>
      </c>
      <c r="B140" s="2143"/>
      <c r="C140" s="2143"/>
      <c r="D140" s="2143"/>
      <c r="E140" s="2143"/>
      <c r="F140" s="2143"/>
      <c r="G140" s="2143"/>
      <c r="H140" s="2143"/>
      <c r="I140" s="2143"/>
      <c r="J140" s="2143"/>
      <c r="K140" s="2143"/>
      <c r="L140" s="174" t="e">
        <f>L139+L121+L90+L44</f>
        <v>#REF!</v>
      </c>
      <c r="M140" s="32"/>
    </row>
    <row r="141" spans="1:15" s="111" customFormat="1" ht="15.75" x14ac:dyDescent="0.25">
      <c r="B141" s="2142"/>
      <c r="C141" s="2142"/>
      <c r="D141" s="2142"/>
      <c r="H141" s="110"/>
      <c r="I141" s="110"/>
      <c r="J141" s="110"/>
      <c r="K141" s="113"/>
      <c r="O141" s="110"/>
    </row>
    <row r="142" spans="1:15" s="111" customFormat="1" ht="15.75" x14ac:dyDescent="0.25">
      <c r="B142" s="2142"/>
      <c r="C142" s="2142"/>
      <c r="D142" s="2142"/>
      <c r="H142" s="110"/>
      <c r="I142" s="110"/>
      <c r="J142" s="110"/>
      <c r="K142" s="113"/>
      <c r="O142" s="110"/>
    </row>
    <row r="143" spans="1:15" s="111" customFormat="1" ht="15.75" x14ac:dyDescent="0.25">
      <c r="D143" s="112"/>
      <c r="H143" s="110"/>
      <c r="I143" s="110"/>
      <c r="J143" s="110"/>
      <c r="K143" s="113"/>
      <c r="O143" s="110"/>
    </row>
    <row r="144" spans="1:15" ht="15.75" x14ac:dyDescent="0.25">
      <c r="A144" s="111"/>
      <c r="B144" s="111"/>
      <c r="C144" s="111"/>
      <c r="D144" s="467"/>
      <c r="E144" s="467"/>
      <c r="F144" s="467"/>
      <c r="G144" s="467"/>
      <c r="H144" s="467" t="s">
        <v>1675</v>
      </c>
      <c r="I144" s="467"/>
      <c r="J144" s="467"/>
      <c r="K144" s="467"/>
      <c r="L144" s="111"/>
    </row>
    <row r="145" spans="1:12" ht="15.75" x14ac:dyDescent="0.25">
      <c r="A145" s="111"/>
      <c r="B145" s="2084" t="s">
        <v>1605</v>
      </c>
      <c r="C145" s="2084"/>
      <c r="D145" s="2084"/>
      <c r="E145" s="467"/>
      <c r="F145" s="467"/>
      <c r="G145" s="467"/>
      <c r="H145" s="467" t="s">
        <v>1386</v>
      </c>
      <c r="I145" s="467"/>
      <c r="J145" s="467"/>
      <c r="K145" s="467"/>
      <c r="L145" s="111"/>
    </row>
    <row r="146" spans="1:12" ht="15.75" x14ac:dyDescent="0.25">
      <c r="A146" s="111"/>
      <c r="B146" s="2084" t="s">
        <v>1678</v>
      </c>
      <c r="C146" s="2084"/>
      <c r="D146" s="2084"/>
      <c r="E146" s="467"/>
      <c r="F146" s="467"/>
      <c r="G146" s="467"/>
      <c r="H146" s="467" t="s">
        <v>1676</v>
      </c>
      <c r="I146" s="467"/>
      <c r="J146" s="467"/>
      <c r="K146" s="467"/>
      <c r="L146" s="111"/>
    </row>
    <row r="147" spans="1:12" ht="15.75" x14ac:dyDescent="0.25">
      <c r="A147" s="111"/>
      <c r="B147" s="111"/>
      <c r="C147" s="111"/>
      <c r="D147" s="467"/>
      <c r="E147" s="467"/>
      <c r="F147" s="467"/>
      <c r="G147" s="467"/>
      <c r="H147" s="467"/>
      <c r="I147" s="467"/>
      <c r="J147" s="467"/>
      <c r="K147" s="467"/>
      <c r="L147" s="111"/>
    </row>
    <row r="148" spans="1:12" ht="15.75" x14ac:dyDescent="0.25">
      <c r="A148" s="111"/>
      <c r="B148" s="111"/>
      <c r="C148" s="111"/>
      <c r="D148" s="467"/>
      <c r="E148" s="467"/>
      <c r="F148" s="467"/>
      <c r="G148" s="467"/>
      <c r="H148" s="467"/>
      <c r="I148" s="467"/>
      <c r="J148" s="467"/>
      <c r="K148" s="467"/>
      <c r="L148" s="111"/>
    </row>
    <row r="149" spans="1:12" ht="16.5" x14ac:dyDescent="0.3">
      <c r="A149" s="111"/>
      <c r="B149" s="111"/>
      <c r="C149" s="111"/>
      <c r="D149" s="467"/>
      <c r="E149" s="467"/>
      <c r="F149" s="510"/>
      <c r="G149" s="467"/>
      <c r="H149" s="467"/>
      <c r="I149" s="467"/>
      <c r="J149" s="467"/>
      <c r="K149" s="467"/>
      <c r="L149" s="111"/>
    </row>
    <row r="150" spans="1:12" ht="15.75" x14ac:dyDescent="0.25">
      <c r="A150" s="111"/>
      <c r="B150" s="2084" t="s">
        <v>1387</v>
      </c>
      <c r="C150" s="2084"/>
      <c r="D150" s="2084"/>
      <c r="E150" s="467"/>
      <c r="F150" s="467"/>
      <c r="G150" s="467"/>
      <c r="H150" s="467" t="s">
        <v>1388</v>
      </c>
      <c r="I150" s="467"/>
      <c r="J150" s="467"/>
      <c r="K150" s="467"/>
      <c r="L150" s="111"/>
    </row>
    <row r="151" spans="1:12" ht="80.25" customHeight="1" x14ac:dyDescent="0.25"/>
    <row r="152" spans="1:12" ht="80.25" customHeight="1" x14ac:dyDescent="0.25"/>
    <row r="153" spans="1:12" ht="80.25" customHeight="1" x14ac:dyDescent="0.25"/>
    <row r="154" spans="1:12" ht="80.25" customHeight="1" x14ac:dyDescent="0.25"/>
    <row r="155" spans="1:12" ht="80.25" customHeight="1" x14ac:dyDescent="0.25"/>
    <row r="156" spans="1:12" ht="80.25" customHeight="1" x14ac:dyDescent="0.25"/>
    <row r="157" spans="1:12" ht="80.25" customHeight="1" x14ac:dyDescent="0.25"/>
    <row r="158" spans="1:12" ht="80.25" customHeight="1" x14ac:dyDescent="0.25"/>
    <row r="159" spans="1:12" ht="80.25" customHeight="1" x14ac:dyDescent="0.25"/>
    <row r="160" spans="1:12" ht="80.25" customHeight="1" x14ac:dyDescent="0.25"/>
    <row r="161" ht="80.25" customHeight="1" x14ac:dyDescent="0.25"/>
    <row r="162" ht="80.25" customHeight="1" x14ac:dyDescent="0.25"/>
    <row r="163" ht="80.25" customHeight="1" x14ac:dyDescent="0.25"/>
    <row r="164" ht="80.25" customHeight="1" x14ac:dyDescent="0.25"/>
    <row r="165" ht="80.25" customHeight="1" x14ac:dyDescent="0.25"/>
    <row r="166" ht="80.25" customHeight="1" x14ac:dyDescent="0.25"/>
    <row r="167" ht="80.25" customHeight="1" x14ac:dyDescent="0.25"/>
    <row r="168" ht="80.25" customHeight="1" x14ac:dyDescent="0.25"/>
  </sheetData>
  <mergeCells count="52">
    <mergeCell ref="B150:D150"/>
    <mergeCell ref="B141:D141"/>
    <mergeCell ref="B142:D142"/>
    <mergeCell ref="L122:M122"/>
    <mergeCell ref="A139:K139"/>
    <mergeCell ref="A140:K140"/>
    <mergeCell ref="B145:D145"/>
    <mergeCell ref="B146:D146"/>
    <mergeCell ref="B125:B138"/>
    <mergeCell ref="A125:A138"/>
    <mergeCell ref="A121:K121"/>
    <mergeCell ref="A122:A123"/>
    <mergeCell ref="B122:D122"/>
    <mergeCell ref="E122:E123"/>
    <mergeCell ref="F122:F123"/>
    <mergeCell ref="G122:G123"/>
    <mergeCell ref="H122:H123"/>
    <mergeCell ref="I122:K122"/>
    <mergeCell ref="L45:M45"/>
    <mergeCell ref="A90:K90"/>
    <mergeCell ref="A91:A92"/>
    <mergeCell ref="B91:D91"/>
    <mergeCell ref="E91:E92"/>
    <mergeCell ref="F91:F92"/>
    <mergeCell ref="G91:G92"/>
    <mergeCell ref="H91:H92"/>
    <mergeCell ref="I91:K91"/>
    <mergeCell ref="L91:M91"/>
    <mergeCell ref="A1:M1"/>
    <mergeCell ref="A2:M2"/>
    <mergeCell ref="A9:A10"/>
    <mergeCell ref="B9:D9"/>
    <mergeCell ref="E9:E10"/>
    <mergeCell ref="F9:F10"/>
    <mergeCell ref="G9:G10"/>
    <mergeCell ref="H9:H10"/>
    <mergeCell ref="I9:K9"/>
    <mergeCell ref="L9:M9"/>
    <mergeCell ref="A12:A42"/>
    <mergeCell ref="B12:B42"/>
    <mergeCell ref="A48:A89"/>
    <mergeCell ref="B48:B89"/>
    <mergeCell ref="A94:A120"/>
    <mergeCell ref="B94:B120"/>
    <mergeCell ref="A44:K44"/>
    <mergeCell ref="A45:A46"/>
    <mergeCell ref="B45:D45"/>
    <mergeCell ref="E45:E46"/>
    <mergeCell ref="F45:F46"/>
    <mergeCell ref="G45:G46"/>
    <mergeCell ref="H45:H46"/>
    <mergeCell ref="I45:K45"/>
  </mergeCells>
  <pageMargins left="1.2" right="0.7" top="0.75" bottom="0.75" header="0.3" footer="0.3"/>
  <pageSetup paperSize="5" scale="55" orientation="landscape" horizontalDpi="0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400"/>
  <sheetViews>
    <sheetView topLeftCell="A7" zoomScale="73" zoomScaleNormal="73" workbookViewId="0">
      <selection activeCell="L14" sqref="L14"/>
    </sheetView>
  </sheetViews>
  <sheetFormatPr defaultRowHeight="15" x14ac:dyDescent="0.25"/>
  <cols>
    <col min="1" max="1" width="26.5703125" customWidth="1"/>
    <col min="2" max="2" width="6.140625" customWidth="1"/>
    <col min="3" max="3" width="21.7109375" customWidth="1"/>
    <col min="4" max="4" width="20.7109375" customWidth="1"/>
    <col min="5" max="5" width="11.5703125" customWidth="1"/>
    <col min="6" max="6" width="17.7109375" customWidth="1"/>
    <col min="7" max="7" width="10" customWidth="1"/>
    <col min="8" max="8" width="10.42578125" customWidth="1"/>
    <col min="9" max="9" width="10" customWidth="1"/>
    <col min="10" max="10" width="10.5703125" customWidth="1"/>
    <col min="11" max="11" width="10.28515625" customWidth="1"/>
    <col min="12" max="12" width="15.42578125" bestFit="1" customWidth="1"/>
    <col min="13" max="13" width="10.28515625" bestFit="1" customWidth="1"/>
  </cols>
  <sheetData>
    <row r="1" spans="1:9" s="383" customFormat="1" ht="18.75" x14ac:dyDescent="0.3">
      <c r="A1" s="2097" t="s">
        <v>1576</v>
      </c>
      <c r="B1" s="2097"/>
      <c r="C1" s="2097"/>
      <c r="D1" s="2097"/>
      <c r="E1" s="2097"/>
      <c r="F1" s="2097"/>
      <c r="G1" s="2097"/>
      <c r="H1" s="2097"/>
      <c r="I1" s="2097"/>
    </row>
    <row r="2" spans="1:9" s="383" customFormat="1" ht="18.75" x14ac:dyDescent="0.3">
      <c r="A2" s="2097" t="s">
        <v>1496</v>
      </c>
      <c r="B2" s="2097"/>
      <c r="C2" s="2097"/>
      <c r="D2" s="2097"/>
      <c r="E2" s="2097"/>
      <c r="F2" s="2097"/>
      <c r="G2" s="2097"/>
      <c r="H2" s="2097"/>
      <c r="I2" s="2097"/>
    </row>
    <row r="3" spans="1:9" s="111" customFormat="1" ht="21.75" customHeight="1" x14ac:dyDescent="0.25">
      <c r="B3" s="110"/>
      <c r="C3" s="110"/>
    </row>
    <row r="4" spans="1:9" s="111" customFormat="1" ht="15.75" x14ac:dyDescent="0.25">
      <c r="A4" s="384" t="s">
        <v>1337</v>
      </c>
      <c r="B4" s="477" t="s">
        <v>1338</v>
      </c>
      <c r="C4" s="478"/>
    </row>
    <row r="5" spans="1:9" s="111" customFormat="1" ht="15.75" x14ac:dyDescent="0.25">
      <c r="A5" s="384" t="s">
        <v>1339</v>
      </c>
      <c r="B5" s="477" t="s">
        <v>1340</v>
      </c>
      <c r="C5" s="478"/>
    </row>
    <row r="6" spans="1:9" s="111" customFormat="1" ht="15.75" x14ac:dyDescent="0.25">
      <c r="A6" s="384" t="s">
        <v>1341</v>
      </c>
      <c r="B6" s="477" t="s">
        <v>1342</v>
      </c>
      <c r="C6" s="478"/>
    </row>
    <row r="7" spans="1:9" s="111" customFormat="1" ht="15.75" x14ac:dyDescent="0.25">
      <c r="A7" s="384" t="s">
        <v>1343</v>
      </c>
      <c r="B7" s="477" t="s">
        <v>1344</v>
      </c>
      <c r="C7" s="478"/>
    </row>
    <row r="8" spans="1:9" x14ac:dyDescent="0.25">
      <c r="B8" s="476"/>
      <c r="C8" s="476"/>
    </row>
    <row r="9" spans="1:9" ht="15.75" customHeight="1" x14ac:dyDescent="0.25">
      <c r="A9" s="2144" t="s">
        <v>1577</v>
      </c>
      <c r="B9" s="2146" t="s">
        <v>1295</v>
      </c>
      <c r="C9" s="2148" t="s">
        <v>1578</v>
      </c>
      <c r="D9" s="2148" t="s">
        <v>1579</v>
      </c>
      <c r="E9" s="2150" t="s">
        <v>1580</v>
      </c>
      <c r="F9" s="2150" t="s">
        <v>1581</v>
      </c>
      <c r="G9" s="2152" t="s">
        <v>1350</v>
      </c>
      <c r="H9" s="2153"/>
      <c r="I9" s="2154"/>
    </row>
    <row r="10" spans="1:9" ht="42.75" customHeight="1" x14ac:dyDescent="0.25">
      <c r="A10" s="2145"/>
      <c r="B10" s="2147"/>
      <c r="C10" s="2149"/>
      <c r="D10" s="2149"/>
      <c r="E10" s="2151"/>
      <c r="F10" s="2151"/>
      <c r="G10" s="345" t="s">
        <v>1523</v>
      </c>
      <c r="H10" s="345" t="s">
        <v>1524</v>
      </c>
      <c r="I10" s="345" t="s">
        <v>1525</v>
      </c>
    </row>
    <row r="11" spans="1:9" x14ac:dyDescent="0.25">
      <c r="A11" s="345" t="s">
        <v>1358</v>
      </c>
      <c r="B11" s="345" t="s">
        <v>1359</v>
      </c>
      <c r="C11" s="345" t="s">
        <v>1360</v>
      </c>
      <c r="D11" s="345" t="s">
        <v>1361</v>
      </c>
      <c r="E11" s="345" t="s">
        <v>1362</v>
      </c>
      <c r="F11" s="345" t="s">
        <v>1363</v>
      </c>
      <c r="G11" s="345" t="s">
        <v>1364</v>
      </c>
      <c r="H11" s="345" t="s">
        <v>1365</v>
      </c>
      <c r="I11" s="345" t="s">
        <v>1366</v>
      </c>
    </row>
    <row r="12" spans="1:9" ht="63" x14ac:dyDescent="0.25">
      <c r="A12" s="479" t="s">
        <v>1582</v>
      </c>
      <c r="B12" s="267">
        <v>1</v>
      </c>
      <c r="C12" s="480" t="s">
        <v>8</v>
      </c>
      <c r="D12" s="356" t="s">
        <v>1583</v>
      </c>
      <c r="E12" s="120" t="s">
        <v>1373</v>
      </c>
      <c r="F12" s="125" t="s">
        <v>1374</v>
      </c>
      <c r="G12" s="114">
        <v>1</v>
      </c>
      <c r="H12" s="114"/>
      <c r="I12" s="114"/>
    </row>
    <row r="13" spans="1:9" ht="63" x14ac:dyDescent="0.25">
      <c r="A13" s="483"/>
      <c r="B13" s="267">
        <v>2</v>
      </c>
      <c r="C13" s="480" t="s">
        <v>37</v>
      </c>
      <c r="D13" s="356" t="s">
        <v>1583</v>
      </c>
      <c r="E13" s="120" t="s">
        <v>1373</v>
      </c>
      <c r="F13" s="125" t="s">
        <v>1374</v>
      </c>
      <c r="G13" s="114">
        <v>12</v>
      </c>
      <c r="H13" s="114">
        <v>3</v>
      </c>
      <c r="I13" s="114"/>
    </row>
    <row r="14" spans="1:9" ht="75" x14ac:dyDescent="0.25">
      <c r="A14" s="483"/>
      <c r="B14" s="267">
        <v>3</v>
      </c>
      <c r="C14" s="480" t="s">
        <v>61</v>
      </c>
      <c r="D14" s="356" t="s">
        <v>1583</v>
      </c>
      <c r="E14" s="120" t="s">
        <v>1373</v>
      </c>
      <c r="F14" s="125" t="s">
        <v>1374</v>
      </c>
      <c r="G14" s="114">
        <v>13</v>
      </c>
      <c r="H14" s="114">
        <v>3</v>
      </c>
      <c r="I14" s="114"/>
    </row>
    <row r="15" spans="1:9" ht="63" x14ac:dyDescent="0.25">
      <c r="A15" s="483"/>
      <c r="B15" s="267">
        <v>4</v>
      </c>
      <c r="C15" s="480" t="s">
        <v>84</v>
      </c>
      <c r="D15" s="356" t="s">
        <v>1583</v>
      </c>
      <c r="E15" s="120" t="s">
        <v>1373</v>
      </c>
      <c r="F15" s="125" t="s">
        <v>1374</v>
      </c>
      <c r="G15" s="114">
        <v>3.5179999999999998</v>
      </c>
      <c r="H15" s="114">
        <v>3.3730000000000002</v>
      </c>
      <c r="I15" s="114"/>
    </row>
    <row r="16" spans="1:9" ht="75" x14ac:dyDescent="0.25">
      <c r="A16" s="483"/>
      <c r="B16" s="267">
        <v>5</v>
      </c>
      <c r="C16" s="480" t="s">
        <v>522</v>
      </c>
      <c r="D16" s="356" t="s">
        <v>1583</v>
      </c>
      <c r="E16" s="120" t="s">
        <v>1373</v>
      </c>
      <c r="F16" s="125" t="s">
        <v>1374</v>
      </c>
      <c r="G16" s="114">
        <v>20</v>
      </c>
      <c r="H16" s="114">
        <v>9</v>
      </c>
      <c r="I16" s="114"/>
    </row>
    <row r="17" spans="1:9" ht="63" x14ac:dyDescent="0.25">
      <c r="A17" s="483"/>
      <c r="B17" s="267">
        <v>6</v>
      </c>
      <c r="C17" s="480" t="s">
        <v>278</v>
      </c>
      <c r="D17" s="356" t="s">
        <v>1607</v>
      </c>
      <c r="E17" s="120" t="s">
        <v>1373</v>
      </c>
      <c r="F17" s="125" t="s">
        <v>1374</v>
      </c>
      <c r="G17" s="114">
        <v>8</v>
      </c>
      <c r="H17" s="114">
        <v>1</v>
      </c>
      <c r="I17" s="114"/>
    </row>
    <row r="18" spans="1:9" ht="63" x14ac:dyDescent="0.25">
      <c r="A18" s="483"/>
      <c r="B18" s="267">
        <v>7</v>
      </c>
      <c r="C18" s="480" t="s">
        <v>299</v>
      </c>
      <c r="D18" s="356" t="s">
        <v>1607</v>
      </c>
      <c r="E18" s="120" t="s">
        <v>1373</v>
      </c>
      <c r="F18" s="125" t="s">
        <v>1408</v>
      </c>
      <c r="G18" s="114">
        <v>8</v>
      </c>
      <c r="H18" s="114">
        <v>1</v>
      </c>
      <c r="I18" s="114"/>
    </row>
    <row r="19" spans="1:9" ht="63" x14ac:dyDescent="0.25">
      <c r="A19" s="483"/>
      <c r="B19" s="267">
        <v>8</v>
      </c>
      <c r="C19" s="480" t="s">
        <v>322</v>
      </c>
      <c r="D19" s="356" t="s">
        <v>1583</v>
      </c>
      <c r="E19" s="120" t="s">
        <v>1373</v>
      </c>
      <c r="F19" s="125" t="s">
        <v>1410</v>
      </c>
      <c r="G19" s="114">
        <v>3.5179999999999998</v>
      </c>
      <c r="H19" s="114">
        <v>3.3730000000000002</v>
      </c>
      <c r="I19" s="114"/>
    </row>
    <row r="20" spans="1:9" ht="63" x14ac:dyDescent="0.25">
      <c r="A20" s="483"/>
      <c r="B20" s="267">
        <v>9</v>
      </c>
      <c r="C20" s="480" t="s">
        <v>337</v>
      </c>
      <c r="D20" s="356" t="s">
        <v>1583</v>
      </c>
      <c r="E20" s="120" t="s">
        <v>1373</v>
      </c>
      <c r="F20" s="125" t="s">
        <v>1412</v>
      </c>
      <c r="G20" s="114">
        <v>9</v>
      </c>
      <c r="H20" s="114">
        <v>4</v>
      </c>
      <c r="I20" s="114"/>
    </row>
    <row r="21" spans="1:9" ht="59.25" customHeight="1" x14ac:dyDescent="0.25">
      <c r="A21" s="483"/>
      <c r="B21" s="267">
        <v>10</v>
      </c>
      <c r="C21" s="480" t="s">
        <v>1627</v>
      </c>
      <c r="D21" s="356" t="s">
        <v>1583</v>
      </c>
      <c r="E21" s="120" t="s">
        <v>1373</v>
      </c>
      <c r="F21" s="125" t="s">
        <v>1414</v>
      </c>
      <c r="G21" s="114">
        <v>3.5179999999999998</v>
      </c>
      <c r="H21" s="114">
        <v>3.3730000000000002</v>
      </c>
      <c r="I21" s="114"/>
    </row>
    <row r="22" spans="1:9" ht="63" x14ac:dyDescent="0.25">
      <c r="A22" s="483"/>
      <c r="B22" s="267">
        <v>11</v>
      </c>
      <c r="C22" s="480" t="s">
        <v>529</v>
      </c>
      <c r="D22" s="356" t="s">
        <v>1583</v>
      </c>
      <c r="E22" s="120" t="s">
        <v>1373</v>
      </c>
      <c r="F22" s="125" t="s">
        <v>1374</v>
      </c>
      <c r="G22" s="114">
        <v>3.5179999999999998</v>
      </c>
      <c r="H22" s="114">
        <v>3.3730000000000002</v>
      </c>
      <c r="I22" s="114"/>
    </row>
    <row r="23" spans="1:9" ht="63" x14ac:dyDescent="0.25">
      <c r="A23" s="483"/>
      <c r="B23" s="267">
        <v>12</v>
      </c>
      <c r="C23" s="480" t="s">
        <v>542</v>
      </c>
      <c r="D23" s="356" t="s">
        <v>1583</v>
      </c>
      <c r="E23" s="120" t="s">
        <v>1373</v>
      </c>
      <c r="F23" s="125" t="s">
        <v>1374</v>
      </c>
      <c r="G23" s="114">
        <v>20</v>
      </c>
      <c r="H23" s="114">
        <v>8</v>
      </c>
      <c r="I23" s="114"/>
    </row>
    <row r="24" spans="1:9" ht="63" x14ac:dyDescent="0.25">
      <c r="A24" s="483"/>
      <c r="B24" s="267">
        <v>13</v>
      </c>
      <c r="C24" s="480" t="s">
        <v>603</v>
      </c>
      <c r="D24" s="356" t="s">
        <v>1583</v>
      </c>
      <c r="E24" s="120" t="s">
        <v>1373</v>
      </c>
      <c r="F24" s="125" t="s">
        <v>1374</v>
      </c>
      <c r="G24" s="114">
        <v>1</v>
      </c>
      <c r="H24" s="114"/>
      <c r="I24" s="114"/>
    </row>
    <row r="25" spans="1:9" ht="63" x14ac:dyDescent="0.25">
      <c r="A25" s="483"/>
      <c r="B25" s="267">
        <v>14</v>
      </c>
      <c r="C25" s="480" t="s">
        <v>463</v>
      </c>
      <c r="D25" s="356" t="s">
        <v>1583</v>
      </c>
      <c r="E25" s="120" t="s">
        <v>1373</v>
      </c>
      <c r="F25" s="125" t="s">
        <v>1414</v>
      </c>
      <c r="G25" s="114">
        <v>20</v>
      </c>
      <c r="H25" s="114">
        <v>8</v>
      </c>
      <c r="I25" s="114"/>
    </row>
    <row r="26" spans="1:9" ht="63" x14ac:dyDescent="0.25">
      <c r="A26" s="483"/>
      <c r="B26" s="267">
        <v>15</v>
      </c>
      <c r="C26" s="480" t="s">
        <v>609</v>
      </c>
      <c r="D26" s="356" t="s">
        <v>1583</v>
      </c>
      <c r="E26" s="120" t="s">
        <v>1373</v>
      </c>
      <c r="F26" s="125" t="s">
        <v>1417</v>
      </c>
      <c r="G26" s="114">
        <v>3.5179999999999998</v>
      </c>
      <c r="H26" s="114">
        <v>3.3730000000000002</v>
      </c>
      <c r="I26" s="114"/>
    </row>
    <row r="27" spans="1:9" ht="66" customHeight="1" x14ac:dyDescent="0.25">
      <c r="A27" s="483"/>
      <c r="B27" s="267">
        <v>16</v>
      </c>
      <c r="C27" s="480" t="s">
        <v>616</v>
      </c>
      <c r="D27" s="356" t="s">
        <v>1583</v>
      </c>
      <c r="E27" s="120" t="s">
        <v>1373</v>
      </c>
      <c r="F27" s="125" t="s">
        <v>1417</v>
      </c>
      <c r="G27" s="114">
        <v>3.5179999999999998</v>
      </c>
      <c r="H27" s="114">
        <v>3.3730000000000002</v>
      </c>
      <c r="I27" s="114"/>
    </row>
    <row r="28" spans="1:9" ht="69" customHeight="1" x14ac:dyDescent="0.25">
      <c r="A28" s="483"/>
      <c r="B28" s="267">
        <v>17</v>
      </c>
      <c r="C28" s="480" t="s">
        <v>617</v>
      </c>
      <c r="D28" s="356" t="s">
        <v>1607</v>
      </c>
      <c r="E28" s="120" t="s">
        <v>1373</v>
      </c>
      <c r="F28" s="125" t="s">
        <v>1417</v>
      </c>
      <c r="G28" s="114">
        <v>3.5179999999999998</v>
      </c>
      <c r="H28" s="114">
        <v>3.3730000000000002</v>
      </c>
      <c r="I28" s="114"/>
    </row>
    <row r="29" spans="1:9" ht="111" customHeight="1" x14ac:dyDescent="0.25">
      <c r="A29" s="483"/>
      <c r="B29" s="267">
        <v>18</v>
      </c>
      <c r="C29" s="480" t="s">
        <v>618</v>
      </c>
      <c r="D29" s="356" t="s">
        <v>1583</v>
      </c>
      <c r="E29" s="120" t="s">
        <v>1373</v>
      </c>
      <c r="F29" s="125" t="s">
        <v>1417</v>
      </c>
      <c r="G29" s="114">
        <v>3.5179999999999998</v>
      </c>
      <c r="H29" s="114">
        <v>3.3730000000000002</v>
      </c>
      <c r="I29" s="114"/>
    </row>
    <row r="30" spans="1:9" ht="63" x14ac:dyDescent="0.25">
      <c r="A30" s="483"/>
      <c r="B30" s="267">
        <v>19</v>
      </c>
      <c r="C30" s="480" t="s">
        <v>619</v>
      </c>
      <c r="D30" s="356" t="s">
        <v>1583</v>
      </c>
      <c r="E30" s="120" t="s">
        <v>1373</v>
      </c>
      <c r="F30" s="125" t="s">
        <v>1417</v>
      </c>
      <c r="G30" s="114">
        <v>3.5179999999999998</v>
      </c>
      <c r="H30" s="114">
        <v>3.3730000000000002</v>
      </c>
      <c r="I30" s="114"/>
    </row>
    <row r="31" spans="1:9" ht="63" x14ac:dyDescent="0.25">
      <c r="A31" s="483"/>
      <c r="B31" s="267">
        <v>20</v>
      </c>
      <c r="C31" s="480" t="s">
        <v>1558</v>
      </c>
      <c r="D31" s="356" t="s">
        <v>1585</v>
      </c>
      <c r="E31" s="120" t="s">
        <v>1373</v>
      </c>
      <c r="F31" s="114" t="s">
        <v>1377</v>
      </c>
      <c r="G31" s="481">
        <v>5</v>
      </c>
      <c r="H31" s="481"/>
      <c r="I31" s="32"/>
    </row>
    <row r="32" spans="1:9" ht="63" x14ac:dyDescent="0.25">
      <c r="A32" s="483"/>
      <c r="B32" s="267">
        <v>21</v>
      </c>
      <c r="C32" s="480" t="s">
        <v>1557</v>
      </c>
      <c r="D32" s="356" t="s">
        <v>1584</v>
      </c>
      <c r="E32" s="120" t="s">
        <v>1373</v>
      </c>
      <c r="F32" s="114" t="s">
        <v>1377</v>
      </c>
      <c r="G32" s="481">
        <v>5</v>
      </c>
      <c r="H32" s="481">
        <v>3</v>
      </c>
      <c r="I32" s="32"/>
    </row>
    <row r="33" spans="1:9" ht="114" customHeight="1" x14ac:dyDescent="0.25">
      <c r="A33" s="483"/>
      <c r="B33" s="267">
        <v>22</v>
      </c>
      <c r="C33" s="480" t="s">
        <v>559</v>
      </c>
      <c r="D33" s="356" t="s">
        <v>1584</v>
      </c>
      <c r="E33" s="120" t="s">
        <v>1373</v>
      </c>
      <c r="F33" s="114" t="s">
        <v>1377</v>
      </c>
      <c r="G33" s="481">
        <v>5</v>
      </c>
      <c r="H33" s="481">
        <v>3</v>
      </c>
      <c r="I33" s="32"/>
    </row>
    <row r="34" spans="1:9" ht="114" customHeight="1" x14ac:dyDescent="0.25">
      <c r="A34" s="483"/>
      <c r="B34" s="267">
        <v>23</v>
      </c>
      <c r="C34" s="480" t="e">
        <f>#REF!</f>
        <v>#REF!</v>
      </c>
      <c r="D34" s="356" t="s">
        <v>1584</v>
      </c>
      <c r="E34" s="120" t="s">
        <v>1373</v>
      </c>
      <c r="F34" s="114" t="s">
        <v>295</v>
      </c>
      <c r="G34" s="481">
        <v>171</v>
      </c>
      <c r="H34" s="481"/>
      <c r="I34" s="32"/>
    </row>
    <row r="35" spans="1:9" x14ac:dyDescent="0.25">
      <c r="A35" s="479"/>
      <c r="B35" s="267"/>
      <c r="C35" s="480"/>
      <c r="D35" s="356"/>
      <c r="E35" s="357"/>
      <c r="F35" s="267"/>
      <c r="G35" s="481"/>
      <c r="H35" s="481"/>
      <c r="I35" s="32"/>
    </row>
    <row r="36" spans="1:9" ht="63" x14ac:dyDescent="0.25">
      <c r="A36" s="479" t="s">
        <v>1586</v>
      </c>
      <c r="B36" s="267">
        <v>1</v>
      </c>
      <c r="C36" s="480" t="s">
        <v>8</v>
      </c>
      <c r="D36" s="356" t="s">
        <v>1583</v>
      </c>
      <c r="E36" s="120" t="s">
        <v>1373</v>
      </c>
      <c r="F36" s="125" t="s">
        <v>1374</v>
      </c>
      <c r="G36" s="114">
        <v>1</v>
      </c>
      <c r="H36" s="114"/>
      <c r="I36" s="114"/>
    </row>
    <row r="37" spans="1:9" ht="63" x14ac:dyDescent="0.25">
      <c r="A37" s="488"/>
      <c r="B37" s="267">
        <v>2</v>
      </c>
      <c r="C37" s="480" t="s">
        <v>37</v>
      </c>
      <c r="D37" s="356" t="s">
        <v>1583</v>
      </c>
      <c r="E37" s="120" t="s">
        <v>1373</v>
      </c>
      <c r="F37" s="125" t="s">
        <v>1374</v>
      </c>
      <c r="G37" s="114">
        <v>12</v>
      </c>
      <c r="H37" s="114">
        <v>3</v>
      </c>
      <c r="I37" s="114"/>
    </row>
    <row r="38" spans="1:9" ht="75" x14ac:dyDescent="0.25">
      <c r="A38" s="488"/>
      <c r="B38" s="267">
        <v>3</v>
      </c>
      <c r="C38" s="480" t="s">
        <v>61</v>
      </c>
      <c r="D38" s="356" t="s">
        <v>1583</v>
      </c>
      <c r="E38" s="120" t="s">
        <v>1373</v>
      </c>
      <c r="F38" s="125" t="s">
        <v>1374</v>
      </c>
      <c r="G38" s="114">
        <v>13</v>
      </c>
      <c r="H38" s="114">
        <v>3</v>
      </c>
      <c r="I38" s="114"/>
    </row>
    <row r="39" spans="1:9" ht="63" x14ac:dyDescent="0.25">
      <c r="A39" s="488"/>
      <c r="B39" s="267">
        <v>4</v>
      </c>
      <c r="C39" s="480" t="s">
        <v>84</v>
      </c>
      <c r="D39" s="356" t="s">
        <v>1583</v>
      </c>
      <c r="E39" s="120" t="s">
        <v>1373</v>
      </c>
      <c r="F39" s="125" t="s">
        <v>1374</v>
      </c>
      <c r="G39" s="114">
        <v>3.5179999999999998</v>
      </c>
      <c r="H39" s="114">
        <v>3.3730000000000002</v>
      </c>
      <c r="I39" s="114"/>
    </row>
    <row r="40" spans="1:9" ht="75" x14ac:dyDescent="0.25">
      <c r="A40" s="488"/>
      <c r="B40" s="267">
        <v>5</v>
      </c>
      <c r="C40" s="480" t="s">
        <v>522</v>
      </c>
      <c r="D40" s="356" t="s">
        <v>1583</v>
      </c>
      <c r="E40" s="120" t="s">
        <v>1373</v>
      </c>
      <c r="F40" s="125" t="s">
        <v>1374</v>
      </c>
      <c r="G40" s="114">
        <v>20</v>
      </c>
      <c r="H40" s="114">
        <v>9</v>
      </c>
      <c r="I40" s="114"/>
    </row>
    <row r="41" spans="1:9" ht="63" x14ac:dyDescent="0.25">
      <c r="A41" s="488"/>
      <c r="B41" s="267">
        <v>6</v>
      </c>
      <c r="C41" s="480" t="s">
        <v>278</v>
      </c>
      <c r="D41" s="356" t="s">
        <v>1607</v>
      </c>
      <c r="E41" s="120" t="s">
        <v>1373</v>
      </c>
      <c r="F41" s="125" t="s">
        <v>1374</v>
      </c>
      <c r="G41" s="114">
        <v>8</v>
      </c>
      <c r="H41" s="114">
        <v>1</v>
      </c>
      <c r="I41" s="114"/>
    </row>
    <row r="42" spans="1:9" ht="63" x14ac:dyDescent="0.25">
      <c r="A42" s="488"/>
      <c r="B42" s="267">
        <v>7</v>
      </c>
      <c r="C42" s="480" t="s">
        <v>299</v>
      </c>
      <c r="D42" s="356" t="s">
        <v>1607</v>
      </c>
      <c r="E42" s="120" t="s">
        <v>1373</v>
      </c>
      <c r="F42" s="125" t="s">
        <v>1408</v>
      </c>
      <c r="G42" s="114">
        <v>8</v>
      </c>
      <c r="H42" s="114">
        <v>1</v>
      </c>
      <c r="I42" s="114"/>
    </row>
    <row r="43" spans="1:9" ht="63" x14ac:dyDescent="0.25">
      <c r="A43" s="488"/>
      <c r="B43" s="267">
        <v>8</v>
      </c>
      <c r="C43" s="480" t="s">
        <v>322</v>
      </c>
      <c r="D43" s="356" t="s">
        <v>1583</v>
      </c>
      <c r="E43" s="120" t="s">
        <v>1373</v>
      </c>
      <c r="F43" s="125" t="s">
        <v>1410</v>
      </c>
      <c r="G43" s="114">
        <v>3.5179999999999998</v>
      </c>
      <c r="H43" s="114">
        <v>3.3730000000000002</v>
      </c>
      <c r="I43" s="114"/>
    </row>
    <row r="44" spans="1:9" ht="63" x14ac:dyDescent="0.25">
      <c r="A44" s="488"/>
      <c r="B44" s="267">
        <v>9</v>
      </c>
      <c r="C44" s="480" t="s">
        <v>337</v>
      </c>
      <c r="D44" s="356" t="s">
        <v>1583</v>
      </c>
      <c r="E44" s="120" t="s">
        <v>1373</v>
      </c>
      <c r="F44" s="125" t="s">
        <v>1412</v>
      </c>
      <c r="G44" s="114">
        <v>9</v>
      </c>
      <c r="H44" s="114">
        <v>4</v>
      </c>
      <c r="I44" s="114"/>
    </row>
    <row r="45" spans="1:9" ht="59.25" customHeight="1" x14ac:dyDescent="0.25">
      <c r="A45" s="483"/>
      <c r="B45" s="267">
        <v>10</v>
      </c>
      <c r="C45" s="480" t="s">
        <v>1627</v>
      </c>
      <c r="D45" s="356" t="s">
        <v>1583</v>
      </c>
      <c r="E45" s="120" t="s">
        <v>1373</v>
      </c>
      <c r="F45" s="125" t="s">
        <v>1414</v>
      </c>
      <c r="G45" s="114">
        <v>3.5179999999999998</v>
      </c>
      <c r="H45" s="114">
        <v>3.3730000000000002</v>
      </c>
      <c r="I45" s="114"/>
    </row>
    <row r="46" spans="1:9" ht="63" x14ac:dyDescent="0.25">
      <c r="A46" s="488"/>
      <c r="B46" s="267">
        <v>11</v>
      </c>
      <c r="C46" s="480" t="s">
        <v>529</v>
      </c>
      <c r="D46" s="356" t="s">
        <v>1583</v>
      </c>
      <c r="E46" s="120" t="s">
        <v>1373</v>
      </c>
      <c r="F46" s="125" t="s">
        <v>1374</v>
      </c>
      <c r="G46" s="114">
        <v>3.5179999999999998</v>
      </c>
      <c r="H46" s="114">
        <v>3.3730000000000002</v>
      </c>
      <c r="I46" s="114"/>
    </row>
    <row r="47" spans="1:9" ht="63" x14ac:dyDescent="0.25">
      <c r="A47" s="488"/>
      <c r="B47" s="267">
        <v>12</v>
      </c>
      <c r="C47" s="480" t="s">
        <v>542</v>
      </c>
      <c r="D47" s="356" t="s">
        <v>1583</v>
      </c>
      <c r="E47" s="120" t="s">
        <v>1373</v>
      </c>
      <c r="F47" s="125" t="s">
        <v>1374</v>
      </c>
      <c r="G47" s="114">
        <v>20</v>
      </c>
      <c r="H47" s="114">
        <v>8</v>
      </c>
      <c r="I47" s="114"/>
    </row>
    <row r="48" spans="1:9" ht="63" x14ac:dyDescent="0.25">
      <c r="A48" s="488"/>
      <c r="B48" s="267">
        <v>13</v>
      </c>
      <c r="C48" s="480" t="s">
        <v>603</v>
      </c>
      <c r="D48" s="356" t="s">
        <v>1583</v>
      </c>
      <c r="E48" s="120" t="s">
        <v>1373</v>
      </c>
      <c r="F48" s="125" t="s">
        <v>1374</v>
      </c>
      <c r="G48" s="114">
        <v>1</v>
      </c>
      <c r="H48" s="114"/>
      <c r="I48" s="114"/>
    </row>
    <row r="49" spans="1:9" ht="63" x14ac:dyDescent="0.25">
      <c r="A49" s="488"/>
      <c r="B49" s="267">
        <v>14</v>
      </c>
      <c r="C49" s="480" t="s">
        <v>463</v>
      </c>
      <c r="D49" s="356" t="s">
        <v>1583</v>
      </c>
      <c r="E49" s="120" t="s">
        <v>1373</v>
      </c>
      <c r="F49" s="125" t="s">
        <v>1414</v>
      </c>
      <c r="G49" s="114">
        <v>20</v>
      </c>
      <c r="H49" s="114">
        <v>8</v>
      </c>
      <c r="I49" s="114"/>
    </row>
    <row r="50" spans="1:9" ht="63" x14ac:dyDescent="0.25">
      <c r="A50" s="488"/>
      <c r="B50" s="267">
        <v>15</v>
      </c>
      <c r="C50" s="480" t="s">
        <v>609</v>
      </c>
      <c r="D50" s="356" t="s">
        <v>1583</v>
      </c>
      <c r="E50" s="120" t="s">
        <v>1373</v>
      </c>
      <c r="F50" s="125" t="s">
        <v>1417</v>
      </c>
      <c r="G50" s="114">
        <v>3.5179999999999998</v>
      </c>
      <c r="H50" s="114">
        <v>3.3730000000000002</v>
      </c>
      <c r="I50" s="114"/>
    </row>
    <row r="51" spans="1:9" ht="63" x14ac:dyDescent="0.25">
      <c r="A51" s="488"/>
      <c r="B51" s="267">
        <v>16</v>
      </c>
      <c r="C51" s="480" t="s">
        <v>616</v>
      </c>
      <c r="D51" s="356" t="s">
        <v>1583</v>
      </c>
      <c r="E51" s="120" t="s">
        <v>1373</v>
      </c>
      <c r="F51" s="125" t="s">
        <v>1417</v>
      </c>
      <c r="G51" s="114">
        <v>3.5179999999999998</v>
      </c>
      <c r="H51" s="114">
        <v>3.3730000000000002</v>
      </c>
      <c r="I51" s="114"/>
    </row>
    <row r="52" spans="1:9" ht="63" x14ac:dyDescent="0.25">
      <c r="A52" s="488"/>
      <c r="B52" s="267">
        <v>17</v>
      </c>
      <c r="C52" s="480" t="s">
        <v>617</v>
      </c>
      <c r="D52" s="356" t="s">
        <v>1607</v>
      </c>
      <c r="E52" s="120" t="s">
        <v>1373</v>
      </c>
      <c r="F52" s="125" t="s">
        <v>1417</v>
      </c>
      <c r="G52" s="114">
        <v>3.5179999999999998</v>
      </c>
      <c r="H52" s="114">
        <v>3.3730000000000002</v>
      </c>
      <c r="I52" s="114"/>
    </row>
    <row r="53" spans="1:9" ht="63" x14ac:dyDescent="0.25">
      <c r="A53" s="488"/>
      <c r="B53" s="267">
        <v>18</v>
      </c>
      <c r="C53" s="480" t="s">
        <v>618</v>
      </c>
      <c r="D53" s="356" t="s">
        <v>1583</v>
      </c>
      <c r="E53" s="120" t="s">
        <v>1373</v>
      </c>
      <c r="F53" s="125" t="s">
        <v>1417</v>
      </c>
      <c r="G53" s="114">
        <v>3.5179999999999998</v>
      </c>
      <c r="H53" s="114">
        <v>3.3730000000000002</v>
      </c>
      <c r="I53" s="114"/>
    </row>
    <row r="54" spans="1:9" ht="63" x14ac:dyDescent="0.25">
      <c r="A54" s="488"/>
      <c r="B54" s="267">
        <v>19</v>
      </c>
      <c r="C54" s="480" t="s">
        <v>619</v>
      </c>
      <c r="D54" s="356" t="s">
        <v>1583</v>
      </c>
      <c r="E54" s="120" t="s">
        <v>1373</v>
      </c>
      <c r="F54" s="125" t="s">
        <v>1417</v>
      </c>
      <c r="G54" s="114">
        <v>3.5179999999999998</v>
      </c>
      <c r="H54" s="114">
        <v>3.3730000000000002</v>
      </c>
      <c r="I54" s="114"/>
    </row>
    <row r="55" spans="1:9" ht="63" x14ac:dyDescent="0.25">
      <c r="A55" s="488"/>
      <c r="B55" s="267">
        <v>20</v>
      </c>
      <c r="C55" s="480" t="s">
        <v>1558</v>
      </c>
      <c r="D55" s="356" t="s">
        <v>1585</v>
      </c>
      <c r="E55" s="120" t="s">
        <v>1373</v>
      </c>
      <c r="F55" s="114" t="s">
        <v>1377</v>
      </c>
      <c r="G55" s="481">
        <v>5</v>
      </c>
      <c r="H55" s="481"/>
      <c r="I55" s="32"/>
    </row>
    <row r="56" spans="1:9" ht="63" x14ac:dyDescent="0.25">
      <c r="A56" s="488"/>
      <c r="B56" s="267">
        <v>21</v>
      </c>
      <c r="C56" s="480" t="s">
        <v>1557</v>
      </c>
      <c r="D56" s="356" t="s">
        <v>1584</v>
      </c>
      <c r="E56" s="120" t="s">
        <v>1373</v>
      </c>
      <c r="F56" s="114" t="s">
        <v>1377</v>
      </c>
      <c r="G56" s="481">
        <v>5</v>
      </c>
      <c r="H56" s="481">
        <v>3</v>
      </c>
      <c r="I56" s="32"/>
    </row>
    <row r="57" spans="1:9" ht="125.25" customHeight="1" x14ac:dyDescent="0.25">
      <c r="A57" s="488"/>
      <c r="B57" s="267">
        <v>22</v>
      </c>
      <c r="C57" s="480" t="s">
        <v>559</v>
      </c>
      <c r="D57" s="356" t="s">
        <v>1584</v>
      </c>
      <c r="E57" s="120" t="s">
        <v>1373</v>
      </c>
      <c r="F57" s="114" t="s">
        <v>1377</v>
      </c>
      <c r="G57" s="481">
        <v>5</v>
      </c>
      <c r="H57" s="481">
        <v>3</v>
      </c>
      <c r="I57" s="32"/>
    </row>
    <row r="58" spans="1:9" ht="15.75" x14ac:dyDescent="0.25">
      <c r="A58" s="488"/>
      <c r="B58" s="267"/>
      <c r="C58" s="480"/>
      <c r="D58" s="356"/>
      <c r="E58" s="120"/>
      <c r="F58" s="114"/>
      <c r="G58" s="481"/>
      <c r="H58" s="481"/>
      <c r="I58" s="32"/>
    </row>
    <row r="59" spans="1:9" ht="15.75" x14ac:dyDescent="0.25">
      <c r="A59" s="488"/>
      <c r="B59" s="267"/>
      <c r="C59" s="480"/>
      <c r="D59" s="356"/>
      <c r="E59" s="120"/>
      <c r="F59" s="114"/>
      <c r="G59" s="481"/>
      <c r="H59" s="481"/>
      <c r="I59" s="32"/>
    </row>
    <row r="60" spans="1:9" ht="61.5" customHeight="1" x14ac:dyDescent="0.25">
      <c r="A60" s="479" t="s">
        <v>1588</v>
      </c>
      <c r="B60" s="267">
        <v>1</v>
      </c>
      <c r="C60" s="480" t="s">
        <v>8</v>
      </c>
      <c r="D60" s="356" t="s">
        <v>1583</v>
      </c>
      <c r="E60" s="120" t="s">
        <v>1373</v>
      </c>
      <c r="F60" s="125" t="s">
        <v>1374</v>
      </c>
      <c r="G60" s="114">
        <v>1</v>
      </c>
      <c r="H60" s="114"/>
      <c r="I60" s="32"/>
    </row>
    <row r="61" spans="1:9" ht="63" x14ac:dyDescent="0.25">
      <c r="A61" s="488"/>
      <c r="B61" s="267">
        <v>2</v>
      </c>
      <c r="C61" s="480" t="s">
        <v>37</v>
      </c>
      <c r="D61" s="356" t="s">
        <v>1583</v>
      </c>
      <c r="E61" s="120" t="s">
        <v>1373</v>
      </c>
      <c r="F61" s="125" t="s">
        <v>1374</v>
      </c>
      <c r="G61" s="114">
        <v>12</v>
      </c>
      <c r="H61" s="114">
        <v>3</v>
      </c>
      <c r="I61" s="32"/>
    </row>
    <row r="62" spans="1:9" ht="75" x14ac:dyDescent="0.25">
      <c r="A62" s="488"/>
      <c r="B62" s="267">
        <v>3</v>
      </c>
      <c r="C62" s="480" t="s">
        <v>61</v>
      </c>
      <c r="D62" s="356" t="s">
        <v>1583</v>
      </c>
      <c r="E62" s="120" t="s">
        <v>1373</v>
      </c>
      <c r="F62" s="125" t="s">
        <v>1374</v>
      </c>
      <c r="G62" s="114">
        <v>13</v>
      </c>
      <c r="H62" s="114">
        <v>3</v>
      </c>
      <c r="I62" s="32"/>
    </row>
    <row r="63" spans="1:9" ht="63" x14ac:dyDescent="0.25">
      <c r="A63" s="488"/>
      <c r="B63" s="267">
        <v>4</v>
      </c>
      <c r="C63" s="480" t="s">
        <v>84</v>
      </c>
      <c r="D63" s="356" t="s">
        <v>1583</v>
      </c>
      <c r="E63" s="120" t="s">
        <v>1373</v>
      </c>
      <c r="F63" s="125" t="s">
        <v>1374</v>
      </c>
      <c r="G63" s="114">
        <v>3.5179999999999998</v>
      </c>
      <c r="H63" s="114">
        <v>3.3730000000000002</v>
      </c>
      <c r="I63" s="32"/>
    </row>
    <row r="64" spans="1:9" ht="75" x14ac:dyDescent="0.25">
      <c r="A64" s="488"/>
      <c r="B64" s="267">
        <v>5</v>
      </c>
      <c r="C64" s="480" t="s">
        <v>522</v>
      </c>
      <c r="D64" s="356" t="s">
        <v>1583</v>
      </c>
      <c r="E64" s="120" t="s">
        <v>1373</v>
      </c>
      <c r="F64" s="125" t="s">
        <v>1374</v>
      </c>
      <c r="G64" s="114">
        <v>20</v>
      </c>
      <c r="H64" s="114">
        <v>9</v>
      </c>
      <c r="I64" s="32"/>
    </row>
    <row r="65" spans="1:9" ht="63" x14ac:dyDescent="0.25">
      <c r="A65" s="488"/>
      <c r="B65" s="267">
        <v>6</v>
      </c>
      <c r="C65" s="480" t="s">
        <v>278</v>
      </c>
      <c r="D65" s="356" t="s">
        <v>1607</v>
      </c>
      <c r="E65" s="120" t="s">
        <v>1373</v>
      </c>
      <c r="F65" s="125" t="s">
        <v>1374</v>
      </c>
      <c r="G65" s="114">
        <v>8</v>
      </c>
      <c r="H65" s="114">
        <v>1</v>
      </c>
      <c r="I65" s="32"/>
    </row>
    <row r="66" spans="1:9" ht="63" x14ac:dyDescent="0.25">
      <c r="A66" s="488"/>
      <c r="B66" s="267">
        <v>7</v>
      </c>
      <c r="C66" s="480" t="s">
        <v>299</v>
      </c>
      <c r="D66" s="356" t="s">
        <v>1607</v>
      </c>
      <c r="E66" s="120" t="s">
        <v>1373</v>
      </c>
      <c r="F66" s="125" t="s">
        <v>1408</v>
      </c>
      <c r="G66" s="114">
        <v>8</v>
      </c>
      <c r="H66" s="114">
        <v>1</v>
      </c>
      <c r="I66" s="32"/>
    </row>
    <row r="67" spans="1:9" ht="63" x14ac:dyDescent="0.25">
      <c r="A67" s="488"/>
      <c r="B67" s="267">
        <v>8</v>
      </c>
      <c r="C67" s="480" t="s">
        <v>322</v>
      </c>
      <c r="D67" s="356" t="s">
        <v>1583</v>
      </c>
      <c r="E67" s="120" t="s">
        <v>1373</v>
      </c>
      <c r="F67" s="125" t="s">
        <v>1410</v>
      </c>
      <c r="G67" s="114">
        <v>3.5179999999999998</v>
      </c>
      <c r="H67" s="114">
        <v>3.3730000000000002</v>
      </c>
      <c r="I67" s="32"/>
    </row>
    <row r="68" spans="1:9" ht="63" x14ac:dyDescent="0.25">
      <c r="A68" s="488"/>
      <c r="B68" s="267">
        <v>9</v>
      </c>
      <c r="C68" s="480" t="s">
        <v>337</v>
      </c>
      <c r="D68" s="356" t="s">
        <v>1583</v>
      </c>
      <c r="E68" s="120" t="s">
        <v>1373</v>
      </c>
      <c r="F68" s="125" t="s">
        <v>1412</v>
      </c>
      <c r="G68" s="114">
        <v>9</v>
      </c>
      <c r="H68" s="114">
        <v>4</v>
      </c>
      <c r="I68" s="32"/>
    </row>
    <row r="69" spans="1:9" ht="59.25" customHeight="1" x14ac:dyDescent="0.25">
      <c r="A69" s="483"/>
      <c r="B69" s="267">
        <v>10</v>
      </c>
      <c r="C69" s="480" t="s">
        <v>1627</v>
      </c>
      <c r="D69" s="356" t="s">
        <v>1583</v>
      </c>
      <c r="E69" s="120" t="s">
        <v>1373</v>
      </c>
      <c r="F69" s="125" t="s">
        <v>1414</v>
      </c>
      <c r="G69" s="114">
        <v>3.5179999999999998</v>
      </c>
      <c r="H69" s="114">
        <v>3.3730000000000002</v>
      </c>
      <c r="I69" s="114"/>
    </row>
    <row r="70" spans="1:9" ht="63" x14ac:dyDescent="0.25">
      <c r="A70" s="488"/>
      <c r="B70" s="267">
        <v>11</v>
      </c>
      <c r="C70" s="480" t="s">
        <v>529</v>
      </c>
      <c r="D70" s="356" t="s">
        <v>1583</v>
      </c>
      <c r="E70" s="120" t="s">
        <v>1373</v>
      </c>
      <c r="F70" s="125" t="s">
        <v>1374</v>
      </c>
      <c r="G70" s="114">
        <v>3.5179999999999998</v>
      </c>
      <c r="H70" s="114">
        <v>3.3730000000000002</v>
      </c>
      <c r="I70" s="32"/>
    </row>
    <row r="71" spans="1:9" ht="63" x14ac:dyDescent="0.25">
      <c r="A71" s="488"/>
      <c r="B71" s="267">
        <v>12</v>
      </c>
      <c r="C71" s="480" t="s">
        <v>542</v>
      </c>
      <c r="D71" s="356" t="s">
        <v>1583</v>
      </c>
      <c r="E71" s="120" t="s">
        <v>1373</v>
      </c>
      <c r="F71" s="125" t="s">
        <v>1374</v>
      </c>
      <c r="G71" s="114">
        <v>20</v>
      </c>
      <c r="H71" s="114">
        <v>8</v>
      </c>
      <c r="I71" s="32"/>
    </row>
    <row r="72" spans="1:9" ht="63" x14ac:dyDescent="0.25">
      <c r="A72" s="488"/>
      <c r="B72" s="267">
        <v>13</v>
      </c>
      <c r="C72" s="480" t="s">
        <v>603</v>
      </c>
      <c r="D72" s="356" t="s">
        <v>1583</v>
      </c>
      <c r="E72" s="120" t="s">
        <v>1373</v>
      </c>
      <c r="F72" s="125" t="s">
        <v>1374</v>
      </c>
      <c r="G72" s="114">
        <v>1</v>
      </c>
      <c r="H72" s="114"/>
      <c r="I72" s="32"/>
    </row>
    <row r="73" spans="1:9" ht="63" x14ac:dyDescent="0.25">
      <c r="A73" s="488"/>
      <c r="B73" s="267">
        <v>14</v>
      </c>
      <c r="C73" s="480" t="s">
        <v>463</v>
      </c>
      <c r="D73" s="356" t="s">
        <v>1583</v>
      </c>
      <c r="E73" s="120" t="s">
        <v>1373</v>
      </c>
      <c r="F73" s="125" t="s">
        <v>1414</v>
      </c>
      <c r="G73" s="114">
        <v>20</v>
      </c>
      <c r="H73" s="114">
        <v>8</v>
      </c>
      <c r="I73" s="32"/>
    </row>
    <row r="74" spans="1:9" ht="63" x14ac:dyDescent="0.25">
      <c r="A74" s="488"/>
      <c r="B74" s="267">
        <v>15</v>
      </c>
      <c r="C74" s="480" t="s">
        <v>609</v>
      </c>
      <c r="D74" s="356" t="s">
        <v>1583</v>
      </c>
      <c r="E74" s="120" t="s">
        <v>1373</v>
      </c>
      <c r="F74" s="125" t="s">
        <v>1417</v>
      </c>
      <c r="G74" s="114">
        <v>3.5179999999999998</v>
      </c>
      <c r="H74" s="114">
        <v>3.3730000000000002</v>
      </c>
      <c r="I74" s="32"/>
    </row>
    <row r="75" spans="1:9" ht="63" x14ac:dyDescent="0.25">
      <c r="A75" s="488"/>
      <c r="B75" s="267">
        <v>16</v>
      </c>
      <c r="C75" s="480" t="s">
        <v>616</v>
      </c>
      <c r="D75" s="356" t="s">
        <v>1583</v>
      </c>
      <c r="E75" s="120" t="s">
        <v>1373</v>
      </c>
      <c r="F75" s="125" t="s">
        <v>1417</v>
      </c>
      <c r="G75" s="114">
        <v>3.5179999999999998</v>
      </c>
      <c r="H75" s="114">
        <v>3.3730000000000002</v>
      </c>
      <c r="I75" s="32"/>
    </row>
    <row r="76" spans="1:9" ht="63" x14ac:dyDescent="0.25">
      <c r="A76" s="488"/>
      <c r="B76" s="267">
        <v>17</v>
      </c>
      <c r="C76" s="480" t="s">
        <v>617</v>
      </c>
      <c r="D76" s="356" t="s">
        <v>1607</v>
      </c>
      <c r="E76" s="120" t="s">
        <v>1373</v>
      </c>
      <c r="F76" s="125" t="s">
        <v>1417</v>
      </c>
      <c r="G76" s="114">
        <v>3.5179999999999998</v>
      </c>
      <c r="H76" s="114">
        <v>3.3730000000000002</v>
      </c>
      <c r="I76" s="32"/>
    </row>
    <row r="77" spans="1:9" ht="63" x14ac:dyDescent="0.25">
      <c r="A77" s="488"/>
      <c r="B77" s="267">
        <v>18</v>
      </c>
      <c r="C77" s="480" t="s">
        <v>618</v>
      </c>
      <c r="D77" s="356" t="s">
        <v>1583</v>
      </c>
      <c r="E77" s="120" t="s">
        <v>1373</v>
      </c>
      <c r="F77" s="125" t="s">
        <v>1417</v>
      </c>
      <c r="G77" s="114">
        <v>3.5179999999999998</v>
      </c>
      <c r="H77" s="114">
        <v>3.3730000000000002</v>
      </c>
      <c r="I77" s="32"/>
    </row>
    <row r="78" spans="1:9" ht="63" x14ac:dyDescent="0.25">
      <c r="A78" s="488"/>
      <c r="B78" s="267">
        <v>19</v>
      </c>
      <c r="C78" s="480" t="s">
        <v>619</v>
      </c>
      <c r="D78" s="356" t="s">
        <v>1583</v>
      </c>
      <c r="E78" s="120" t="s">
        <v>1373</v>
      </c>
      <c r="F78" s="125" t="s">
        <v>1417</v>
      </c>
      <c r="G78" s="114">
        <v>3.5179999999999998</v>
      </c>
      <c r="H78" s="114">
        <v>3.3730000000000002</v>
      </c>
      <c r="I78" s="32"/>
    </row>
    <row r="79" spans="1:9" ht="105" x14ac:dyDescent="0.25">
      <c r="A79" s="488"/>
      <c r="B79" s="267">
        <v>20</v>
      </c>
      <c r="C79" s="484" t="s">
        <v>639</v>
      </c>
      <c r="D79" s="356" t="s">
        <v>1589</v>
      </c>
      <c r="E79" s="120" t="s">
        <v>1373</v>
      </c>
      <c r="F79" s="125" t="s">
        <v>1377</v>
      </c>
      <c r="G79" s="267">
        <v>40</v>
      </c>
      <c r="H79" s="267">
        <v>40</v>
      </c>
      <c r="I79" s="356"/>
    </row>
    <row r="80" spans="1:9" ht="61.5" customHeight="1" x14ac:dyDescent="0.25">
      <c r="A80" s="488"/>
      <c r="B80" s="267">
        <v>21</v>
      </c>
      <c r="C80" s="484" t="s">
        <v>1504</v>
      </c>
      <c r="D80" s="356" t="s">
        <v>1589</v>
      </c>
      <c r="E80" s="120" t="s">
        <v>1373</v>
      </c>
      <c r="F80" s="125" t="s">
        <v>1377</v>
      </c>
      <c r="G80" s="267">
        <v>40</v>
      </c>
      <c r="H80" s="267">
        <v>40</v>
      </c>
      <c r="I80" s="356"/>
    </row>
    <row r="81" spans="1:9" ht="80.25" customHeight="1" x14ac:dyDescent="0.25">
      <c r="A81" s="488"/>
      <c r="B81" s="267">
        <v>22</v>
      </c>
      <c r="C81" s="484" t="s">
        <v>1527</v>
      </c>
      <c r="D81" s="356" t="s">
        <v>1589</v>
      </c>
      <c r="E81" s="120" t="s">
        <v>1373</v>
      </c>
      <c r="F81" s="125" t="s">
        <v>1377</v>
      </c>
      <c r="G81" s="267">
        <v>40</v>
      </c>
      <c r="H81" s="267">
        <v>40</v>
      </c>
      <c r="I81" s="356"/>
    </row>
    <row r="82" spans="1:9" ht="63" x14ac:dyDescent="0.25">
      <c r="A82" s="488"/>
      <c r="B82" s="267">
        <v>23</v>
      </c>
      <c r="C82" s="484" t="s">
        <v>783</v>
      </c>
      <c r="D82" s="356" t="s">
        <v>1608</v>
      </c>
      <c r="E82" s="120" t="s">
        <v>1373</v>
      </c>
      <c r="F82" s="125" t="s">
        <v>1408</v>
      </c>
      <c r="G82" s="267">
        <v>2</v>
      </c>
      <c r="H82" s="267">
        <v>3</v>
      </c>
      <c r="I82" s="356"/>
    </row>
    <row r="83" spans="1:9" ht="84.75" customHeight="1" x14ac:dyDescent="0.25">
      <c r="A83" s="488"/>
      <c r="B83" s="267">
        <v>24</v>
      </c>
      <c r="C83" s="484" t="s">
        <v>807</v>
      </c>
      <c r="D83" s="356" t="s">
        <v>1609</v>
      </c>
      <c r="E83" s="120" t="s">
        <v>1373</v>
      </c>
      <c r="F83" s="125" t="s">
        <v>1408</v>
      </c>
      <c r="G83" s="267">
        <v>215</v>
      </c>
      <c r="H83" s="267">
        <v>218</v>
      </c>
      <c r="I83" s="356"/>
    </row>
    <row r="84" spans="1:9" ht="63" x14ac:dyDescent="0.25">
      <c r="A84" s="488"/>
      <c r="B84" s="267">
        <v>25</v>
      </c>
      <c r="C84" s="484" t="s">
        <v>811</v>
      </c>
      <c r="D84" s="356" t="s">
        <v>1610</v>
      </c>
      <c r="E84" s="120" t="s">
        <v>1373</v>
      </c>
      <c r="F84" s="125" t="s">
        <v>1377</v>
      </c>
      <c r="G84" s="267"/>
      <c r="H84" s="267">
        <v>15</v>
      </c>
      <c r="I84" s="356"/>
    </row>
    <row r="85" spans="1:9" ht="90" x14ac:dyDescent="0.25">
      <c r="A85" s="488"/>
      <c r="B85" s="267">
        <v>26</v>
      </c>
      <c r="C85" s="484" t="s">
        <v>906</v>
      </c>
      <c r="D85" s="356" t="s">
        <v>1611</v>
      </c>
      <c r="E85" s="120" t="s">
        <v>1373</v>
      </c>
      <c r="F85" s="125" t="s">
        <v>1408</v>
      </c>
      <c r="G85" s="267"/>
      <c r="H85" s="267">
        <v>30</v>
      </c>
      <c r="I85" s="356"/>
    </row>
    <row r="86" spans="1:9" ht="90" x14ac:dyDescent="0.25">
      <c r="A86" s="488"/>
      <c r="B86" s="267">
        <v>27</v>
      </c>
      <c r="C86" s="484" t="s">
        <v>821</v>
      </c>
      <c r="D86" s="356" t="s">
        <v>1612</v>
      </c>
      <c r="E86" s="120" t="s">
        <v>1373</v>
      </c>
      <c r="F86" s="125" t="s">
        <v>1377</v>
      </c>
      <c r="G86" s="267"/>
      <c r="H86" s="267">
        <v>6</v>
      </c>
      <c r="I86" s="356"/>
    </row>
    <row r="87" spans="1:9" ht="75" x14ac:dyDescent="0.25">
      <c r="A87" s="488"/>
      <c r="B87" s="267">
        <v>28</v>
      </c>
      <c r="C87" s="484" t="s">
        <v>823</v>
      </c>
      <c r="D87" s="356" t="s">
        <v>1609</v>
      </c>
      <c r="E87" s="120" t="s">
        <v>1373</v>
      </c>
      <c r="F87" s="125" t="s">
        <v>1377</v>
      </c>
      <c r="G87" s="267"/>
      <c r="H87" s="267">
        <v>71</v>
      </c>
      <c r="I87" s="356"/>
    </row>
    <row r="88" spans="1:9" ht="63" x14ac:dyDescent="0.25">
      <c r="A88" s="488"/>
      <c r="B88" s="267">
        <v>29</v>
      </c>
      <c r="C88" s="484" t="s">
        <v>837</v>
      </c>
      <c r="D88" s="356" t="s">
        <v>1585</v>
      </c>
      <c r="E88" s="120" t="s">
        <v>1373</v>
      </c>
      <c r="F88" s="125" t="s">
        <v>1377</v>
      </c>
      <c r="G88" s="267">
        <v>3.5179999999999998</v>
      </c>
      <c r="H88" s="267">
        <v>3.3730000000000002</v>
      </c>
      <c r="I88" s="356"/>
    </row>
    <row r="89" spans="1:9" ht="72" customHeight="1" x14ac:dyDescent="0.25">
      <c r="A89" s="488"/>
      <c r="B89" s="267">
        <v>30</v>
      </c>
      <c r="C89" s="484" t="e">
        <f>'Daftar Prioritas'!D58</f>
        <v>#REF!</v>
      </c>
      <c r="D89" s="356" t="s">
        <v>1585</v>
      </c>
      <c r="E89" s="120" t="s">
        <v>1373</v>
      </c>
      <c r="F89" s="125" t="s">
        <v>1377</v>
      </c>
      <c r="G89" s="267">
        <v>3.5179999999999998</v>
      </c>
      <c r="H89" s="267">
        <v>3.3730000000000002</v>
      </c>
      <c r="I89" s="356"/>
    </row>
    <row r="90" spans="1:9" ht="75" x14ac:dyDescent="0.25">
      <c r="A90" s="488"/>
      <c r="B90" s="267">
        <v>31</v>
      </c>
      <c r="C90" s="484" t="s">
        <v>847</v>
      </c>
      <c r="D90" s="356" t="s">
        <v>1585</v>
      </c>
      <c r="E90" s="120" t="s">
        <v>1373</v>
      </c>
      <c r="F90" s="125" t="s">
        <v>1377</v>
      </c>
      <c r="G90" s="267">
        <v>3.5179999999999998</v>
      </c>
      <c r="H90" s="267">
        <v>3.3730000000000002</v>
      </c>
      <c r="I90" s="356"/>
    </row>
    <row r="91" spans="1:9" ht="75" x14ac:dyDescent="0.25">
      <c r="A91" s="488"/>
      <c r="B91" s="267">
        <v>32</v>
      </c>
      <c r="C91" s="484" t="s">
        <v>857</v>
      </c>
      <c r="D91" s="356" t="s">
        <v>1613</v>
      </c>
      <c r="E91" s="120" t="s">
        <v>1373</v>
      </c>
      <c r="F91" s="125" t="s">
        <v>1377</v>
      </c>
      <c r="G91" s="267">
        <v>82</v>
      </c>
      <c r="H91" s="267">
        <v>90</v>
      </c>
      <c r="I91" s="356"/>
    </row>
    <row r="92" spans="1:9" ht="63" x14ac:dyDescent="0.25">
      <c r="A92" s="488"/>
      <c r="B92" s="267">
        <v>33</v>
      </c>
      <c r="C92" s="484" t="s">
        <v>866</v>
      </c>
      <c r="D92" s="356" t="s">
        <v>1614</v>
      </c>
      <c r="E92" s="120" t="s">
        <v>1373</v>
      </c>
      <c r="F92" s="125" t="s">
        <v>1377</v>
      </c>
      <c r="G92" s="267"/>
      <c r="H92" s="267">
        <v>16</v>
      </c>
      <c r="I92" s="356"/>
    </row>
    <row r="93" spans="1:9" ht="63" x14ac:dyDescent="0.25">
      <c r="A93" s="488"/>
      <c r="B93" s="267">
        <v>34</v>
      </c>
      <c r="C93" s="484" t="s">
        <v>873</v>
      </c>
      <c r="D93" s="356" t="s">
        <v>1615</v>
      </c>
      <c r="E93" s="120" t="s">
        <v>1373</v>
      </c>
      <c r="F93" s="125" t="s">
        <v>1377</v>
      </c>
      <c r="G93" s="267">
        <v>3.5179999999999998</v>
      </c>
      <c r="H93" s="267">
        <v>3.3730000000000002</v>
      </c>
      <c r="I93" s="356"/>
    </row>
    <row r="94" spans="1:9" ht="63" x14ac:dyDescent="0.25">
      <c r="A94" s="488"/>
      <c r="B94" s="267">
        <v>35</v>
      </c>
      <c r="C94" s="484" t="s">
        <v>886</v>
      </c>
      <c r="D94" s="356" t="s">
        <v>1615</v>
      </c>
      <c r="E94" s="120" t="s">
        <v>1373</v>
      </c>
      <c r="F94" s="125" t="s">
        <v>1408</v>
      </c>
      <c r="G94" s="267"/>
      <c r="H94" s="267">
        <v>8</v>
      </c>
      <c r="I94" s="356"/>
    </row>
    <row r="95" spans="1:9" ht="81.75" customHeight="1" x14ac:dyDescent="0.25">
      <c r="A95" s="488"/>
      <c r="B95" s="267">
        <v>36</v>
      </c>
      <c r="C95" s="484" t="s">
        <v>896</v>
      </c>
      <c r="D95" s="356" t="s">
        <v>1616</v>
      </c>
      <c r="E95" s="120" t="s">
        <v>1373</v>
      </c>
      <c r="F95" s="125" t="s">
        <v>1377</v>
      </c>
      <c r="G95" s="267"/>
      <c r="H95" s="267">
        <v>30</v>
      </c>
      <c r="I95" s="356"/>
    </row>
    <row r="96" spans="1:9" ht="90" x14ac:dyDescent="0.25">
      <c r="A96" s="488"/>
      <c r="B96" s="267">
        <v>37</v>
      </c>
      <c r="C96" s="484" t="s">
        <v>903</v>
      </c>
      <c r="D96" s="356" t="s">
        <v>1617</v>
      </c>
      <c r="E96" s="120" t="s">
        <v>1373</v>
      </c>
      <c r="F96" s="125" t="s">
        <v>1377</v>
      </c>
      <c r="G96" s="267">
        <v>2</v>
      </c>
      <c r="H96" s="267">
        <v>3</v>
      </c>
      <c r="I96" s="356"/>
    </row>
    <row r="97" spans="1:9" ht="75" x14ac:dyDescent="0.25">
      <c r="A97" s="488"/>
      <c r="B97" s="267">
        <v>38</v>
      </c>
      <c r="C97" s="484" t="s">
        <v>905</v>
      </c>
      <c r="D97" s="356" t="s">
        <v>1617</v>
      </c>
      <c r="E97" s="120" t="s">
        <v>1373</v>
      </c>
      <c r="F97" s="125" t="s">
        <v>1408</v>
      </c>
      <c r="G97" s="267">
        <v>55</v>
      </c>
      <c r="H97" s="267">
        <v>50</v>
      </c>
      <c r="I97" s="356"/>
    </row>
    <row r="98" spans="1:9" ht="63" x14ac:dyDescent="0.25">
      <c r="A98" s="488"/>
      <c r="B98" s="267">
        <v>39</v>
      </c>
      <c r="C98" s="484" t="s">
        <v>1559</v>
      </c>
      <c r="D98" s="356" t="s">
        <v>1585</v>
      </c>
      <c r="E98" s="120" t="s">
        <v>1373</v>
      </c>
      <c r="F98" s="125" t="s">
        <v>1566</v>
      </c>
      <c r="G98" s="267">
        <v>3.5179999999999998</v>
      </c>
      <c r="H98" s="267">
        <v>3.3730000000000002</v>
      </c>
      <c r="I98" s="356"/>
    </row>
    <row r="99" spans="1:9" ht="63" x14ac:dyDescent="0.25">
      <c r="A99" s="488"/>
      <c r="B99" s="267">
        <v>40</v>
      </c>
      <c r="C99" s="484" t="s">
        <v>926</v>
      </c>
      <c r="D99" s="356" t="s">
        <v>1585</v>
      </c>
      <c r="E99" s="120" t="s">
        <v>1373</v>
      </c>
      <c r="F99" s="125" t="s">
        <v>1568</v>
      </c>
      <c r="G99" s="267">
        <v>3.5179999999999998</v>
      </c>
      <c r="H99" s="267">
        <v>3.3730000000000002</v>
      </c>
      <c r="I99" s="356"/>
    </row>
    <row r="100" spans="1:9" ht="63" x14ac:dyDescent="0.25">
      <c r="A100" s="488"/>
      <c r="B100" s="267">
        <v>41</v>
      </c>
      <c r="C100" s="484" t="s">
        <v>959</v>
      </c>
      <c r="D100" s="356" t="s">
        <v>1615</v>
      </c>
      <c r="E100" s="120" t="s">
        <v>1373</v>
      </c>
      <c r="F100" s="125" t="s">
        <v>1377</v>
      </c>
      <c r="G100" s="267">
        <v>3.5179999999999998</v>
      </c>
      <c r="H100" s="267">
        <v>3.3730000000000002</v>
      </c>
      <c r="I100" s="356"/>
    </row>
    <row r="101" spans="1:9" ht="63" x14ac:dyDescent="0.25">
      <c r="A101" s="488"/>
      <c r="B101" s="267">
        <v>42</v>
      </c>
      <c r="C101" s="484" t="s">
        <v>975</v>
      </c>
      <c r="D101" s="356" t="s">
        <v>1618</v>
      </c>
      <c r="E101" s="120" t="s">
        <v>1373</v>
      </c>
      <c r="F101" s="125" t="s">
        <v>1408</v>
      </c>
      <c r="G101" s="267"/>
      <c r="H101" s="267">
        <v>9</v>
      </c>
      <c r="I101" s="356"/>
    </row>
    <row r="102" spans="1:9" ht="63" x14ac:dyDescent="0.25">
      <c r="A102" s="488"/>
      <c r="B102" s="267">
        <v>43</v>
      </c>
      <c r="C102" s="484" t="s">
        <v>1044</v>
      </c>
      <c r="D102" s="356" t="s">
        <v>1585</v>
      </c>
      <c r="E102" s="120" t="s">
        <v>1373</v>
      </c>
      <c r="F102" s="125" t="s">
        <v>1408</v>
      </c>
      <c r="G102" s="267">
        <v>3.5179999999999998</v>
      </c>
      <c r="H102" s="267">
        <v>3.3730000000000002</v>
      </c>
      <c r="I102" s="32"/>
    </row>
    <row r="103" spans="1:9" ht="90" x14ac:dyDescent="0.25">
      <c r="A103" s="488"/>
      <c r="B103" s="267">
        <v>44</v>
      </c>
      <c r="C103" s="484" t="s">
        <v>1049</v>
      </c>
      <c r="D103" s="356" t="s">
        <v>1585</v>
      </c>
      <c r="E103" s="120" t="s">
        <v>1373</v>
      </c>
      <c r="F103" s="125" t="s">
        <v>1408</v>
      </c>
      <c r="G103" s="267">
        <v>3.5179999999999998</v>
      </c>
      <c r="H103" s="267">
        <v>3.3730000000000002</v>
      </c>
      <c r="I103" s="32"/>
    </row>
    <row r="104" spans="1:9" ht="63" x14ac:dyDescent="0.25">
      <c r="A104" s="488"/>
      <c r="B104" s="267">
        <v>45</v>
      </c>
      <c r="C104" s="484" t="s">
        <v>1078</v>
      </c>
      <c r="D104" s="356" t="s">
        <v>1585</v>
      </c>
      <c r="E104" s="120" t="s">
        <v>1373</v>
      </c>
      <c r="F104" s="125" t="s">
        <v>1408</v>
      </c>
      <c r="G104" s="267">
        <v>3.5179999999999998</v>
      </c>
      <c r="H104" s="267">
        <v>3.3730000000000002</v>
      </c>
      <c r="I104" s="32"/>
    </row>
    <row r="105" spans="1:9" ht="75" x14ac:dyDescent="0.25">
      <c r="A105" s="488"/>
      <c r="B105" s="267">
        <v>46</v>
      </c>
      <c r="C105" s="484" t="s">
        <v>1528</v>
      </c>
      <c r="D105" s="356" t="s">
        <v>1585</v>
      </c>
      <c r="E105" s="120" t="s">
        <v>1373</v>
      </c>
      <c r="F105" s="125" t="s">
        <v>1417</v>
      </c>
      <c r="G105" s="267">
        <v>3.5179999999999998</v>
      </c>
      <c r="H105" s="267">
        <v>3.3730000000000002</v>
      </c>
      <c r="I105" s="32"/>
    </row>
    <row r="106" spans="1:9" ht="75" x14ac:dyDescent="0.25">
      <c r="A106" s="488"/>
      <c r="B106" s="267">
        <v>47</v>
      </c>
      <c r="C106" s="484" t="s">
        <v>1437</v>
      </c>
      <c r="D106" s="356" t="s">
        <v>1585</v>
      </c>
      <c r="E106" s="120" t="s">
        <v>1373</v>
      </c>
      <c r="F106" s="125" t="s">
        <v>1377</v>
      </c>
      <c r="G106" s="267">
        <v>3.5179999999999998</v>
      </c>
      <c r="H106" s="267">
        <v>3.3730000000000002</v>
      </c>
      <c r="I106" s="32"/>
    </row>
    <row r="107" spans="1:9" ht="63" x14ac:dyDescent="0.25">
      <c r="A107" s="488"/>
      <c r="B107" s="267">
        <v>48</v>
      </c>
      <c r="C107" s="484" t="s">
        <v>1335</v>
      </c>
      <c r="D107" s="356" t="s">
        <v>1585</v>
      </c>
      <c r="E107" s="120" t="s">
        <v>1373</v>
      </c>
      <c r="F107" s="125" t="s">
        <v>1377</v>
      </c>
      <c r="G107" s="267">
        <v>3.5179999999999998</v>
      </c>
      <c r="H107" s="267">
        <v>3.3730000000000002</v>
      </c>
      <c r="I107" s="32"/>
    </row>
    <row r="108" spans="1:9" ht="63" x14ac:dyDescent="0.25">
      <c r="A108" s="488"/>
      <c r="B108" s="267">
        <v>49</v>
      </c>
      <c r="C108" s="484" t="s">
        <v>979</v>
      </c>
      <c r="D108" s="356" t="s">
        <v>1585</v>
      </c>
      <c r="E108" s="120" t="s">
        <v>1373</v>
      </c>
      <c r="F108" s="125" t="s">
        <v>1465</v>
      </c>
      <c r="G108" s="267">
        <v>3.5179999999999998</v>
      </c>
      <c r="H108" s="267">
        <v>3.3730000000000002</v>
      </c>
      <c r="I108" s="32"/>
    </row>
    <row r="109" spans="1:9" ht="120" x14ac:dyDescent="0.25">
      <c r="A109" s="488"/>
      <c r="B109" s="267">
        <v>50</v>
      </c>
      <c r="C109" s="484" t="s">
        <v>1091</v>
      </c>
      <c r="D109" s="356" t="s">
        <v>1585</v>
      </c>
      <c r="E109" s="120" t="s">
        <v>1373</v>
      </c>
      <c r="F109" s="125" t="s">
        <v>1377</v>
      </c>
      <c r="G109" s="267">
        <v>3.5179999999999998</v>
      </c>
      <c r="H109" s="267">
        <v>3.3730000000000002</v>
      </c>
      <c r="I109" s="32"/>
    </row>
    <row r="110" spans="1:9" ht="120" x14ac:dyDescent="0.25">
      <c r="A110" s="488"/>
      <c r="B110" s="267">
        <v>51</v>
      </c>
      <c r="C110" s="484" t="s">
        <v>1099</v>
      </c>
      <c r="D110" s="356" t="s">
        <v>1585</v>
      </c>
      <c r="E110" s="120" t="s">
        <v>1373</v>
      </c>
      <c r="F110" s="125" t="s">
        <v>1377</v>
      </c>
      <c r="G110" s="267">
        <v>3.5179999999999998</v>
      </c>
      <c r="H110" s="267">
        <v>3.3730000000000002</v>
      </c>
      <c r="I110" s="32"/>
    </row>
    <row r="111" spans="1:9" ht="104.25" customHeight="1" x14ac:dyDescent="0.25">
      <c r="A111" s="488"/>
      <c r="B111" s="267">
        <v>52</v>
      </c>
      <c r="C111" s="484" t="s">
        <v>1103</v>
      </c>
      <c r="D111" s="356" t="s">
        <v>1619</v>
      </c>
      <c r="E111" s="120" t="s">
        <v>1373</v>
      </c>
      <c r="F111" s="125" t="s">
        <v>1377</v>
      </c>
      <c r="G111" s="267">
        <v>35</v>
      </c>
      <c r="H111" s="267"/>
      <c r="I111" s="32"/>
    </row>
    <row r="112" spans="1:9" ht="105" x14ac:dyDescent="0.25">
      <c r="A112" s="488"/>
      <c r="B112" s="267">
        <v>53</v>
      </c>
      <c r="C112" s="484" t="s">
        <v>1106</v>
      </c>
      <c r="D112" s="356" t="s">
        <v>1619</v>
      </c>
      <c r="E112" s="120" t="s">
        <v>1373</v>
      </c>
      <c r="F112" s="125" t="s">
        <v>1408</v>
      </c>
      <c r="G112" s="267">
        <v>35</v>
      </c>
      <c r="H112" s="267"/>
      <c r="I112" s="32"/>
    </row>
    <row r="113" spans="1:9" ht="63" x14ac:dyDescent="0.25">
      <c r="A113" s="488"/>
      <c r="B113" s="267">
        <v>54</v>
      </c>
      <c r="C113" s="484" t="s">
        <v>1119</v>
      </c>
      <c r="D113" s="356" t="s">
        <v>1620</v>
      </c>
      <c r="E113" s="120" t="s">
        <v>1373</v>
      </c>
      <c r="F113" s="125" t="s">
        <v>1377</v>
      </c>
      <c r="G113" s="267"/>
      <c r="H113" s="267">
        <v>29</v>
      </c>
      <c r="I113" s="32"/>
    </row>
    <row r="114" spans="1:9" ht="75" x14ac:dyDescent="0.25">
      <c r="A114" s="488"/>
      <c r="B114" s="267">
        <v>55</v>
      </c>
      <c r="C114" s="484" t="s">
        <v>1248</v>
      </c>
      <c r="D114" s="356" t="s">
        <v>1583</v>
      </c>
      <c r="E114" s="120" t="s">
        <v>1373</v>
      </c>
      <c r="F114" s="125" t="s">
        <v>1377</v>
      </c>
      <c r="G114" s="267">
        <v>20</v>
      </c>
      <c r="H114" s="267">
        <v>8</v>
      </c>
      <c r="I114" s="32"/>
    </row>
    <row r="115" spans="1:9" ht="63" x14ac:dyDescent="0.25">
      <c r="A115" s="488"/>
      <c r="B115" s="267">
        <v>56</v>
      </c>
      <c r="C115" s="484" t="s">
        <v>1139</v>
      </c>
      <c r="D115" s="356" t="s">
        <v>1583</v>
      </c>
      <c r="E115" s="120" t="s">
        <v>1373</v>
      </c>
      <c r="F115" s="125" t="s">
        <v>1377</v>
      </c>
      <c r="G115" s="267">
        <v>20</v>
      </c>
      <c r="H115" s="267">
        <v>8</v>
      </c>
      <c r="I115" s="32"/>
    </row>
    <row r="116" spans="1:9" ht="63" x14ac:dyDescent="0.25">
      <c r="A116" s="488"/>
      <c r="B116" s="267">
        <v>57</v>
      </c>
      <c r="C116" s="484" t="s">
        <v>1152</v>
      </c>
      <c r="D116" s="356" t="s">
        <v>1583</v>
      </c>
      <c r="E116" s="120" t="s">
        <v>1373</v>
      </c>
      <c r="F116" s="125" t="s">
        <v>1377</v>
      </c>
      <c r="G116" s="267">
        <v>20</v>
      </c>
      <c r="H116" s="267">
        <v>8</v>
      </c>
      <c r="I116" s="32"/>
    </row>
    <row r="117" spans="1:9" ht="63" x14ac:dyDescent="0.25">
      <c r="A117" s="488"/>
      <c r="B117" s="267">
        <v>58</v>
      </c>
      <c r="C117" s="484" t="s">
        <v>1391</v>
      </c>
      <c r="D117" s="356" t="s">
        <v>1583</v>
      </c>
      <c r="E117" s="120" t="s">
        <v>1373</v>
      </c>
      <c r="F117" s="125" t="s">
        <v>1377</v>
      </c>
      <c r="G117" s="267">
        <v>3.5179999999999998</v>
      </c>
      <c r="H117" s="267">
        <v>3.3730000000000002</v>
      </c>
      <c r="I117" s="32"/>
    </row>
    <row r="118" spans="1:9" ht="63" x14ac:dyDescent="0.25">
      <c r="A118" s="488"/>
      <c r="B118" s="267">
        <v>59</v>
      </c>
      <c r="C118" s="484" t="s">
        <v>1156</v>
      </c>
      <c r="D118" s="356" t="s">
        <v>1585</v>
      </c>
      <c r="E118" s="120" t="s">
        <v>1373</v>
      </c>
      <c r="F118" s="125" t="s">
        <v>1377</v>
      </c>
      <c r="G118" s="267">
        <v>3.5179999999999998</v>
      </c>
      <c r="H118" s="267">
        <v>3.3730000000000002</v>
      </c>
      <c r="I118" s="32"/>
    </row>
    <row r="119" spans="1:9" ht="63" x14ac:dyDescent="0.25">
      <c r="A119" s="488"/>
      <c r="B119" s="267">
        <v>60</v>
      </c>
      <c r="C119" s="484" t="s">
        <v>1164</v>
      </c>
      <c r="D119" s="356" t="s">
        <v>1585</v>
      </c>
      <c r="E119" s="120" t="s">
        <v>1373</v>
      </c>
      <c r="F119" s="125" t="s">
        <v>1377</v>
      </c>
      <c r="G119" s="267">
        <v>3.5179999999999998</v>
      </c>
      <c r="H119" s="267">
        <v>3.3730000000000002</v>
      </c>
      <c r="I119" s="32"/>
    </row>
    <row r="120" spans="1:9" ht="75" x14ac:dyDescent="0.25">
      <c r="A120" s="488"/>
      <c r="B120" s="267">
        <v>61</v>
      </c>
      <c r="C120" s="484" t="s">
        <v>1176</v>
      </c>
      <c r="D120" s="356" t="s">
        <v>1585</v>
      </c>
      <c r="E120" s="120" t="s">
        <v>1373</v>
      </c>
      <c r="F120" s="125" t="s">
        <v>1377</v>
      </c>
      <c r="G120" s="267">
        <v>3.5179999999999998</v>
      </c>
      <c r="H120" s="267">
        <v>3.3730000000000002</v>
      </c>
      <c r="I120" s="32"/>
    </row>
    <row r="121" spans="1:9" ht="120" x14ac:dyDescent="0.25">
      <c r="A121" s="488"/>
      <c r="B121" s="267">
        <v>62</v>
      </c>
      <c r="C121" s="484" t="s">
        <v>1227</v>
      </c>
      <c r="D121" s="356" t="s">
        <v>1585</v>
      </c>
      <c r="E121" s="120" t="s">
        <v>1373</v>
      </c>
      <c r="F121" s="125" t="s">
        <v>1377</v>
      </c>
      <c r="G121" s="267">
        <v>3.5179999999999998</v>
      </c>
      <c r="H121" s="267">
        <v>3.3730000000000002</v>
      </c>
      <c r="I121" s="32"/>
    </row>
    <row r="122" spans="1:9" ht="139.5" customHeight="1" x14ac:dyDescent="0.25">
      <c r="A122" s="488"/>
      <c r="B122" s="267">
        <v>63</v>
      </c>
      <c r="C122" s="484" t="e">
        <f>'BID III'!#REF!</f>
        <v>#REF!</v>
      </c>
      <c r="D122" s="356" t="s">
        <v>1585</v>
      </c>
      <c r="E122" s="120" t="s">
        <v>1373</v>
      </c>
      <c r="F122" s="125" t="s">
        <v>1377</v>
      </c>
      <c r="G122" s="267">
        <v>3.5179999999999998</v>
      </c>
      <c r="H122" s="267">
        <v>3.3730000000000002</v>
      </c>
      <c r="I122" s="32"/>
    </row>
    <row r="123" spans="1:9" ht="241.5" customHeight="1" x14ac:dyDescent="0.25">
      <c r="A123" s="488"/>
      <c r="B123" s="267">
        <v>64</v>
      </c>
      <c r="C123" s="484" t="s">
        <v>1394</v>
      </c>
      <c r="D123" s="356" t="s">
        <v>1585</v>
      </c>
      <c r="E123" s="120" t="s">
        <v>1373</v>
      </c>
      <c r="F123" s="125" t="s">
        <v>1377</v>
      </c>
      <c r="G123" s="267">
        <v>3.5179999999999998</v>
      </c>
      <c r="H123" s="267">
        <v>3.3730000000000002</v>
      </c>
      <c r="I123" s="32"/>
    </row>
    <row r="124" spans="1:9" ht="241.5" customHeight="1" x14ac:dyDescent="0.25">
      <c r="A124" s="488"/>
      <c r="B124" s="267">
        <v>65</v>
      </c>
      <c r="C124" s="484" t="e">
        <f>#REF!</f>
        <v>#REF!</v>
      </c>
      <c r="D124" s="356" t="s">
        <v>1585</v>
      </c>
      <c r="E124" s="120" t="s">
        <v>1373</v>
      </c>
      <c r="F124" s="125" t="s">
        <v>1377</v>
      </c>
      <c r="G124" s="267">
        <v>3.5179999999999998</v>
      </c>
      <c r="H124" s="267">
        <v>3.3730000000000002</v>
      </c>
      <c r="I124" s="32"/>
    </row>
    <row r="125" spans="1:9" ht="63" x14ac:dyDescent="0.25">
      <c r="A125" s="488"/>
      <c r="B125" s="267">
        <v>66</v>
      </c>
      <c r="C125" s="484" t="s">
        <v>1173</v>
      </c>
      <c r="D125" s="356" t="s">
        <v>1585</v>
      </c>
      <c r="E125" s="120" t="s">
        <v>1373</v>
      </c>
      <c r="F125" s="125" t="s">
        <v>1377</v>
      </c>
      <c r="G125" s="267">
        <v>3.5179999999999998</v>
      </c>
      <c r="H125" s="267">
        <v>3.3730000000000002</v>
      </c>
      <c r="I125" s="32"/>
    </row>
    <row r="126" spans="1:9" ht="75" x14ac:dyDescent="0.25">
      <c r="A126" s="488"/>
      <c r="B126" s="267">
        <v>67</v>
      </c>
      <c r="C126" s="484" t="s">
        <v>1250</v>
      </c>
      <c r="D126" s="356" t="s">
        <v>1621</v>
      </c>
      <c r="E126" s="120" t="s">
        <v>1373</v>
      </c>
      <c r="F126" s="125" t="s">
        <v>1377</v>
      </c>
      <c r="G126" s="267">
        <v>13</v>
      </c>
      <c r="H126" s="267">
        <v>4</v>
      </c>
      <c r="I126" s="32"/>
    </row>
    <row r="127" spans="1:9" ht="63" x14ac:dyDescent="0.25">
      <c r="A127" s="488"/>
      <c r="B127" s="267">
        <v>68</v>
      </c>
      <c r="C127" s="484" t="s">
        <v>1432</v>
      </c>
      <c r="D127" s="356" t="s">
        <v>1621</v>
      </c>
      <c r="E127" s="120" t="s">
        <v>1373</v>
      </c>
      <c r="F127" s="125" t="s">
        <v>1377</v>
      </c>
      <c r="G127" s="267">
        <v>13</v>
      </c>
      <c r="H127" s="267">
        <v>4</v>
      </c>
      <c r="I127" s="32"/>
    </row>
    <row r="128" spans="1:9" ht="75" x14ac:dyDescent="0.25">
      <c r="A128" s="488"/>
      <c r="B128" s="267">
        <v>69</v>
      </c>
      <c r="C128" s="484" t="s">
        <v>1267</v>
      </c>
      <c r="D128" s="356" t="s">
        <v>1585</v>
      </c>
      <c r="E128" s="120" t="s">
        <v>1373</v>
      </c>
      <c r="F128" s="125" t="s">
        <v>1377</v>
      </c>
      <c r="G128" s="267">
        <v>3.5179999999999998</v>
      </c>
      <c r="H128" s="267">
        <v>3.3730000000000002</v>
      </c>
      <c r="I128" s="32"/>
    </row>
    <row r="129" spans="1:9" ht="105" x14ac:dyDescent="0.25">
      <c r="A129" s="488"/>
      <c r="B129" s="267">
        <v>70</v>
      </c>
      <c r="C129" s="484" t="s">
        <v>1296</v>
      </c>
      <c r="D129" s="356" t="s">
        <v>1585</v>
      </c>
      <c r="E129" s="120" t="s">
        <v>1373</v>
      </c>
      <c r="F129" s="125" t="s">
        <v>1377</v>
      </c>
      <c r="G129" s="267">
        <v>3.5179999999999998</v>
      </c>
      <c r="H129" s="267">
        <v>3.3730000000000002</v>
      </c>
      <c r="I129" s="32"/>
    </row>
    <row r="130" spans="1:9" ht="101.25" customHeight="1" x14ac:dyDescent="0.25">
      <c r="A130" s="488"/>
      <c r="B130" s="267">
        <v>71</v>
      </c>
      <c r="C130" s="484" t="s">
        <v>1307</v>
      </c>
      <c r="D130" s="356" t="s">
        <v>1585</v>
      </c>
      <c r="E130" s="120" t="s">
        <v>1373</v>
      </c>
      <c r="F130" s="125" t="s">
        <v>1377</v>
      </c>
      <c r="G130" s="267">
        <v>3.5179999999999998</v>
      </c>
      <c r="H130" s="267">
        <v>3.3730000000000002</v>
      </c>
      <c r="I130" s="32"/>
    </row>
    <row r="131" spans="1:9" ht="93.75" customHeight="1" x14ac:dyDescent="0.25">
      <c r="A131" s="488"/>
      <c r="B131" s="267">
        <v>72</v>
      </c>
      <c r="C131" s="484" t="s">
        <v>1313</v>
      </c>
      <c r="D131" s="356" t="s">
        <v>1585</v>
      </c>
      <c r="E131" s="120" t="s">
        <v>1373</v>
      </c>
      <c r="F131" s="125" t="s">
        <v>1377</v>
      </c>
      <c r="G131" s="267">
        <v>3.5179999999999998</v>
      </c>
      <c r="H131" s="267">
        <v>3.3730000000000002</v>
      </c>
      <c r="I131" s="32"/>
    </row>
    <row r="132" spans="1:9" ht="105" x14ac:dyDescent="0.25">
      <c r="A132" s="488"/>
      <c r="B132" s="267">
        <v>73</v>
      </c>
      <c r="C132" s="484" t="s">
        <v>1501</v>
      </c>
      <c r="D132" s="356" t="s">
        <v>1585</v>
      </c>
      <c r="E132" s="120" t="s">
        <v>1373</v>
      </c>
      <c r="F132" s="125" t="s">
        <v>1377</v>
      </c>
      <c r="G132" s="267">
        <v>3.5179999999999998</v>
      </c>
      <c r="H132" s="267">
        <v>3.3730000000000002</v>
      </c>
      <c r="I132" s="32"/>
    </row>
    <row r="133" spans="1:9" ht="63" x14ac:dyDescent="0.25">
      <c r="A133" s="488"/>
      <c r="B133" s="267">
        <v>74</v>
      </c>
      <c r="C133" s="484" t="s">
        <v>1557</v>
      </c>
      <c r="D133" s="356" t="s">
        <v>1622</v>
      </c>
      <c r="E133" s="120" t="s">
        <v>1373</v>
      </c>
      <c r="F133" s="114" t="s">
        <v>1377</v>
      </c>
      <c r="G133" s="485">
        <v>5</v>
      </c>
      <c r="H133" s="485">
        <v>3</v>
      </c>
      <c r="I133" s="32"/>
    </row>
    <row r="134" spans="1:9" ht="104.25" customHeight="1" x14ac:dyDescent="0.25">
      <c r="A134" s="488"/>
      <c r="B134" s="267">
        <v>75</v>
      </c>
      <c r="C134" s="484" t="s">
        <v>559</v>
      </c>
      <c r="D134" s="356" t="s">
        <v>1622</v>
      </c>
      <c r="E134" s="120" t="s">
        <v>1373</v>
      </c>
      <c r="F134" s="114" t="s">
        <v>1377</v>
      </c>
      <c r="G134" s="485">
        <v>5</v>
      </c>
      <c r="H134" s="485">
        <v>3</v>
      </c>
      <c r="I134" s="32"/>
    </row>
    <row r="135" spans="1:9" ht="15.75" x14ac:dyDescent="0.25">
      <c r="A135" s="489"/>
      <c r="B135" s="267"/>
      <c r="C135" s="484"/>
      <c r="D135" s="356"/>
      <c r="E135" s="120"/>
      <c r="F135" s="114"/>
      <c r="G135" s="481"/>
      <c r="H135" s="481"/>
      <c r="I135" s="32"/>
    </row>
    <row r="136" spans="1:9" ht="105" x14ac:dyDescent="0.25">
      <c r="A136" s="479" t="s">
        <v>1590</v>
      </c>
      <c r="B136" s="267">
        <v>1</v>
      </c>
      <c r="C136" s="487" t="s">
        <v>639</v>
      </c>
      <c r="D136" s="356" t="s">
        <v>1589</v>
      </c>
      <c r="E136" s="120" t="s">
        <v>1373</v>
      </c>
      <c r="F136" s="125" t="s">
        <v>1377</v>
      </c>
      <c r="G136" s="267">
        <v>40</v>
      </c>
      <c r="H136" s="267">
        <v>40</v>
      </c>
      <c r="I136" s="32"/>
    </row>
    <row r="137" spans="1:9" ht="69" customHeight="1" x14ac:dyDescent="0.25">
      <c r="A137" s="488"/>
      <c r="B137" s="267">
        <v>2</v>
      </c>
      <c r="C137" s="480" t="s">
        <v>1504</v>
      </c>
      <c r="D137" s="356" t="s">
        <v>1589</v>
      </c>
      <c r="E137" s="120" t="s">
        <v>1373</v>
      </c>
      <c r="F137" s="125" t="s">
        <v>1377</v>
      </c>
      <c r="G137" s="267">
        <v>40</v>
      </c>
      <c r="H137" s="267">
        <v>40</v>
      </c>
      <c r="I137" s="32"/>
    </row>
    <row r="138" spans="1:9" ht="91.5" customHeight="1" x14ac:dyDescent="0.25">
      <c r="A138" s="488"/>
      <c r="B138" s="267">
        <v>3</v>
      </c>
      <c r="C138" s="484" t="s">
        <v>1527</v>
      </c>
      <c r="D138" s="356" t="s">
        <v>1589</v>
      </c>
      <c r="E138" s="120" t="s">
        <v>1373</v>
      </c>
      <c r="F138" s="125" t="s">
        <v>1377</v>
      </c>
      <c r="G138" s="267">
        <v>40</v>
      </c>
      <c r="H138" s="267">
        <v>40</v>
      </c>
      <c r="I138" s="32"/>
    </row>
    <row r="139" spans="1:9" ht="225" x14ac:dyDescent="0.25">
      <c r="A139" s="488"/>
      <c r="B139" s="267">
        <v>4</v>
      </c>
      <c r="C139" s="484" t="s">
        <v>1394</v>
      </c>
      <c r="D139" s="356" t="s">
        <v>1585</v>
      </c>
      <c r="E139" s="120" t="s">
        <v>1373</v>
      </c>
      <c r="F139" s="125" t="s">
        <v>1377</v>
      </c>
      <c r="G139" s="267">
        <v>3.5179999999999998</v>
      </c>
      <c r="H139" s="267">
        <v>3.3730000000000002</v>
      </c>
      <c r="I139" s="32"/>
    </row>
    <row r="140" spans="1:9" ht="90.75" customHeight="1" x14ac:dyDescent="0.25">
      <c r="A140" s="488"/>
      <c r="B140" s="267">
        <v>5</v>
      </c>
      <c r="C140" s="484" t="s">
        <v>587</v>
      </c>
      <c r="D140" s="356" t="s">
        <v>1585</v>
      </c>
      <c r="E140" s="120" t="s">
        <v>1373</v>
      </c>
      <c r="F140" s="114" t="s">
        <v>1377</v>
      </c>
      <c r="G140" s="485">
        <v>30</v>
      </c>
      <c r="H140" s="485"/>
      <c r="I140" s="32"/>
    </row>
    <row r="141" spans="1:9" ht="63" x14ac:dyDescent="0.25">
      <c r="A141" s="488"/>
      <c r="B141" s="267">
        <v>6</v>
      </c>
      <c r="C141" s="484" t="s">
        <v>1392</v>
      </c>
      <c r="D141" s="356" t="s">
        <v>1585</v>
      </c>
      <c r="E141" s="120" t="s">
        <v>1373</v>
      </c>
      <c r="F141" s="114" t="s">
        <v>1377</v>
      </c>
      <c r="G141" s="485">
        <v>35</v>
      </c>
      <c r="H141" s="485"/>
      <c r="I141" s="32"/>
    </row>
    <row r="142" spans="1:9" ht="63.75" customHeight="1" x14ac:dyDescent="0.25">
      <c r="A142" s="488"/>
      <c r="B142" s="267">
        <v>7</v>
      </c>
      <c r="C142" s="484" t="s">
        <v>1529</v>
      </c>
      <c r="D142" s="356" t="s">
        <v>1585</v>
      </c>
      <c r="E142" s="120" t="s">
        <v>1373</v>
      </c>
      <c r="F142" s="114" t="s">
        <v>1377</v>
      </c>
      <c r="G142" s="485">
        <v>30</v>
      </c>
      <c r="H142" s="485"/>
      <c r="I142" s="32"/>
    </row>
    <row r="143" spans="1:9" ht="63" x14ac:dyDescent="0.25">
      <c r="A143" s="488"/>
      <c r="B143" s="267">
        <v>8</v>
      </c>
      <c r="C143" s="484" t="s">
        <v>488</v>
      </c>
      <c r="D143" s="356" t="s">
        <v>1583</v>
      </c>
      <c r="E143" s="120" t="s">
        <v>1373</v>
      </c>
      <c r="F143" s="114" t="s">
        <v>1377</v>
      </c>
      <c r="G143" s="485">
        <v>20</v>
      </c>
      <c r="H143" s="485">
        <v>8</v>
      </c>
      <c r="I143" s="32"/>
    </row>
    <row r="144" spans="1:9" ht="75" x14ac:dyDescent="0.25">
      <c r="A144" s="488"/>
      <c r="B144" s="267">
        <v>9</v>
      </c>
      <c r="C144" s="484" t="s">
        <v>501</v>
      </c>
      <c r="D144" s="356" t="s">
        <v>1583</v>
      </c>
      <c r="E144" s="120" t="s">
        <v>1373</v>
      </c>
      <c r="F144" s="114" t="s">
        <v>1377</v>
      </c>
      <c r="G144" s="485">
        <v>20</v>
      </c>
      <c r="H144" s="485">
        <v>8</v>
      </c>
      <c r="I144" s="32"/>
    </row>
    <row r="145" spans="1:12" ht="63" x14ac:dyDescent="0.25">
      <c r="A145" s="488"/>
      <c r="B145" s="267">
        <v>10</v>
      </c>
      <c r="C145" s="484" t="s">
        <v>552</v>
      </c>
      <c r="D145" s="356" t="s">
        <v>1583</v>
      </c>
      <c r="E145" s="120" t="s">
        <v>1373</v>
      </c>
      <c r="F145" s="114" t="s">
        <v>1377</v>
      </c>
      <c r="G145" s="485">
        <v>20</v>
      </c>
      <c r="H145" s="485">
        <v>8</v>
      </c>
      <c r="I145" s="32"/>
    </row>
    <row r="146" spans="1:12" ht="63" x14ac:dyDescent="0.25">
      <c r="A146" s="488"/>
      <c r="B146" s="267">
        <v>11</v>
      </c>
      <c r="C146" s="484" t="s">
        <v>505</v>
      </c>
      <c r="D146" s="356" t="s">
        <v>1607</v>
      </c>
      <c r="E146" s="120" t="s">
        <v>1373</v>
      </c>
      <c r="F146" s="114" t="s">
        <v>1377</v>
      </c>
      <c r="G146" s="485">
        <v>8</v>
      </c>
      <c r="H146" s="485">
        <v>1</v>
      </c>
      <c r="I146" s="32"/>
    </row>
    <row r="147" spans="1:12" ht="114.75" customHeight="1" x14ac:dyDescent="0.25">
      <c r="A147" s="488"/>
      <c r="B147" s="267">
        <v>12</v>
      </c>
      <c r="C147" s="484" t="s">
        <v>580</v>
      </c>
      <c r="D147" s="356" t="s">
        <v>1620</v>
      </c>
      <c r="E147" s="120" t="s">
        <v>1373</v>
      </c>
      <c r="F147" s="114" t="s">
        <v>1377</v>
      </c>
      <c r="G147" s="485"/>
      <c r="H147" s="485">
        <v>32</v>
      </c>
      <c r="I147" s="32"/>
      <c r="L147" s="451"/>
    </row>
    <row r="148" spans="1:12" ht="63" x14ac:dyDescent="0.25">
      <c r="A148" s="488"/>
      <c r="B148" s="267">
        <v>13</v>
      </c>
      <c r="C148" s="484" t="s">
        <v>1558</v>
      </c>
      <c r="D148" s="356" t="s">
        <v>1585</v>
      </c>
      <c r="E148" s="120" t="s">
        <v>1373</v>
      </c>
      <c r="F148" s="114" t="s">
        <v>1377</v>
      </c>
      <c r="G148" s="485">
        <v>5</v>
      </c>
      <c r="H148" s="485"/>
      <c r="I148" s="32"/>
      <c r="L148" s="451"/>
    </row>
    <row r="149" spans="1:12" ht="63" x14ac:dyDescent="0.25">
      <c r="A149" s="488"/>
      <c r="B149" s="267">
        <v>14</v>
      </c>
      <c r="C149" s="484" t="s">
        <v>1557</v>
      </c>
      <c r="D149" s="356" t="s">
        <v>1584</v>
      </c>
      <c r="E149" s="120" t="s">
        <v>1373</v>
      </c>
      <c r="F149" s="114" t="s">
        <v>1377</v>
      </c>
      <c r="G149" s="485">
        <v>5</v>
      </c>
      <c r="H149" s="485">
        <v>3</v>
      </c>
      <c r="I149" s="32"/>
      <c r="L149" s="451"/>
    </row>
    <row r="150" spans="1:12" ht="63" x14ac:dyDescent="0.25">
      <c r="A150" s="488"/>
      <c r="B150" s="267">
        <v>15</v>
      </c>
      <c r="C150" s="484" t="s">
        <v>1505</v>
      </c>
      <c r="D150" s="356" t="s">
        <v>1585</v>
      </c>
      <c r="E150" s="120" t="s">
        <v>1373</v>
      </c>
      <c r="F150" s="114" t="s">
        <v>1377</v>
      </c>
      <c r="G150" s="485">
        <v>50</v>
      </c>
      <c r="H150" s="485"/>
      <c r="I150" s="32"/>
    </row>
    <row r="151" spans="1:12" ht="90" x14ac:dyDescent="0.25">
      <c r="A151" s="488"/>
      <c r="B151" s="267">
        <v>16</v>
      </c>
      <c r="C151" s="484" t="s">
        <v>1512</v>
      </c>
      <c r="D151" s="356" t="s">
        <v>1620</v>
      </c>
      <c r="E151" s="120" t="s">
        <v>1373</v>
      </c>
      <c r="F151" s="114" t="s">
        <v>1377</v>
      </c>
      <c r="G151" s="485"/>
      <c r="H151" s="485">
        <v>32</v>
      </c>
      <c r="I151" s="32"/>
    </row>
    <row r="152" spans="1:12" ht="106.5" customHeight="1" x14ac:dyDescent="0.25">
      <c r="A152" s="488"/>
      <c r="B152" s="267">
        <v>17</v>
      </c>
      <c r="C152" s="484" t="s">
        <v>559</v>
      </c>
      <c r="D152" s="356" t="s">
        <v>1584</v>
      </c>
      <c r="E152" s="120" t="s">
        <v>1373</v>
      </c>
      <c r="F152" s="114" t="s">
        <v>1377</v>
      </c>
      <c r="G152" s="485">
        <v>5</v>
      </c>
      <c r="H152" s="485">
        <v>3</v>
      </c>
      <c r="I152" s="32"/>
    </row>
    <row r="153" spans="1:12" x14ac:dyDescent="0.25">
      <c r="A153" s="489"/>
      <c r="B153" s="267"/>
      <c r="C153" s="484"/>
      <c r="D153" s="356"/>
      <c r="E153" s="357"/>
      <c r="F153" s="267"/>
      <c r="G153" s="485"/>
      <c r="H153" s="485"/>
      <c r="I153" s="32"/>
    </row>
    <row r="154" spans="1:12" ht="69" customHeight="1" x14ac:dyDescent="0.25">
      <c r="A154" s="2155" t="s">
        <v>1591</v>
      </c>
      <c r="B154" s="267">
        <v>1</v>
      </c>
      <c r="C154" s="484" t="s">
        <v>1390</v>
      </c>
      <c r="D154" s="356" t="s">
        <v>1585</v>
      </c>
      <c r="E154" s="120" t="s">
        <v>1373</v>
      </c>
      <c r="F154" s="125" t="s">
        <v>1408</v>
      </c>
      <c r="G154" s="267">
        <v>3.5179999999999998</v>
      </c>
      <c r="H154" s="267">
        <v>3.3730000000000002</v>
      </c>
      <c r="I154" s="32"/>
    </row>
    <row r="155" spans="1:12" ht="69" customHeight="1" x14ac:dyDescent="0.25">
      <c r="A155" s="2156"/>
      <c r="B155" s="267">
        <v>2</v>
      </c>
      <c r="C155" s="484" t="s">
        <v>1311</v>
      </c>
      <c r="D155" s="356" t="s">
        <v>1620</v>
      </c>
      <c r="E155" s="120" t="s">
        <v>1373</v>
      </c>
      <c r="F155" s="125" t="s">
        <v>1377</v>
      </c>
      <c r="G155" s="267">
        <v>3.5179999999999998</v>
      </c>
      <c r="H155" s="267">
        <v>3.3730000000000002</v>
      </c>
      <c r="I155" s="32"/>
    </row>
    <row r="156" spans="1:12" x14ac:dyDescent="0.25">
      <c r="A156" s="2156"/>
      <c r="B156" s="267"/>
      <c r="C156" s="484"/>
      <c r="D156" s="356"/>
      <c r="E156" s="357"/>
      <c r="F156" s="267"/>
      <c r="G156" s="485"/>
      <c r="H156" s="485"/>
      <c r="I156" s="32"/>
    </row>
    <row r="157" spans="1:12" ht="70.5" customHeight="1" x14ac:dyDescent="0.25">
      <c r="A157" s="479" t="s">
        <v>1592</v>
      </c>
      <c r="B157" s="267">
        <v>1</v>
      </c>
      <c r="C157" s="484" t="s">
        <v>1044</v>
      </c>
      <c r="D157" s="356" t="s">
        <v>1585</v>
      </c>
      <c r="E157" s="120" t="s">
        <v>1373</v>
      </c>
      <c r="F157" s="125" t="s">
        <v>1408</v>
      </c>
      <c r="G157" s="267">
        <v>3.5179999999999998</v>
      </c>
      <c r="H157" s="267">
        <v>3.3730000000000002</v>
      </c>
      <c r="I157" s="32"/>
    </row>
    <row r="158" spans="1:12" ht="105.75" customHeight="1" x14ac:dyDescent="0.25">
      <c r="A158" s="488"/>
      <c r="B158" s="267">
        <v>2</v>
      </c>
      <c r="C158" s="484" t="s">
        <v>1049</v>
      </c>
      <c r="D158" s="356" t="s">
        <v>1585</v>
      </c>
      <c r="E158" s="120" t="s">
        <v>1373</v>
      </c>
      <c r="F158" s="125" t="s">
        <v>1408</v>
      </c>
      <c r="G158" s="267">
        <v>3.5179999999999998</v>
      </c>
      <c r="H158" s="267">
        <v>3.3730000000000002</v>
      </c>
      <c r="I158" s="32"/>
    </row>
    <row r="159" spans="1:12" ht="67.5" customHeight="1" x14ac:dyDescent="0.25">
      <c r="A159" s="488"/>
      <c r="B159" s="267">
        <v>3</v>
      </c>
      <c r="C159" s="484" t="s">
        <v>1078</v>
      </c>
      <c r="D159" s="356" t="s">
        <v>1585</v>
      </c>
      <c r="E159" s="120" t="s">
        <v>1373</v>
      </c>
      <c r="F159" s="125" t="s">
        <v>1408</v>
      </c>
      <c r="G159" s="267">
        <v>3.5179999999999998</v>
      </c>
      <c r="H159" s="267">
        <v>3.3730000000000002</v>
      </c>
      <c r="I159" s="32"/>
    </row>
    <row r="160" spans="1:12" ht="93" customHeight="1" x14ac:dyDescent="0.25">
      <c r="A160" s="488"/>
      <c r="B160" s="267">
        <v>4</v>
      </c>
      <c r="C160" s="484" t="s">
        <v>1528</v>
      </c>
      <c r="D160" s="356" t="s">
        <v>1585</v>
      </c>
      <c r="E160" s="120" t="s">
        <v>1373</v>
      </c>
      <c r="F160" s="125" t="s">
        <v>1417</v>
      </c>
      <c r="G160" s="267">
        <v>3.5179999999999998</v>
      </c>
      <c r="H160" s="267">
        <v>3.3730000000000002</v>
      </c>
      <c r="I160" s="32"/>
    </row>
    <row r="161" spans="1:9" ht="86.25" customHeight="1" x14ac:dyDescent="0.25">
      <c r="A161" s="488"/>
      <c r="B161" s="267">
        <v>5</v>
      </c>
      <c r="C161" s="484" t="s">
        <v>1437</v>
      </c>
      <c r="D161" s="356" t="s">
        <v>1585</v>
      </c>
      <c r="E161" s="120" t="s">
        <v>1373</v>
      </c>
      <c r="F161" s="125" t="s">
        <v>1377</v>
      </c>
      <c r="G161" s="267">
        <v>3.5179999999999998</v>
      </c>
      <c r="H161" s="267">
        <v>3.3730000000000002</v>
      </c>
      <c r="I161" s="32"/>
    </row>
    <row r="162" spans="1:9" ht="30.75" customHeight="1" x14ac:dyDescent="0.25">
      <c r="A162" s="489"/>
      <c r="B162" s="267"/>
      <c r="C162" s="474"/>
      <c r="D162" s="356"/>
      <c r="E162" s="357"/>
      <c r="F162" s="267"/>
      <c r="G162" s="485"/>
      <c r="H162" s="485"/>
      <c r="I162" s="32"/>
    </row>
    <row r="163" spans="1:9" ht="30" x14ac:dyDescent="0.25">
      <c r="A163" s="482" t="s">
        <v>1593</v>
      </c>
      <c r="B163" s="267"/>
      <c r="C163" s="474"/>
      <c r="D163" s="356"/>
      <c r="E163" s="357"/>
      <c r="F163" s="267"/>
      <c r="G163" s="485"/>
      <c r="H163" s="485"/>
      <c r="I163" s="32"/>
    </row>
    <row r="164" spans="1:9" ht="105" customHeight="1" x14ac:dyDescent="0.25">
      <c r="A164" s="2155" t="s">
        <v>1594</v>
      </c>
      <c r="B164" s="267">
        <v>1</v>
      </c>
      <c r="C164" s="484" t="s">
        <v>587</v>
      </c>
      <c r="D164" s="356" t="s">
        <v>1585</v>
      </c>
      <c r="E164" s="120" t="s">
        <v>1373</v>
      </c>
      <c r="F164" s="114" t="s">
        <v>1377</v>
      </c>
      <c r="G164" s="485">
        <v>30</v>
      </c>
      <c r="H164" s="485"/>
      <c r="I164" s="32"/>
    </row>
    <row r="165" spans="1:9" ht="51.75" customHeight="1" x14ac:dyDescent="0.25">
      <c r="A165" s="2156"/>
      <c r="B165" s="267">
        <v>2</v>
      </c>
      <c r="C165" s="480" t="s">
        <v>1392</v>
      </c>
      <c r="D165" s="356" t="s">
        <v>1585</v>
      </c>
      <c r="E165" s="120" t="s">
        <v>1373</v>
      </c>
      <c r="F165" s="114" t="s">
        <v>1377</v>
      </c>
      <c r="G165" s="485">
        <v>35</v>
      </c>
      <c r="H165" s="485"/>
      <c r="I165" s="32"/>
    </row>
    <row r="166" spans="1:9" ht="63" x14ac:dyDescent="0.25">
      <c r="A166" s="2156"/>
      <c r="B166" s="267">
        <v>3</v>
      </c>
      <c r="C166" s="484" t="s">
        <v>1529</v>
      </c>
      <c r="D166" s="356" t="s">
        <v>1585</v>
      </c>
      <c r="E166" s="120" t="s">
        <v>1373</v>
      </c>
      <c r="F166" s="114" t="s">
        <v>1377</v>
      </c>
      <c r="G166" s="485">
        <v>30</v>
      </c>
      <c r="H166" s="485"/>
      <c r="I166" s="32"/>
    </row>
    <row r="167" spans="1:9" ht="63" x14ac:dyDescent="0.25">
      <c r="A167" s="2156"/>
      <c r="B167" s="267">
        <v>4</v>
      </c>
      <c r="C167" s="484" t="s">
        <v>488</v>
      </c>
      <c r="D167" s="356" t="s">
        <v>1583</v>
      </c>
      <c r="E167" s="120" t="s">
        <v>1373</v>
      </c>
      <c r="F167" s="114" t="s">
        <v>1377</v>
      </c>
      <c r="G167" s="485">
        <v>20</v>
      </c>
      <c r="H167" s="485">
        <v>8</v>
      </c>
      <c r="I167" s="32"/>
    </row>
    <row r="168" spans="1:9" ht="75" x14ac:dyDescent="0.25">
      <c r="A168" s="2156"/>
      <c r="B168" s="267">
        <v>5</v>
      </c>
      <c r="C168" s="484" t="s">
        <v>501</v>
      </c>
      <c r="D168" s="356" t="s">
        <v>1583</v>
      </c>
      <c r="E168" s="120" t="s">
        <v>1373</v>
      </c>
      <c r="F168" s="114" t="s">
        <v>1377</v>
      </c>
      <c r="G168" s="485">
        <v>20</v>
      </c>
      <c r="H168" s="485">
        <v>8</v>
      </c>
      <c r="I168" s="32"/>
    </row>
    <row r="169" spans="1:9" ht="63" x14ac:dyDescent="0.25">
      <c r="A169" s="2156"/>
      <c r="B169" s="267">
        <v>6</v>
      </c>
      <c r="C169" s="484" t="s">
        <v>552</v>
      </c>
      <c r="D169" s="356" t="s">
        <v>1583</v>
      </c>
      <c r="E169" s="120" t="s">
        <v>1373</v>
      </c>
      <c r="F169" s="114" t="s">
        <v>1377</v>
      </c>
      <c r="G169" s="485">
        <v>20</v>
      </c>
      <c r="H169" s="485">
        <v>8</v>
      </c>
      <c r="I169" s="32"/>
    </row>
    <row r="170" spans="1:9" ht="63" x14ac:dyDescent="0.25">
      <c r="A170" s="2156"/>
      <c r="B170" s="267">
        <v>7</v>
      </c>
      <c r="C170" s="484" t="s">
        <v>505</v>
      </c>
      <c r="D170" s="356" t="s">
        <v>1607</v>
      </c>
      <c r="E170" s="120" t="s">
        <v>1373</v>
      </c>
      <c r="F170" s="114" t="s">
        <v>1377</v>
      </c>
      <c r="G170" s="485">
        <v>8</v>
      </c>
      <c r="H170" s="485">
        <v>1</v>
      </c>
      <c r="I170" s="32"/>
    </row>
    <row r="171" spans="1:9" ht="90" x14ac:dyDescent="0.25">
      <c r="A171" s="2156"/>
      <c r="B171" s="267">
        <v>8</v>
      </c>
      <c r="C171" s="484" t="s">
        <v>580</v>
      </c>
      <c r="D171" s="356" t="s">
        <v>1620</v>
      </c>
      <c r="E171" s="120" t="s">
        <v>1373</v>
      </c>
      <c r="F171" s="114" t="s">
        <v>1377</v>
      </c>
      <c r="G171" s="485"/>
      <c r="H171" s="485">
        <v>32</v>
      </c>
      <c r="I171" s="32"/>
    </row>
    <row r="172" spans="1:9" ht="63" x14ac:dyDescent="0.25">
      <c r="A172" s="2156"/>
      <c r="B172" s="267">
        <v>9</v>
      </c>
      <c r="C172" s="484" t="s">
        <v>1558</v>
      </c>
      <c r="D172" s="356" t="s">
        <v>1585</v>
      </c>
      <c r="E172" s="120" t="s">
        <v>1373</v>
      </c>
      <c r="F172" s="114" t="s">
        <v>1377</v>
      </c>
      <c r="G172" s="485">
        <v>5</v>
      </c>
      <c r="H172" s="485"/>
      <c r="I172" s="32"/>
    </row>
    <row r="173" spans="1:9" ht="63" x14ac:dyDescent="0.25">
      <c r="A173" s="2156"/>
      <c r="B173" s="267">
        <v>10</v>
      </c>
      <c r="C173" s="484" t="s">
        <v>1557</v>
      </c>
      <c r="D173" s="356" t="s">
        <v>1584</v>
      </c>
      <c r="E173" s="120" t="s">
        <v>1373</v>
      </c>
      <c r="F173" s="114" t="s">
        <v>1377</v>
      </c>
      <c r="G173" s="485">
        <v>5</v>
      </c>
      <c r="H173" s="485">
        <v>3</v>
      </c>
      <c r="I173" s="32"/>
    </row>
    <row r="174" spans="1:9" ht="63" x14ac:dyDescent="0.25">
      <c r="A174" s="2156"/>
      <c r="B174" s="267">
        <v>11</v>
      </c>
      <c r="C174" s="484" t="s">
        <v>1505</v>
      </c>
      <c r="D174" s="356" t="s">
        <v>1585</v>
      </c>
      <c r="E174" s="120" t="s">
        <v>1373</v>
      </c>
      <c r="F174" s="114" t="s">
        <v>1377</v>
      </c>
      <c r="G174" s="485">
        <v>50</v>
      </c>
      <c r="H174" s="485"/>
      <c r="I174" s="32"/>
    </row>
    <row r="175" spans="1:9" ht="90" x14ac:dyDescent="0.25">
      <c r="A175" s="2156"/>
      <c r="B175" s="267">
        <v>12</v>
      </c>
      <c r="C175" s="484" t="s">
        <v>1512</v>
      </c>
      <c r="D175" s="356" t="s">
        <v>1620</v>
      </c>
      <c r="E175" s="120" t="s">
        <v>1373</v>
      </c>
      <c r="F175" s="114" t="s">
        <v>1377</v>
      </c>
      <c r="G175" s="485"/>
      <c r="H175" s="485">
        <v>32</v>
      </c>
      <c r="I175" s="32"/>
    </row>
    <row r="176" spans="1:9" ht="90" x14ac:dyDescent="0.25">
      <c r="A176" s="2157"/>
      <c r="B176" s="267">
        <v>13</v>
      </c>
      <c r="C176" s="484" t="s">
        <v>559</v>
      </c>
      <c r="D176" s="356" t="s">
        <v>1584</v>
      </c>
      <c r="E176" s="120" t="s">
        <v>1373</v>
      </c>
      <c r="F176" s="114" t="s">
        <v>1377</v>
      </c>
      <c r="G176" s="485">
        <v>5</v>
      </c>
      <c r="H176" s="485">
        <v>3</v>
      </c>
      <c r="I176" s="32"/>
    </row>
    <row r="177" spans="1:9" x14ac:dyDescent="0.25">
      <c r="A177" s="486"/>
      <c r="B177" s="267"/>
      <c r="C177" s="484"/>
      <c r="D177" s="356"/>
      <c r="E177" s="357"/>
      <c r="F177" s="267"/>
      <c r="G177" s="485"/>
      <c r="H177" s="485"/>
      <c r="I177" s="32"/>
    </row>
    <row r="178" spans="1:9" ht="105" x14ac:dyDescent="0.25">
      <c r="A178" s="479" t="s">
        <v>1595</v>
      </c>
      <c r="B178" s="267">
        <v>1</v>
      </c>
      <c r="C178" s="484" t="s">
        <v>1499</v>
      </c>
      <c r="D178" s="356" t="s">
        <v>1585</v>
      </c>
      <c r="E178" s="357" t="s">
        <v>1373</v>
      </c>
      <c r="F178" s="125" t="s">
        <v>1468</v>
      </c>
      <c r="G178" s="267">
        <v>3.5179999999999998</v>
      </c>
      <c r="H178" s="267">
        <v>3.3730000000000002</v>
      </c>
      <c r="I178" s="32"/>
    </row>
    <row r="179" spans="1:9" ht="90" x14ac:dyDescent="0.25">
      <c r="A179" s="488"/>
      <c r="B179" s="267">
        <v>2</v>
      </c>
      <c r="C179" s="484" t="s">
        <v>1500</v>
      </c>
      <c r="D179" s="356" t="s">
        <v>1585</v>
      </c>
      <c r="E179" s="357" t="s">
        <v>1373</v>
      </c>
      <c r="F179" s="125" t="s">
        <v>1468</v>
      </c>
      <c r="G179" s="267">
        <v>3.5179999999999998</v>
      </c>
      <c r="H179" s="267">
        <v>3.3730000000000002</v>
      </c>
      <c r="I179" s="32"/>
    </row>
    <row r="180" spans="1:9" ht="45" x14ac:dyDescent="0.25">
      <c r="A180" s="488"/>
      <c r="B180" s="267">
        <v>3</v>
      </c>
      <c r="C180" s="484" t="s">
        <v>981</v>
      </c>
      <c r="D180" s="356" t="s">
        <v>1585</v>
      </c>
      <c r="E180" s="357" t="s">
        <v>1373</v>
      </c>
      <c r="F180" s="125" t="s">
        <v>1468</v>
      </c>
      <c r="G180" s="267">
        <v>3.5179999999999998</v>
      </c>
      <c r="H180" s="267">
        <v>3.3730000000000002</v>
      </c>
      <c r="I180" s="32"/>
    </row>
    <row r="181" spans="1:9" ht="60" x14ac:dyDescent="0.25">
      <c r="A181" s="488"/>
      <c r="B181" s="267">
        <v>4</v>
      </c>
      <c r="C181" s="484" t="s">
        <v>982</v>
      </c>
      <c r="D181" s="356" t="s">
        <v>1585</v>
      </c>
      <c r="E181" s="357" t="s">
        <v>1373</v>
      </c>
      <c r="F181" s="125" t="s">
        <v>1468</v>
      </c>
      <c r="G181" s="267">
        <v>3.5179999999999998</v>
      </c>
      <c r="H181" s="267">
        <v>3.3730000000000002</v>
      </c>
      <c r="I181" s="32"/>
    </row>
    <row r="182" spans="1:9" ht="60" x14ac:dyDescent="0.25">
      <c r="A182" s="488"/>
      <c r="B182" s="267">
        <v>5</v>
      </c>
      <c r="C182" s="484" t="s">
        <v>983</v>
      </c>
      <c r="D182" s="356" t="s">
        <v>1585</v>
      </c>
      <c r="E182" s="357" t="s">
        <v>1373</v>
      </c>
      <c r="F182" s="125" t="s">
        <v>1468</v>
      </c>
      <c r="G182" s="267">
        <v>3.5179999999999998</v>
      </c>
      <c r="H182" s="267">
        <v>3.3730000000000002</v>
      </c>
      <c r="I182" s="32"/>
    </row>
    <row r="183" spans="1:9" ht="45" x14ac:dyDescent="0.25">
      <c r="A183" s="488"/>
      <c r="B183" s="267">
        <v>6</v>
      </c>
      <c r="C183" s="484" t="s">
        <v>985</v>
      </c>
      <c r="D183" s="356" t="s">
        <v>1585</v>
      </c>
      <c r="E183" s="357" t="s">
        <v>1373</v>
      </c>
      <c r="F183" s="125" t="s">
        <v>1468</v>
      </c>
      <c r="G183" s="267">
        <v>3.5179999999999998</v>
      </c>
      <c r="H183" s="267">
        <v>3.3730000000000002</v>
      </c>
      <c r="I183" s="32"/>
    </row>
    <row r="184" spans="1:9" ht="45" x14ac:dyDescent="0.25">
      <c r="A184" s="488"/>
      <c r="B184" s="267">
        <v>7</v>
      </c>
      <c r="C184" s="484" t="s">
        <v>986</v>
      </c>
      <c r="D184" s="356" t="s">
        <v>1585</v>
      </c>
      <c r="E184" s="357" t="s">
        <v>1373</v>
      </c>
      <c r="F184" s="125" t="s">
        <v>1468</v>
      </c>
      <c r="G184" s="267">
        <v>3.5179999999999998</v>
      </c>
      <c r="H184" s="267">
        <v>3.3730000000000002</v>
      </c>
      <c r="I184" s="32"/>
    </row>
    <row r="185" spans="1:9" ht="45" x14ac:dyDescent="0.25">
      <c r="A185" s="488"/>
      <c r="B185" s="267">
        <v>8</v>
      </c>
      <c r="C185" s="484" t="s">
        <v>987</v>
      </c>
      <c r="D185" s="356" t="s">
        <v>1585</v>
      </c>
      <c r="E185" s="357" t="s">
        <v>1373</v>
      </c>
      <c r="F185" s="125" t="s">
        <v>1468</v>
      </c>
      <c r="G185" s="267">
        <v>3.5179999999999998</v>
      </c>
      <c r="H185" s="267">
        <v>3.3730000000000002</v>
      </c>
      <c r="I185" s="32"/>
    </row>
    <row r="186" spans="1:9" x14ac:dyDescent="0.25">
      <c r="A186" s="489"/>
      <c r="B186" s="267"/>
      <c r="C186" s="484"/>
      <c r="D186" s="356"/>
      <c r="E186" s="357"/>
      <c r="F186" s="267"/>
      <c r="G186" s="485"/>
      <c r="H186" s="485"/>
      <c r="I186" s="32"/>
    </row>
    <row r="187" spans="1:9" ht="63" x14ac:dyDescent="0.25">
      <c r="A187" s="479" t="s">
        <v>1596</v>
      </c>
      <c r="B187" s="267">
        <v>1</v>
      </c>
      <c r="C187" s="484" t="s">
        <v>8</v>
      </c>
      <c r="D187" s="356" t="s">
        <v>1587</v>
      </c>
      <c r="E187" s="120" t="s">
        <v>1373</v>
      </c>
      <c r="F187" s="125" t="s">
        <v>1374</v>
      </c>
      <c r="G187" s="114">
        <v>1</v>
      </c>
      <c r="H187" s="114"/>
      <c r="I187" s="114"/>
    </row>
    <row r="188" spans="1:9" ht="63" x14ac:dyDescent="0.25">
      <c r="A188" s="488"/>
      <c r="B188" s="267">
        <v>2</v>
      </c>
      <c r="C188" s="484" t="s">
        <v>37</v>
      </c>
      <c r="D188" s="356" t="s">
        <v>1587</v>
      </c>
      <c r="E188" s="120" t="s">
        <v>1373</v>
      </c>
      <c r="F188" s="125" t="s">
        <v>1374</v>
      </c>
      <c r="G188" s="114">
        <v>12</v>
      </c>
      <c r="H188" s="114">
        <v>3</v>
      </c>
      <c r="I188" s="114"/>
    </row>
    <row r="189" spans="1:9" ht="75" x14ac:dyDescent="0.25">
      <c r="A189" s="488"/>
      <c r="B189" s="267">
        <v>3</v>
      </c>
      <c r="C189" s="484" t="s">
        <v>61</v>
      </c>
      <c r="D189" s="356" t="s">
        <v>1587</v>
      </c>
      <c r="E189" s="120" t="s">
        <v>1373</v>
      </c>
      <c r="F189" s="125" t="s">
        <v>1374</v>
      </c>
      <c r="G189" s="114">
        <v>13</v>
      </c>
      <c r="H189" s="114">
        <v>3</v>
      </c>
      <c r="I189" s="114"/>
    </row>
    <row r="190" spans="1:9" ht="63" x14ac:dyDescent="0.25">
      <c r="A190" s="488"/>
      <c r="B190" s="267">
        <v>4</v>
      </c>
      <c r="C190" s="484" t="s">
        <v>84</v>
      </c>
      <c r="D190" s="356" t="s">
        <v>1587</v>
      </c>
      <c r="E190" s="120" t="s">
        <v>1373</v>
      </c>
      <c r="F190" s="125" t="s">
        <v>1374</v>
      </c>
      <c r="G190" s="114">
        <v>3.5179999999999998</v>
      </c>
      <c r="H190" s="114">
        <v>3.3730000000000002</v>
      </c>
      <c r="I190" s="114"/>
    </row>
    <row r="191" spans="1:9" ht="75" x14ac:dyDescent="0.25">
      <c r="A191" s="488"/>
      <c r="B191" s="267">
        <v>5</v>
      </c>
      <c r="C191" s="484" t="s">
        <v>522</v>
      </c>
      <c r="D191" s="356" t="s">
        <v>1587</v>
      </c>
      <c r="E191" s="120" t="s">
        <v>1373</v>
      </c>
      <c r="F191" s="125" t="s">
        <v>1374</v>
      </c>
      <c r="G191" s="114">
        <v>20</v>
      </c>
      <c r="H191" s="114">
        <v>9</v>
      </c>
      <c r="I191" s="114"/>
    </row>
    <row r="192" spans="1:9" ht="63" x14ac:dyDescent="0.25">
      <c r="A192" s="488"/>
      <c r="B192" s="267">
        <v>6</v>
      </c>
      <c r="C192" s="484" t="s">
        <v>278</v>
      </c>
      <c r="D192" s="356" t="s">
        <v>1607</v>
      </c>
      <c r="E192" s="120" t="s">
        <v>1373</v>
      </c>
      <c r="F192" s="125" t="s">
        <v>1374</v>
      </c>
      <c r="G192" s="114">
        <v>8</v>
      </c>
      <c r="H192" s="114">
        <v>1</v>
      </c>
      <c r="I192" s="114"/>
    </row>
    <row r="193" spans="1:9" ht="63" x14ac:dyDescent="0.25">
      <c r="A193" s="488"/>
      <c r="B193" s="267">
        <v>7</v>
      </c>
      <c r="C193" s="484" t="s">
        <v>299</v>
      </c>
      <c r="D193" s="356" t="s">
        <v>1607</v>
      </c>
      <c r="E193" s="120" t="s">
        <v>1373</v>
      </c>
      <c r="F193" s="125" t="s">
        <v>1408</v>
      </c>
      <c r="G193" s="114">
        <v>8</v>
      </c>
      <c r="H193" s="114">
        <v>1</v>
      </c>
      <c r="I193" s="114"/>
    </row>
    <row r="194" spans="1:9" ht="63" x14ac:dyDescent="0.25">
      <c r="A194" s="488"/>
      <c r="B194" s="267">
        <v>8</v>
      </c>
      <c r="C194" s="484" t="s">
        <v>322</v>
      </c>
      <c r="D194" s="356" t="s">
        <v>1607</v>
      </c>
      <c r="E194" s="120" t="s">
        <v>1373</v>
      </c>
      <c r="F194" s="125" t="s">
        <v>1410</v>
      </c>
      <c r="G194" s="114">
        <v>3.5179999999999998</v>
      </c>
      <c r="H194" s="114">
        <v>3.3730000000000002</v>
      </c>
      <c r="I194" s="114"/>
    </row>
    <row r="195" spans="1:9" ht="63" x14ac:dyDescent="0.25">
      <c r="A195" s="488"/>
      <c r="B195" s="267">
        <v>9</v>
      </c>
      <c r="C195" s="484" t="s">
        <v>337</v>
      </c>
      <c r="D195" s="356" t="s">
        <v>1587</v>
      </c>
      <c r="E195" s="120" t="s">
        <v>1373</v>
      </c>
      <c r="F195" s="125" t="s">
        <v>1412</v>
      </c>
      <c r="G195" s="114">
        <v>9</v>
      </c>
      <c r="H195" s="114">
        <v>4</v>
      </c>
      <c r="I195" s="114"/>
    </row>
    <row r="196" spans="1:9" ht="59.25" customHeight="1" x14ac:dyDescent="0.25">
      <c r="A196" s="483"/>
      <c r="B196" s="267">
        <v>10</v>
      </c>
      <c r="C196" s="480" t="s">
        <v>1627</v>
      </c>
      <c r="D196" s="356" t="s">
        <v>1583</v>
      </c>
      <c r="E196" s="120" t="s">
        <v>1373</v>
      </c>
      <c r="F196" s="125" t="s">
        <v>1414</v>
      </c>
      <c r="G196" s="114">
        <v>3.5179999999999998</v>
      </c>
      <c r="H196" s="114">
        <v>3.3730000000000002</v>
      </c>
      <c r="I196" s="114"/>
    </row>
    <row r="197" spans="1:9" ht="63" x14ac:dyDescent="0.25">
      <c r="A197" s="488"/>
      <c r="B197" s="267">
        <v>11</v>
      </c>
      <c r="C197" s="484" t="s">
        <v>529</v>
      </c>
      <c r="D197" s="356" t="s">
        <v>1587</v>
      </c>
      <c r="E197" s="120" t="s">
        <v>1373</v>
      </c>
      <c r="F197" s="125" t="s">
        <v>1374</v>
      </c>
      <c r="G197" s="114">
        <v>3.5179999999999998</v>
      </c>
      <c r="H197" s="114">
        <v>3.3730000000000002</v>
      </c>
      <c r="I197" s="114"/>
    </row>
    <row r="198" spans="1:9" ht="63" x14ac:dyDescent="0.25">
      <c r="A198" s="488"/>
      <c r="B198" s="267">
        <v>12</v>
      </c>
      <c r="C198" s="484" t="s">
        <v>542</v>
      </c>
      <c r="D198" s="356" t="s">
        <v>1587</v>
      </c>
      <c r="E198" s="120" t="s">
        <v>1373</v>
      </c>
      <c r="F198" s="125" t="s">
        <v>1374</v>
      </c>
      <c r="G198" s="114">
        <v>20</v>
      </c>
      <c r="H198" s="114">
        <v>8</v>
      </c>
      <c r="I198" s="114"/>
    </row>
    <row r="199" spans="1:9" ht="63" x14ac:dyDescent="0.25">
      <c r="A199" s="488"/>
      <c r="B199" s="267">
        <v>13</v>
      </c>
      <c r="C199" s="484" t="s">
        <v>603</v>
      </c>
      <c r="D199" s="356" t="s">
        <v>1585</v>
      </c>
      <c r="E199" s="120" t="s">
        <v>1373</v>
      </c>
      <c r="F199" s="125" t="s">
        <v>1374</v>
      </c>
      <c r="G199" s="114">
        <v>1</v>
      </c>
      <c r="H199" s="114"/>
      <c r="I199" s="114"/>
    </row>
    <row r="200" spans="1:9" ht="63" x14ac:dyDescent="0.25">
      <c r="A200" s="488"/>
      <c r="B200" s="267">
        <v>14</v>
      </c>
      <c r="C200" s="484" t="s">
        <v>463</v>
      </c>
      <c r="D200" s="356" t="s">
        <v>1587</v>
      </c>
      <c r="E200" s="120" t="s">
        <v>1373</v>
      </c>
      <c r="F200" s="125" t="s">
        <v>1414</v>
      </c>
      <c r="G200" s="114">
        <v>20</v>
      </c>
      <c r="H200" s="114">
        <v>8</v>
      </c>
      <c r="I200" s="114"/>
    </row>
    <row r="201" spans="1:9" ht="63" x14ac:dyDescent="0.25">
      <c r="A201" s="488"/>
      <c r="B201" s="267">
        <v>15</v>
      </c>
      <c r="C201" s="484" t="s">
        <v>609</v>
      </c>
      <c r="D201" s="356" t="s">
        <v>1587</v>
      </c>
      <c r="E201" s="120" t="s">
        <v>1373</v>
      </c>
      <c r="F201" s="125" t="s">
        <v>1417</v>
      </c>
      <c r="G201" s="114">
        <v>3.5179999999999998</v>
      </c>
      <c r="H201" s="114">
        <v>3.3730000000000002</v>
      </c>
      <c r="I201" s="114"/>
    </row>
    <row r="202" spans="1:9" ht="63" x14ac:dyDescent="0.25">
      <c r="A202" s="488"/>
      <c r="B202" s="267">
        <v>16</v>
      </c>
      <c r="C202" s="484" t="s">
        <v>616</v>
      </c>
      <c r="D202" s="356" t="s">
        <v>1587</v>
      </c>
      <c r="E202" s="120" t="s">
        <v>1373</v>
      </c>
      <c r="F202" s="125" t="s">
        <v>1417</v>
      </c>
      <c r="G202" s="114">
        <v>3.5179999999999998</v>
      </c>
      <c r="H202" s="114">
        <v>3.3730000000000002</v>
      </c>
      <c r="I202" s="114"/>
    </row>
    <row r="203" spans="1:9" ht="63" x14ac:dyDescent="0.25">
      <c r="A203" s="488"/>
      <c r="B203" s="267">
        <v>17</v>
      </c>
      <c r="C203" s="484" t="s">
        <v>617</v>
      </c>
      <c r="D203" s="356" t="s">
        <v>1607</v>
      </c>
      <c r="E203" s="120" t="s">
        <v>1373</v>
      </c>
      <c r="F203" s="125" t="s">
        <v>1417</v>
      </c>
      <c r="G203" s="114">
        <v>3.5179999999999998</v>
      </c>
      <c r="H203" s="114">
        <v>3.3730000000000002</v>
      </c>
      <c r="I203" s="114"/>
    </row>
    <row r="204" spans="1:9" ht="63" x14ac:dyDescent="0.25">
      <c r="A204" s="488"/>
      <c r="B204" s="267">
        <v>18</v>
      </c>
      <c r="C204" s="484" t="s">
        <v>618</v>
      </c>
      <c r="D204" s="356" t="s">
        <v>1587</v>
      </c>
      <c r="E204" s="120" t="s">
        <v>1373</v>
      </c>
      <c r="F204" s="125" t="s">
        <v>1417</v>
      </c>
      <c r="G204" s="114">
        <v>3.5179999999999998</v>
      </c>
      <c r="H204" s="114">
        <v>3.3730000000000002</v>
      </c>
      <c r="I204" s="114"/>
    </row>
    <row r="205" spans="1:9" ht="63" x14ac:dyDescent="0.25">
      <c r="A205" s="488"/>
      <c r="B205" s="267">
        <v>19</v>
      </c>
      <c r="C205" s="484" t="s">
        <v>619</v>
      </c>
      <c r="D205" s="356" t="s">
        <v>1587</v>
      </c>
      <c r="E205" s="120" t="s">
        <v>1373</v>
      </c>
      <c r="F205" s="125" t="s">
        <v>1417</v>
      </c>
      <c r="G205" s="114">
        <v>3.5179999999999998</v>
      </c>
      <c r="H205" s="114">
        <v>3.3730000000000002</v>
      </c>
      <c r="I205" s="114"/>
    </row>
    <row r="206" spans="1:9" ht="75" x14ac:dyDescent="0.25">
      <c r="A206" s="488"/>
      <c r="B206" s="267">
        <v>20</v>
      </c>
      <c r="C206" s="484" t="s">
        <v>369</v>
      </c>
      <c r="D206" s="356" t="s">
        <v>1585</v>
      </c>
      <c r="E206" s="120" t="s">
        <v>1373</v>
      </c>
      <c r="F206" s="125" t="s">
        <v>1417</v>
      </c>
      <c r="G206" s="114">
        <v>3.5179999999999998</v>
      </c>
      <c r="H206" s="114">
        <v>3.3730000000000002</v>
      </c>
      <c r="I206" s="114"/>
    </row>
    <row r="207" spans="1:9" ht="75" x14ac:dyDescent="0.25">
      <c r="A207" s="488"/>
      <c r="B207" s="267">
        <v>21</v>
      </c>
      <c r="C207" s="484" t="s">
        <v>1452</v>
      </c>
      <c r="D207" s="356" t="s">
        <v>1585</v>
      </c>
      <c r="E207" s="120" t="s">
        <v>1373</v>
      </c>
      <c r="F207" s="125" t="s">
        <v>1417</v>
      </c>
      <c r="G207" s="114">
        <v>3.5179999999999998</v>
      </c>
      <c r="H207" s="114">
        <v>3.3730000000000002</v>
      </c>
      <c r="I207" s="114"/>
    </row>
    <row r="208" spans="1:9" ht="75" x14ac:dyDescent="0.25">
      <c r="A208" s="488"/>
      <c r="B208" s="267">
        <v>22</v>
      </c>
      <c r="C208" s="484" t="s">
        <v>1513</v>
      </c>
      <c r="D208" s="356" t="s">
        <v>1587</v>
      </c>
      <c r="E208" s="120" t="s">
        <v>1373</v>
      </c>
      <c r="F208" s="125" t="s">
        <v>1417</v>
      </c>
      <c r="G208" s="114">
        <v>20</v>
      </c>
      <c r="H208" s="114">
        <v>8</v>
      </c>
      <c r="I208" s="119"/>
    </row>
    <row r="209" spans="1:9" ht="106.5" customHeight="1" x14ac:dyDescent="0.25">
      <c r="A209" s="488"/>
      <c r="B209" s="267">
        <v>23</v>
      </c>
      <c r="C209" s="484" t="s">
        <v>349</v>
      </c>
      <c r="D209" s="356" t="s">
        <v>1585</v>
      </c>
      <c r="E209" s="120" t="s">
        <v>1373</v>
      </c>
      <c r="F209" s="125" t="s">
        <v>1421</v>
      </c>
      <c r="G209" s="114">
        <v>3.5179999999999998</v>
      </c>
      <c r="H209" s="114">
        <v>3.3730000000000002</v>
      </c>
      <c r="I209" s="356"/>
    </row>
    <row r="210" spans="1:9" ht="63" x14ac:dyDescent="0.25">
      <c r="A210" s="488"/>
      <c r="B210" s="267">
        <v>24</v>
      </c>
      <c r="C210" s="484" t="s">
        <v>403</v>
      </c>
      <c r="D210" s="356" t="s">
        <v>1587</v>
      </c>
      <c r="E210" s="120" t="s">
        <v>1373</v>
      </c>
      <c r="F210" s="125" t="s">
        <v>1377</v>
      </c>
      <c r="G210" s="114">
        <v>3.5179999999999998</v>
      </c>
      <c r="H210" s="114">
        <v>3.3730000000000002</v>
      </c>
      <c r="I210" s="356"/>
    </row>
    <row r="211" spans="1:9" ht="105" x14ac:dyDescent="0.25">
      <c r="A211" s="488"/>
      <c r="B211" s="267">
        <v>25</v>
      </c>
      <c r="C211" s="484" t="s">
        <v>422</v>
      </c>
      <c r="D211" s="356" t="s">
        <v>1587</v>
      </c>
      <c r="E211" s="120" t="s">
        <v>1373</v>
      </c>
      <c r="F211" s="125" t="s">
        <v>1422</v>
      </c>
      <c r="G211" s="114">
        <v>3.5179999999999998</v>
      </c>
      <c r="H211" s="114">
        <v>3.3730000000000002</v>
      </c>
      <c r="I211" s="356"/>
    </row>
    <row r="212" spans="1:9" ht="63" x14ac:dyDescent="0.25">
      <c r="A212" s="488"/>
      <c r="B212" s="267">
        <v>26</v>
      </c>
      <c r="C212" s="484" t="s">
        <v>427</v>
      </c>
      <c r="D212" s="356" t="s">
        <v>1587</v>
      </c>
      <c r="E212" s="120" t="s">
        <v>1373</v>
      </c>
      <c r="F212" s="125" t="s">
        <v>1423</v>
      </c>
      <c r="G212" s="114">
        <v>3.5179999999999998</v>
      </c>
      <c r="H212" s="114">
        <v>3.3730000000000002</v>
      </c>
      <c r="I212" s="356"/>
    </row>
    <row r="213" spans="1:9" ht="63" x14ac:dyDescent="0.25">
      <c r="A213" s="488"/>
      <c r="B213" s="267">
        <v>27</v>
      </c>
      <c r="C213" s="484" t="s">
        <v>634</v>
      </c>
      <c r="D213" s="356" t="s">
        <v>1587</v>
      </c>
      <c r="E213" s="120" t="s">
        <v>1373</v>
      </c>
      <c r="F213" s="125" t="s">
        <v>1377</v>
      </c>
      <c r="G213" s="114">
        <v>3.5179999999999998</v>
      </c>
      <c r="H213" s="114">
        <v>3.3730000000000002</v>
      </c>
      <c r="I213" s="356"/>
    </row>
    <row r="214" spans="1:9" ht="63" x14ac:dyDescent="0.25">
      <c r="A214" s="488"/>
      <c r="B214" s="267">
        <v>28</v>
      </c>
      <c r="C214" s="484" t="s">
        <v>452</v>
      </c>
      <c r="D214" s="356" t="s">
        <v>1587</v>
      </c>
      <c r="E214" s="120" t="s">
        <v>1373</v>
      </c>
      <c r="F214" s="125" t="s">
        <v>1377</v>
      </c>
      <c r="G214" s="114">
        <v>3.5179999999999998</v>
      </c>
      <c r="H214" s="114">
        <v>3.3730000000000002</v>
      </c>
      <c r="I214" s="356"/>
    </row>
    <row r="215" spans="1:9" ht="63" x14ac:dyDescent="0.25">
      <c r="A215" s="488"/>
      <c r="B215" s="267">
        <v>29</v>
      </c>
      <c r="C215" s="484" t="s">
        <v>454</v>
      </c>
      <c r="D215" s="356" t="s">
        <v>1587</v>
      </c>
      <c r="E215" s="120" t="s">
        <v>1373</v>
      </c>
      <c r="F215" s="125" t="s">
        <v>1377</v>
      </c>
      <c r="G215" s="114">
        <v>3.5179999999999998</v>
      </c>
      <c r="H215" s="114">
        <v>3.3730000000000002</v>
      </c>
      <c r="I215" s="356"/>
    </row>
    <row r="216" spans="1:9" ht="63" x14ac:dyDescent="0.25">
      <c r="A216" s="488"/>
      <c r="B216" s="267">
        <v>30</v>
      </c>
      <c r="C216" s="484" t="s">
        <v>456</v>
      </c>
      <c r="D216" s="356" t="s">
        <v>1587</v>
      </c>
      <c r="E216" s="120" t="s">
        <v>1373</v>
      </c>
      <c r="F216" s="125" t="s">
        <v>1377</v>
      </c>
      <c r="G216" s="114">
        <v>3.5179999999999998</v>
      </c>
      <c r="H216" s="114">
        <v>3.3730000000000002</v>
      </c>
      <c r="I216" s="356"/>
    </row>
    <row r="217" spans="1:9" ht="90" x14ac:dyDescent="0.25">
      <c r="A217" s="488"/>
      <c r="B217" s="267">
        <v>31</v>
      </c>
      <c r="C217" s="484" t="s">
        <v>437</v>
      </c>
      <c r="D217" s="356" t="s">
        <v>1587</v>
      </c>
      <c r="E217" s="120" t="s">
        <v>1373</v>
      </c>
      <c r="F217" s="128" t="s">
        <v>1377</v>
      </c>
      <c r="G217" s="114">
        <v>3.5179999999999998</v>
      </c>
      <c r="H217" s="114">
        <v>3.3730000000000002</v>
      </c>
      <c r="I217" s="472"/>
    </row>
    <row r="218" spans="1:9" ht="120" x14ac:dyDescent="0.25">
      <c r="A218" s="488"/>
      <c r="B218" s="267">
        <v>32</v>
      </c>
      <c r="C218" s="484" t="s">
        <v>1091</v>
      </c>
      <c r="D218" s="356" t="s">
        <v>1585</v>
      </c>
      <c r="E218" s="120" t="s">
        <v>1373</v>
      </c>
      <c r="F218" s="125" t="s">
        <v>1377</v>
      </c>
      <c r="G218" s="267">
        <v>3.5179999999999998</v>
      </c>
      <c r="H218" s="267">
        <v>3.3730000000000002</v>
      </c>
      <c r="I218" s="32"/>
    </row>
    <row r="219" spans="1:9" ht="120" x14ac:dyDescent="0.25">
      <c r="A219" s="488"/>
      <c r="B219" s="267">
        <v>33</v>
      </c>
      <c r="C219" s="484" t="s">
        <v>1099</v>
      </c>
      <c r="D219" s="356" t="s">
        <v>1585</v>
      </c>
      <c r="E219" s="120" t="s">
        <v>1373</v>
      </c>
      <c r="F219" s="125" t="s">
        <v>1377</v>
      </c>
      <c r="G219" s="267">
        <v>3.5179999999999998</v>
      </c>
      <c r="H219" s="267">
        <v>3.3730000000000002</v>
      </c>
      <c r="I219" s="32"/>
    </row>
    <row r="220" spans="1:9" ht="123.75" customHeight="1" x14ac:dyDescent="0.25">
      <c r="A220" s="488"/>
      <c r="B220" s="267">
        <v>34</v>
      </c>
      <c r="C220" s="484" t="s">
        <v>1103</v>
      </c>
      <c r="D220" s="356" t="s">
        <v>1619</v>
      </c>
      <c r="E220" s="120" t="s">
        <v>1373</v>
      </c>
      <c r="F220" s="125" t="s">
        <v>1377</v>
      </c>
      <c r="G220" s="267">
        <v>35</v>
      </c>
      <c r="H220" s="267"/>
      <c r="I220" s="32"/>
    </row>
    <row r="221" spans="1:9" ht="105" x14ac:dyDescent="0.25">
      <c r="A221" s="488"/>
      <c r="B221" s="267">
        <v>35</v>
      </c>
      <c r="C221" s="484" t="s">
        <v>1106</v>
      </c>
      <c r="D221" s="356" t="s">
        <v>1619</v>
      </c>
      <c r="E221" s="120" t="s">
        <v>1373</v>
      </c>
      <c r="F221" s="125" t="s">
        <v>1408</v>
      </c>
      <c r="G221" s="267">
        <v>35</v>
      </c>
      <c r="H221" s="267"/>
      <c r="I221" s="32"/>
    </row>
    <row r="222" spans="1:9" ht="63" x14ac:dyDescent="0.25">
      <c r="A222" s="488"/>
      <c r="B222" s="267">
        <v>36</v>
      </c>
      <c r="C222" s="484" t="s">
        <v>1119</v>
      </c>
      <c r="D222" s="356" t="s">
        <v>1620</v>
      </c>
      <c r="E222" s="120" t="s">
        <v>1373</v>
      </c>
      <c r="F222" s="125" t="s">
        <v>1377</v>
      </c>
      <c r="G222" s="267"/>
      <c r="H222" s="267">
        <v>29</v>
      </c>
      <c r="I222" s="32"/>
    </row>
    <row r="223" spans="1:9" ht="75" x14ac:dyDescent="0.25">
      <c r="A223" s="488"/>
      <c r="B223" s="267">
        <v>37</v>
      </c>
      <c r="C223" s="484" t="s">
        <v>1248</v>
      </c>
      <c r="D223" s="356" t="s">
        <v>1587</v>
      </c>
      <c r="E223" s="120" t="s">
        <v>1373</v>
      </c>
      <c r="F223" s="125" t="s">
        <v>1377</v>
      </c>
      <c r="G223" s="267">
        <v>20</v>
      </c>
      <c r="H223" s="267">
        <v>8</v>
      </c>
      <c r="I223" s="32"/>
    </row>
    <row r="224" spans="1:9" ht="63" x14ac:dyDescent="0.25">
      <c r="A224" s="488"/>
      <c r="B224" s="267">
        <v>38</v>
      </c>
      <c r="C224" s="484" t="s">
        <v>1139</v>
      </c>
      <c r="D224" s="356" t="s">
        <v>1587</v>
      </c>
      <c r="E224" s="120" t="s">
        <v>1373</v>
      </c>
      <c r="F224" s="125" t="s">
        <v>1377</v>
      </c>
      <c r="G224" s="267">
        <v>20</v>
      </c>
      <c r="H224" s="267">
        <v>8</v>
      </c>
      <c r="I224" s="32"/>
    </row>
    <row r="225" spans="1:9" ht="63" x14ac:dyDescent="0.25">
      <c r="A225" s="488"/>
      <c r="B225" s="267">
        <v>39</v>
      </c>
      <c r="C225" s="484" t="s">
        <v>1152</v>
      </c>
      <c r="D225" s="356" t="s">
        <v>1587</v>
      </c>
      <c r="E225" s="120" t="s">
        <v>1373</v>
      </c>
      <c r="F225" s="125" t="s">
        <v>1377</v>
      </c>
      <c r="G225" s="267">
        <v>20</v>
      </c>
      <c r="H225" s="267">
        <v>8</v>
      </c>
      <c r="I225" s="32"/>
    </row>
    <row r="226" spans="1:9" ht="63" x14ac:dyDescent="0.25">
      <c r="A226" s="488"/>
      <c r="B226" s="267">
        <v>40</v>
      </c>
      <c r="C226" s="484" t="s">
        <v>1391</v>
      </c>
      <c r="D226" s="356" t="s">
        <v>1585</v>
      </c>
      <c r="E226" s="120" t="s">
        <v>1373</v>
      </c>
      <c r="F226" s="125" t="s">
        <v>1377</v>
      </c>
      <c r="G226" s="267">
        <v>3.5179999999999998</v>
      </c>
      <c r="H226" s="267">
        <v>3.3730000000000002</v>
      </c>
      <c r="I226" s="32"/>
    </row>
    <row r="227" spans="1:9" ht="63" x14ac:dyDescent="0.25">
      <c r="A227" s="488"/>
      <c r="B227" s="267">
        <v>41</v>
      </c>
      <c r="C227" s="484" t="s">
        <v>1156</v>
      </c>
      <c r="D227" s="356" t="s">
        <v>1585</v>
      </c>
      <c r="E227" s="120" t="s">
        <v>1373</v>
      </c>
      <c r="F227" s="125" t="s">
        <v>1377</v>
      </c>
      <c r="G227" s="267">
        <v>3.5179999999999998</v>
      </c>
      <c r="H227" s="267">
        <v>3.3730000000000002</v>
      </c>
      <c r="I227" s="32"/>
    </row>
    <row r="228" spans="1:9" ht="63" x14ac:dyDescent="0.25">
      <c r="A228" s="488"/>
      <c r="B228" s="267">
        <v>42</v>
      </c>
      <c r="C228" s="484" t="s">
        <v>1164</v>
      </c>
      <c r="D228" s="356" t="s">
        <v>1585</v>
      </c>
      <c r="E228" s="120" t="s">
        <v>1373</v>
      </c>
      <c r="F228" s="125" t="s">
        <v>1377</v>
      </c>
      <c r="G228" s="267">
        <v>3.5179999999999998</v>
      </c>
      <c r="H228" s="267">
        <v>3.3730000000000002</v>
      </c>
      <c r="I228" s="32"/>
    </row>
    <row r="229" spans="1:9" ht="225" x14ac:dyDescent="0.25">
      <c r="A229" s="488"/>
      <c r="B229" s="267">
        <v>43</v>
      </c>
      <c r="C229" s="484" t="s">
        <v>1394</v>
      </c>
      <c r="D229" s="356" t="s">
        <v>1585</v>
      </c>
      <c r="E229" s="120" t="s">
        <v>1373</v>
      </c>
      <c r="F229" s="125" t="s">
        <v>1377</v>
      </c>
      <c r="G229" s="267">
        <v>3.5179999999999998</v>
      </c>
      <c r="H229" s="267">
        <v>3.3730000000000002</v>
      </c>
      <c r="I229" s="356"/>
    </row>
    <row r="230" spans="1:9" ht="89.25" customHeight="1" x14ac:dyDescent="0.25">
      <c r="A230" s="488"/>
      <c r="B230" s="267">
        <v>44</v>
      </c>
      <c r="C230" s="484" t="e">
        <f>#REF!</f>
        <v>#REF!</v>
      </c>
      <c r="D230" s="356" t="s">
        <v>1585</v>
      </c>
      <c r="E230" s="120" t="s">
        <v>1373</v>
      </c>
      <c r="F230" s="125" t="s">
        <v>1377</v>
      </c>
      <c r="G230" s="267">
        <v>3.5179999999999998</v>
      </c>
      <c r="H230" s="267">
        <v>3.3730000000000002</v>
      </c>
      <c r="I230" s="356"/>
    </row>
    <row r="231" spans="1:9" ht="63" x14ac:dyDescent="0.25">
      <c r="A231" s="488"/>
      <c r="B231" s="267">
        <v>45</v>
      </c>
      <c r="C231" s="484" t="s">
        <v>1173</v>
      </c>
      <c r="D231" s="356" t="s">
        <v>1585</v>
      </c>
      <c r="E231" s="120" t="s">
        <v>1373</v>
      </c>
      <c r="F231" s="125" t="s">
        <v>1377</v>
      </c>
      <c r="G231" s="267">
        <v>3.5179999999999998</v>
      </c>
      <c r="H231" s="267">
        <v>3.3730000000000002</v>
      </c>
      <c r="I231" s="356"/>
    </row>
    <row r="232" spans="1:9" ht="75" x14ac:dyDescent="0.25">
      <c r="A232" s="488"/>
      <c r="B232" s="267">
        <v>46</v>
      </c>
      <c r="C232" s="484" t="s">
        <v>1250</v>
      </c>
      <c r="D232" s="356" t="s">
        <v>1621</v>
      </c>
      <c r="E232" s="120" t="s">
        <v>1373</v>
      </c>
      <c r="F232" s="125" t="s">
        <v>1377</v>
      </c>
      <c r="G232" s="267">
        <v>13</v>
      </c>
      <c r="H232" s="267">
        <v>4</v>
      </c>
      <c r="I232" s="356"/>
    </row>
    <row r="233" spans="1:9" ht="63" x14ac:dyDescent="0.25">
      <c r="A233" s="488"/>
      <c r="B233" s="267">
        <v>47</v>
      </c>
      <c r="C233" s="484" t="s">
        <v>1432</v>
      </c>
      <c r="D233" s="356" t="s">
        <v>1621</v>
      </c>
      <c r="E233" s="120" t="s">
        <v>1373</v>
      </c>
      <c r="F233" s="125" t="s">
        <v>1377</v>
      </c>
      <c r="G233" s="267">
        <v>13</v>
      </c>
      <c r="H233" s="267">
        <v>4</v>
      </c>
      <c r="I233" s="356"/>
    </row>
    <row r="234" spans="1:9" ht="75" x14ac:dyDescent="0.25">
      <c r="A234" s="488"/>
      <c r="B234" s="267">
        <v>48</v>
      </c>
      <c r="C234" s="484" t="s">
        <v>1267</v>
      </c>
      <c r="D234" s="356" t="s">
        <v>1585</v>
      </c>
      <c r="E234" s="120" t="s">
        <v>1373</v>
      </c>
      <c r="F234" s="125" t="s">
        <v>1377</v>
      </c>
      <c r="G234" s="267">
        <v>3.5179999999999998</v>
      </c>
      <c r="H234" s="267">
        <v>3.3730000000000002</v>
      </c>
      <c r="I234" s="356"/>
    </row>
    <row r="235" spans="1:9" ht="115.5" customHeight="1" x14ac:dyDescent="0.25">
      <c r="A235" s="488"/>
      <c r="B235" s="267">
        <v>49</v>
      </c>
      <c r="C235" s="484" t="s">
        <v>1296</v>
      </c>
      <c r="D235" s="356" t="s">
        <v>1585</v>
      </c>
      <c r="E235" s="120" t="s">
        <v>1373</v>
      </c>
      <c r="F235" s="125" t="s">
        <v>1377</v>
      </c>
      <c r="G235" s="267">
        <v>3.5179999999999998</v>
      </c>
      <c r="H235" s="267">
        <v>3.3730000000000002</v>
      </c>
      <c r="I235" s="356"/>
    </row>
    <row r="236" spans="1:9" ht="90" x14ac:dyDescent="0.25">
      <c r="A236" s="488"/>
      <c r="B236" s="267">
        <v>50</v>
      </c>
      <c r="C236" s="484" t="s">
        <v>1307</v>
      </c>
      <c r="D236" s="356" t="s">
        <v>1585</v>
      </c>
      <c r="E236" s="120" t="s">
        <v>1373</v>
      </c>
      <c r="F236" s="125" t="s">
        <v>1377</v>
      </c>
      <c r="G236" s="267">
        <v>3.5179999999999998</v>
      </c>
      <c r="H236" s="267">
        <v>3.3730000000000002</v>
      </c>
      <c r="I236" s="32"/>
    </row>
    <row r="237" spans="1:9" ht="92.25" customHeight="1" x14ac:dyDescent="0.25">
      <c r="A237" s="488"/>
      <c r="B237" s="267">
        <v>51</v>
      </c>
      <c r="C237" s="484" t="s">
        <v>1313</v>
      </c>
      <c r="D237" s="356" t="s">
        <v>1585</v>
      </c>
      <c r="E237" s="120" t="s">
        <v>1373</v>
      </c>
      <c r="F237" s="125" t="s">
        <v>1377</v>
      </c>
      <c r="G237" s="267">
        <v>3.5179999999999998</v>
      </c>
      <c r="H237" s="267">
        <v>3.3730000000000002</v>
      </c>
      <c r="I237" s="32"/>
    </row>
    <row r="238" spans="1:9" ht="105" x14ac:dyDescent="0.25">
      <c r="A238" s="488"/>
      <c r="B238" s="267">
        <v>52</v>
      </c>
      <c r="C238" s="484" t="s">
        <v>1501</v>
      </c>
      <c r="D238" s="356" t="s">
        <v>1585</v>
      </c>
      <c r="E238" s="120" t="s">
        <v>1373</v>
      </c>
      <c r="F238" s="125" t="s">
        <v>1377</v>
      </c>
      <c r="G238" s="267">
        <v>3.5179999999999998</v>
      </c>
      <c r="H238" s="267">
        <v>3.3730000000000002</v>
      </c>
      <c r="I238" s="32"/>
    </row>
    <row r="239" spans="1:9" ht="75" x14ac:dyDescent="0.25">
      <c r="A239" s="488"/>
      <c r="B239" s="267">
        <v>53</v>
      </c>
      <c r="C239" s="484" t="s">
        <v>587</v>
      </c>
      <c r="D239" s="356" t="s">
        <v>1585</v>
      </c>
      <c r="E239" s="120" t="s">
        <v>1373</v>
      </c>
      <c r="F239" s="114" t="s">
        <v>1377</v>
      </c>
      <c r="G239" s="485">
        <v>30</v>
      </c>
      <c r="H239" s="485"/>
      <c r="I239" s="32"/>
    </row>
    <row r="240" spans="1:9" ht="63" x14ac:dyDescent="0.25">
      <c r="A240" s="488"/>
      <c r="B240" s="267">
        <v>54</v>
      </c>
      <c r="C240" s="484" t="s">
        <v>1392</v>
      </c>
      <c r="D240" s="356" t="s">
        <v>1585</v>
      </c>
      <c r="E240" s="120" t="s">
        <v>1373</v>
      </c>
      <c r="F240" s="114" t="s">
        <v>1377</v>
      </c>
      <c r="G240" s="485">
        <v>35</v>
      </c>
      <c r="H240" s="485"/>
      <c r="I240" s="32"/>
    </row>
    <row r="241" spans="1:9" ht="63" x14ac:dyDescent="0.25">
      <c r="A241" s="488"/>
      <c r="B241" s="267">
        <v>55</v>
      </c>
      <c r="C241" s="484" t="s">
        <v>1529</v>
      </c>
      <c r="D241" s="356" t="s">
        <v>1585</v>
      </c>
      <c r="E241" s="120" t="s">
        <v>1373</v>
      </c>
      <c r="F241" s="114" t="s">
        <v>1377</v>
      </c>
      <c r="G241" s="485">
        <v>30</v>
      </c>
      <c r="H241" s="485"/>
      <c r="I241" s="32"/>
    </row>
    <row r="242" spans="1:9" ht="63" x14ac:dyDescent="0.25">
      <c r="A242" s="488"/>
      <c r="B242" s="267">
        <v>56</v>
      </c>
      <c r="C242" s="484" t="s">
        <v>488</v>
      </c>
      <c r="D242" s="356" t="s">
        <v>1583</v>
      </c>
      <c r="E242" s="120" t="s">
        <v>1373</v>
      </c>
      <c r="F242" s="114" t="s">
        <v>1377</v>
      </c>
      <c r="G242" s="485">
        <v>20</v>
      </c>
      <c r="H242" s="485">
        <v>8</v>
      </c>
      <c r="I242" s="32"/>
    </row>
    <row r="243" spans="1:9" ht="75" x14ac:dyDescent="0.25">
      <c r="A243" s="488"/>
      <c r="B243" s="267">
        <v>57</v>
      </c>
      <c r="C243" s="484" t="s">
        <v>501</v>
      </c>
      <c r="D243" s="356" t="s">
        <v>1583</v>
      </c>
      <c r="E243" s="120" t="s">
        <v>1373</v>
      </c>
      <c r="F243" s="114" t="s">
        <v>1377</v>
      </c>
      <c r="G243" s="485">
        <v>20</v>
      </c>
      <c r="H243" s="485">
        <v>8</v>
      </c>
      <c r="I243" s="32"/>
    </row>
    <row r="244" spans="1:9" ht="63" x14ac:dyDescent="0.25">
      <c r="A244" s="488"/>
      <c r="B244" s="267">
        <v>58</v>
      </c>
      <c r="C244" s="484" t="s">
        <v>552</v>
      </c>
      <c r="D244" s="356" t="s">
        <v>1583</v>
      </c>
      <c r="E244" s="120" t="s">
        <v>1373</v>
      </c>
      <c r="F244" s="114" t="s">
        <v>1377</v>
      </c>
      <c r="G244" s="485">
        <v>20</v>
      </c>
      <c r="H244" s="485">
        <v>8</v>
      </c>
      <c r="I244" s="32"/>
    </row>
    <row r="245" spans="1:9" ht="63" x14ac:dyDescent="0.25">
      <c r="A245" s="488"/>
      <c r="B245" s="267">
        <v>59</v>
      </c>
      <c r="C245" s="484" t="s">
        <v>505</v>
      </c>
      <c r="D245" s="356" t="s">
        <v>1607</v>
      </c>
      <c r="E245" s="120" t="s">
        <v>1373</v>
      </c>
      <c r="F245" s="114" t="s">
        <v>1377</v>
      </c>
      <c r="G245" s="485">
        <v>8</v>
      </c>
      <c r="H245" s="485">
        <v>1</v>
      </c>
      <c r="I245" s="32"/>
    </row>
    <row r="246" spans="1:9" ht="90" x14ac:dyDescent="0.25">
      <c r="A246" s="488"/>
      <c r="B246" s="267">
        <v>60</v>
      </c>
      <c r="C246" s="484" t="s">
        <v>580</v>
      </c>
      <c r="D246" s="356" t="s">
        <v>1620</v>
      </c>
      <c r="E246" s="120" t="s">
        <v>1373</v>
      </c>
      <c r="F246" s="114" t="s">
        <v>1377</v>
      </c>
      <c r="G246" s="485"/>
      <c r="H246" s="485">
        <v>32</v>
      </c>
      <c r="I246" s="32"/>
    </row>
    <row r="247" spans="1:9" ht="63" x14ac:dyDescent="0.25">
      <c r="A247" s="488"/>
      <c r="B247" s="267">
        <v>61</v>
      </c>
      <c r="C247" s="484" t="s">
        <v>1558</v>
      </c>
      <c r="D247" s="356" t="s">
        <v>1585</v>
      </c>
      <c r="E247" s="120" t="s">
        <v>1373</v>
      </c>
      <c r="F247" s="114" t="s">
        <v>1377</v>
      </c>
      <c r="G247" s="485">
        <v>5</v>
      </c>
      <c r="H247" s="485"/>
      <c r="I247" s="32"/>
    </row>
    <row r="248" spans="1:9" ht="63" x14ac:dyDescent="0.25">
      <c r="A248" s="488"/>
      <c r="B248" s="267">
        <v>62</v>
      </c>
      <c r="C248" s="484" t="s">
        <v>1557</v>
      </c>
      <c r="D248" s="356" t="s">
        <v>1584</v>
      </c>
      <c r="E248" s="120" t="s">
        <v>1373</v>
      </c>
      <c r="F248" s="114" t="s">
        <v>1377</v>
      </c>
      <c r="G248" s="485">
        <v>5</v>
      </c>
      <c r="H248" s="485">
        <v>3</v>
      </c>
      <c r="I248" s="32"/>
    </row>
    <row r="249" spans="1:9" ht="63" x14ac:dyDescent="0.25">
      <c r="A249" s="488"/>
      <c r="B249" s="267">
        <v>63</v>
      </c>
      <c r="C249" s="484" t="s">
        <v>1505</v>
      </c>
      <c r="D249" s="356" t="s">
        <v>1585</v>
      </c>
      <c r="E249" s="120" t="s">
        <v>1373</v>
      </c>
      <c r="F249" s="114" t="s">
        <v>1377</v>
      </c>
      <c r="G249" s="485">
        <v>50</v>
      </c>
      <c r="H249" s="485"/>
      <c r="I249" s="32"/>
    </row>
    <row r="250" spans="1:9" ht="90" x14ac:dyDescent="0.25">
      <c r="A250" s="488"/>
      <c r="B250" s="267">
        <v>64</v>
      </c>
      <c r="C250" s="484" t="s">
        <v>1512</v>
      </c>
      <c r="D250" s="356" t="s">
        <v>1620</v>
      </c>
      <c r="E250" s="120" t="s">
        <v>1373</v>
      </c>
      <c r="F250" s="114" t="s">
        <v>1377</v>
      </c>
      <c r="G250" s="485"/>
      <c r="H250" s="485">
        <v>32</v>
      </c>
      <c r="I250" s="32"/>
    </row>
    <row r="251" spans="1:9" ht="111.75" customHeight="1" x14ac:dyDescent="0.25">
      <c r="A251" s="488"/>
      <c r="B251" s="267">
        <v>65</v>
      </c>
      <c r="C251" s="484" t="s">
        <v>559</v>
      </c>
      <c r="D251" s="356" t="s">
        <v>1584</v>
      </c>
      <c r="E251" s="120" t="s">
        <v>1373</v>
      </c>
      <c r="F251" s="114" t="s">
        <v>1377</v>
      </c>
      <c r="G251" s="485">
        <v>5</v>
      </c>
      <c r="H251" s="485">
        <v>3</v>
      </c>
      <c r="I251" s="32"/>
    </row>
    <row r="252" spans="1:9" x14ac:dyDescent="0.25">
      <c r="A252" s="489"/>
      <c r="B252" s="267"/>
      <c r="C252" s="474"/>
      <c r="D252" s="356"/>
      <c r="E252" s="357"/>
      <c r="F252" s="267"/>
      <c r="G252" s="485"/>
      <c r="H252" s="485"/>
      <c r="I252" s="32"/>
    </row>
    <row r="253" spans="1:9" ht="63" x14ac:dyDescent="0.25">
      <c r="A253" s="2155" t="s">
        <v>1597</v>
      </c>
      <c r="B253" s="267">
        <v>1</v>
      </c>
      <c r="C253" s="484" t="s">
        <v>488</v>
      </c>
      <c r="D253" s="356" t="s">
        <v>1587</v>
      </c>
      <c r="E253" s="120" t="s">
        <v>1373</v>
      </c>
      <c r="F253" s="114" t="s">
        <v>1377</v>
      </c>
      <c r="G253" s="485">
        <v>20</v>
      </c>
      <c r="H253" s="485">
        <v>8</v>
      </c>
      <c r="I253" s="32"/>
    </row>
    <row r="254" spans="1:9" ht="75" x14ac:dyDescent="0.25">
      <c r="A254" s="2156"/>
      <c r="B254" s="267">
        <v>2</v>
      </c>
      <c r="C254" s="484" t="s">
        <v>501</v>
      </c>
      <c r="D254" s="356" t="s">
        <v>1587</v>
      </c>
      <c r="E254" s="120" t="s">
        <v>1373</v>
      </c>
      <c r="F254" s="114" t="s">
        <v>1377</v>
      </c>
      <c r="G254" s="485">
        <v>20</v>
      </c>
      <c r="H254" s="485">
        <v>8</v>
      </c>
      <c r="I254" s="32"/>
    </row>
    <row r="255" spans="1:9" ht="63" x14ac:dyDescent="0.25">
      <c r="A255" s="2156"/>
      <c r="B255" s="267">
        <v>3</v>
      </c>
      <c r="C255" s="484" t="s">
        <v>552</v>
      </c>
      <c r="D255" s="356" t="s">
        <v>1587</v>
      </c>
      <c r="E255" s="120" t="s">
        <v>1373</v>
      </c>
      <c r="F255" s="114" t="s">
        <v>1377</v>
      </c>
      <c r="G255" s="485">
        <v>20</v>
      </c>
      <c r="H255" s="485">
        <v>8</v>
      </c>
      <c r="I255" s="32"/>
    </row>
    <row r="256" spans="1:9" ht="75.75" customHeight="1" x14ac:dyDescent="0.25">
      <c r="A256" s="2156"/>
      <c r="B256" s="267">
        <v>4</v>
      </c>
      <c r="C256" s="484" t="s">
        <v>505</v>
      </c>
      <c r="D256" s="356" t="s">
        <v>1607</v>
      </c>
      <c r="E256" s="120" t="s">
        <v>1373</v>
      </c>
      <c r="F256" s="114" t="s">
        <v>1377</v>
      </c>
      <c r="G256" s="485">
        <v>8</v>
      </c>
      <c r="H256" s="485">
        <v>1</v>
      </c>
      <c r="I256" s="32"/>
    </row>
    <row r="257" spans="1:9" ht="56.25" customHeight="1" x14ac:dyDescent="0.25">
      <c r="A257" s="2156"/>
      <c r="B257" s="267">
        <v>5</v>
      </c>
      <c r="C257" s="484" t="s">
        <v>1558</v>
      </c>
      <c r="D257" s="356" t="s">
        <v>1585</v>
      </c>
      <c r="E257" s="120" t="s">
        <v>1373</v>
      </c>
      <c r="F257" s="114" t="s">
        <v>1377</v>
      </c>
      <c r="G257" s="485">
        <v>5</v>
      </c>
      <c r="H257" s="485"/>
      <c r="I257" s="32"/>
    </row>
    <row r="258" spans="1:9" ht="79.5" customHeight="1" x14ac:dyDescent="0.25">
      <c r="A258" s="2156"/>
      <c r="B258" s="267">
        <v>6</v>
      </c>
      <c r="C258" s="484" t="s">
        <v>1557</v>
      </c>
      <c r="D258" s="356" t="s">
        <v>1584</v>
      </c>
      <c r="E258" s="120" t="s">
        <v>1373</v>
      </c>
      <c r="F258" s="114" t="s">
        <v>1377</v>
      </c>
      <c r="G258" s="485">
        <v>5</v>
      </c>
      <c r="H258" s="485">
        <v>3</v>
      </c>
      <c r="I258" s="32"/>
    </row>
    <row r="259" spans="1:9" ht="103.5" customHeight="1" x14ac:dyDescent="0.25">
      <c r="A259" s="2156"/>
      <c r="B259" s="267">
        <v>7</v>
      </c>
      <c r="C259" s="484" t="s">
        <v>559</v>
      </c>
      <c r="D259" s="356" t="s">
        <v>1584</v>
      </c>
      <c r="E259" s="120" t="s">
        <v>1373</v>
      </c>
      <c r="F259" s="114" t="s">
        <v>1377</v>
      </c>
      <c r="G259" s="485">
        <v>5</v>
      </c>
      <c r="H259" s="485">
        <v>3</v>
      </c>
      <c r="I259" s="32"/>
    </row>
    <row r="260" spans="1:9" x14ac:dyDescent="0.25">
      <c r="A260" s="2157"/>
      <c r="B260" s="267"/>
      <c r="C260" s="484"/>
      <c r="D260" s="356"/>
      <c r="E260" s="357"/>
      <c r="F260" s="267"/>
      <c r="G260" s="485"/>
      <c r="H260" s="485"/>
      <c r="I260" s="32"/>
    </row>
    <row r="261" spans="1:9" ht="67.5" customHeight="1" x14ac:dyDescent="0.25">
      <c r="A261" s="479" t="s">
        <v>1598</v>
      </c>
      <c r="B261" s="267">
        <v>1</v>
      </c>
      <c r="C261" s="484" t="s">
        <v>1044</v>
      </c>
      <c r="D261" s="356" t="s">
        <v>1585</v>
      </c>
      <c r="E261" s="120" t="s">
        <v>1373</v>
      </c>
      <c r="F261" s="125" t="s">
        <v>1408</v>
      </c>
      <c r="G261" s="267">
        <v>3.5179999999999998</v>
      </c>
      <c r="H261" s="267">
        <v>3.3730000000000002</v>
      </c>
      <c r="I261" s="32"/>
    </row>
    <row r="262" spans="1:9" ht="90" x14ac:dyDescent="0.25">
      <c r="A262" s="488"/>
      <c r="B262" s="267">
        <v>2</v>
      </c>
      <c r="C262" s="480" t="s">
        <v>1049</v>
      </c>
      <c r="D262" s="356" t="s">
        <v>1585</v>
      </c>
      <c r="E262" s="120" t="s">
        <v>1373</v>
      </c>
      <c r="F262" s="125" t="s">
        <v>1408</v>
      </c>
      <c r="G262" s="267">
        <v>3.5179999999999998</v>
      </c>
      <c r="H262" s="267">
        <v>3.3730000000000002</v>
      </c>
      <c r="I262" s="32"/>
    </row>
    <row r="263" spans="1:9" ht="63" x14ac:dyDescent="0.25">
      <c r="A263" s="488"/>
      <c r="B263" s="267">
        <v>3</v>
      </c>
      <c r="C263" s="480" t="s">
        <v>1078</v>
      </c>
      <c r="D263" s="356" t="s">
        <v>1585</v>
      </c>
      <c r="E263" s="120" t="s">
        <v>1373</v>
      </c>
      <c r="F263" s="125" t="s">
        <v>1408</v>
      </c>
      <c r="G263" s="267">
        <v>3.5179999999999998</v>
      </c>
      <c r="H263" s="267">
        <v>3.3730000000000002</v>
      </c>
      <c r="I263" s="32"/>
    </row>
    <row r="264" spans="1:9" ht="90" x14ac:dyDescent="0.25">
      <c r="A264" s="488"/>
      <c r="B264" s="267">
        <v>4</v>
      </c>
      <c r="C264" s="484" t="s">
        <v>1497</v>
      </c>
      <c r="D264" s="356" t="s">
        <v>1585</v>
      </c>
      <c r="E264" s="120" t="s">
        <v>1373</v>
      </c>
      <c r="F264" s="125" t="s">
        <v>1417</v>
      </c>
      <c r="G264" s="267">
        <v>3.5179999999999998</v>
      </c>
      <c r="H264" s="267">
        <v>3.3730000000000002</v>
      </c>
      <c r="I264" s="32"/>
    </row>
    <row r="265" spans="1:9" ht="75" x14ac:dyDescent="0.25">
      <c r="A265" s="488"/>
      <c r="B265" s="267">
        <v>5</v>
      </c>
      <c r="C265" s="484" t="s">
        <v>1528</v>
      </c>
      <c r="D265" s="356" t="s">
        <v>1585</v>
      </c>
      <c r="E265" s="120" t="s">
        <v>1373</v>
      </c>
      <c r="F265" s="125" t="s">
        <v>1417</v>
      </c>
      <c r="G265" s="267">
        <v>3.5179999999999998</v>
      </c>
      <c r="H265" s="267">
        <v>3.3730000000000002</v>
      </c>
      <c r="I265" s="32"/>
    </row>
    <row r="266" spans="1:9" ht="75" x14ac:dyDescent="0.25">
      <c r="A266" s="488"/>
      <c r="B266" s="267">
        <v>6</v>
      </c>
      <c r="C266" s="484" t="s">
        <v>1437</v>
      </c>
      <c r="D266" s="356" t="s">
        <v>1585</v>
      </c>
      <c r="E266" s="120" t="s">
        <v>1373</v>
      </c>
      <c r="F266" s="125" t="s">
        <v>1377</v>
      </c>
      <c r="G266" s="267">
        <v>3.5179999999999998</v>
      </c>
      <c r="H266" s="267">
        <v>3.3730000000000002</v>
      </c>
      <c r="I266" s="32"/>
    </row>
    <row r="267" spans="1:9" x14ac:dyDescent="0.25">
      <c r="A267" s="489"/>
      <c r="B267" s="267"/>
      <c r="C267" s="480"/>
      <c r="D267" s="356"/>
      <c r="E267" s="357"/>
      <c r="F267" s="267"/>
      <c r="G267" s="485"/>
      <c r="H267" s="485"/>
      <c r="I267" s="32"/>
    </row>
    <row r="268" spans="1:9" ht="30" x14ac:dyDescent="0.25">
      <c r="A268" s="482" t="s">
        <v>1599</v>
      </c>
      <c r="B268" s="267"/>
      <c r="C268" s="474"/>
      <c r="D268" s="356"/>
      <c r="E268" s="357"/>
      <c r="F268" s="267"/>
      <c r="G268" s="485"/>
      <c r="H268" s="485"/>
      <c r="I268" s="32"/>
    </row>
    <row r="269" spans="1:9" ht="30" x14ac:dyDescent="0.25">
      <c r="A269" s="482" t="s">
        <v>1600</v>
      </c>
      <c r="B269" s="267"/>
      <c r="C269" s="474"/>
      <c r="D269" s="356"/>
      <c r="E269" s="357"/>
      <c r="F269" s="267"/>
      <c r="G269" s="485"/>
      <c r="H269" s="485"/>
      <c r="I269" s="32"/>
    </row>
    <row r="270" spans="1:9" ht="97.5" customHeight="1" x14ac:dyDescent="0.25">
      <c r="A270" s="2155" t="s">
        <v>1601</v>
      </c>
      <c r="B270" s="267">
        <v>1</v>
      </c>
      <c r="C270" s="484" t="s">
        <v>1502</v>
      </c>
      <c r="D270" s="356" t="s">
        <v>1585</v>
      </c>
      <c r="E270" s="120" t="s">
        <v>1373</v>
      </c>
      <c r="F270" s="125" t="s">
        <v>1417</v>
      </c>
      <c r="G270" s="267">
        <v>3.5179999999999998</v>
      </c>
      <c r="H270" s="267">
        <v>3.3730000000000002</v>
      </c>
      <c r="I270" s="32"/>
    </row>
    <row r="271" spans="1:9" ht="79.5" customHeight="1" x14ac:dyDescent="0.25">
      <c r="A271" s="2156"/>
      <c r="B271" s="267">
        <v>2</v>
      </c>
      <c r="C271" s="480" t="s">
        <v>1503</v>
      </c>
      <c r="D271" s="356" t="s">
        <v>1585</v>
      </c>
      <c r="E271" s="120" t="s">
        <v>1373</v>
      </c>
      <c r="F271" s="125" t="s">
        <v>1417</v>
      </c>
      <c r="G271" s="267">
        <v>3.5179999999999998</v>
      </c>
      <c r="H271" s="267">
        <v>3.3730000000000002</v>
      </c>
      <c r="I271" s="32"/>
    </row>
    <row r="272" spans="1:9" ht="105" x14ac:dyDescent="0.25">
      <c r="A272" s="2156"/>
      <c r="B272" s="267">
        <v>3</v>
      </c>
      <c r="C272" s="480" t="s">
        <v>1497</v>
      </c>
      <c r="D272" s="356" t="s">
        <v>1585</v>
      </c>
      <c r="E272" s="120" t="s">
        <v>1373</v>
      </c>
      <c r="F272" s="125" t="s">
        <v>1417</v>
      </c>
      <c r="G272" s="267">
        <v>3.5179999999999998</v>
      </c>
      <c r="H272" s="267">
        <v>3.3730000000000002</v>
      </c>
      <c r="I272" s="32"/>
    </row>
    <row r="273" spans="1:9" ht="63" x14ac:dyDescent="0.25">
      <c r="A273" s="2156"/>
      <c r="B273" s="267">
        <v>4</v>
      </c>
      <c r="C273" s="480" t="s">
        <v>979</v>
      </c>
      <c r="D273" s="356" t="s">
        <v>1585</v>
      </c>
      <c r="E273" s="120" t="s">
        <v>1373</v>
      </c>
      <c r="F273" s="125" t="s">
        <v>1465</v>
      </c>
      <c r="G273" s="267">
        <v>3.5179999999999998</v>
      </c>
      <c r="H273" s="267">
        <v>3.3730000000000002</v>
      </c>
      <c r="I273" s="32"/>
    </row>
    <row r="274" spans="1:9" x14ac:dyDescent="0.25">
      <c r="A274" s="2157"/>
      <c r="B274" s="267"/>
      <c r="C274" s="480"/>
      <c r="D274" s="356"/>
      <c r="E274" s="357"/>
      <c r="F274" s="267"/>
      <c r="G274" s="485"/>
      <c r="H274" s="485"/>
      <c r="I274" s="32"/>
    </row>
    <row r="275" spans="1:9" ht="75" x14ac:dyDescent="0.25">
      <c r="A275" s="479" t="s">
        <v>1602</v>
      </c>
      <c r="B275" s="267">
        <v>1</v>
      </c>
      <c r="C275" s="484" t="s">
        <v>369</v>
      </c>
      <c r="D275" s="356" t="s">
        <v>1585</v>
      </c>
      <c r="E275" s="120" t="s">
        <v>1373</v>
      </c>
      <c r="F275" s="125" t="s">
        <v>1417</v>
      </c>
      <c r="G275" s="114">
        <v>3.5179999999999998</v>
      </c>
      <c r="H275" s="114">
        <v>3.3730000000000002</v>
      </c>
      <c r="I275" s="32"/>
    </row>
    <row r="276" spans="1:9" ht="75" x14ac:dyDescent="0.25">
      <c r="A276" s="488"/>
      <c r="B276" s="267">
        <v>2</v>
      </c>
      <c r="C276" s="487" t="s">
        <v>1452</v>
      </c>
      <c r="D276" s="356" t="s">
        <v>1585</v>
      </c>
      <c r="E276" s="120" t="s">
        <v>1373</v>
      </c>
      <c r="F276" s="125" t="s">
        <v>1417</v>
      </c>
      <c r="G276" s="114">
        <v>3.5179999999999998</v>
      </c>
      <c r="H276" s="114">
        <v>3.3730000000000002</v>
      </c>
      <c r="I276" s="32"/>
    </row>
    <row r="277" spans="1:9" ht="84" customHeight="1" x14ac:dyDescent="0.25">
      <c r="A277" s="488"/>
      <c r="B277" s="267">
        <v>3</v>
      </c>
      <c r="C277" s="480" t="s">
        <v>1513</v>
      </c>
      <c r="D277" s="356" t="s">
        <v>1587</v>
      </c>
      <c r="E277" s="120" t="s">
        <v>1373</v>
      </c>
      <c r="F277" s="125" t="s">
        <v>1417</v>
      </c>
      <c r="G277" s="114">
        <v>20</v>
      </c>
      <c r="H277" s="114">
        <v>8</v>
      </c>
      <c r="I277" s="32"/>
    </row>
    <row r="278" spans="1:9" ht="105.75" customHeight="1" x14ac:dyDescent="0.25">
      <c r="A278" s="488"/>
      <c r="B278" s="267">
        <v>4</v>
      </c>
      <c r="C278" s="480" t="s">
        <v>349</v>
      </c>
      <c r="D278" s="356" t="s">
        <v>1585</v>
      </c>
      <c r="E278" s="120" t="s">
        <v>1373</v>
      </c>
      <c r="F278" s="125" t="s">
        <v>1421</v>
      </c>
      <c r="G278" s="114">
        <v>3.5179999999999998</v>
      </c>
      <c r="H278" s="114">
        <v>3.3730000000000002</v>
      </c>
      <c r="I278" s="32"/>
    </row>
    <row r="279" spans="1:9" ht="63" x14ac:dyDescent="0.25">
      <c r="A279" s="488"/>
      <c r="B279" s="267">
        <v>5</v>
      </c>
      <c r="C279" s="480" t="s">
        <v>403</v>
      </c>
      <c r="D279" s="356" t="s">
        <v>1587</v>
      </c>
      <c r="E279" s="120" t="s">
        <v>1373</v>
      </c>
      <c r="F279" s="125" t="s">
        <v>1377</v>
      </c>
      <c r="G279" s="114">
        <v>3.5179999999999998</v>
      </c>
      <c r="H279" s="114">
        <v>3.3730000000000002</v>
      </c>
      <c r="I279" s="32"/>
    </row>
    <row r="280" spans="1:9" ht="105" x14ac:dyDescent="0.25">
      <c r="A280" s="488"/>
      <c r="B280" s="267">
        <v>6</v>
      </c>
      <c r="C280" s="480" t="s">
        <v>422</v>
      </c>
      <c r="D280" s="356" t="s">
        <v>1587</v>
      </c>
      <c r="E280" s="120" t="s">
        <v>1373</v>
      </c>
      <c r="F280" s="125" t="s">
        <v>1422</v>
      </c>
      <c r="G280" s="114">
        <v>3.5179999999999998</v>
      </c>
      <c r="H280" s="114">
        <v>3.3730000000000002</v>
      </c>
      <c r="I280" s="32"/>
    </row>
    <row r="281" spans="1:9" ht="63" x14ac:dyDescent="0.25">
      <c r="A281" s="488"/>
      <c r="B281" s="267">
        <v>7</v>
      </c>
      <c r="C281" s="480" t="s">
        <v>427</v>
      </c>
      <c r="D281" s="356" t="s">
        <v>1587</v>
      </c>
      <c r="E281" s="120" t="s">
        <v>1373</v>
      </c>
      <c r="F281" s="125" t="s">
        <v>1423</v>
      </c>
      <c r="G281" s="114">
        <v>3.5179999999999998</v>
      </c>
      <c r="H281" s="114">
        <v>3.3730000000000002</v>
      </c>
      <c r="I281" s="32"/>
    </row>
    <row r="282" spans="1:9" ht="63" x14ac:dyDescent="0.25">
      <c r="A282" s="488"/>
      <c r="B282" s="267">
        <v>8</v>
      </c>
      <c r="C282" s="480" t="s">
        <v>634</v>
      </c>
      <c r="D282" s="356" t="s">
        <v>1587</v>
      </c>
      <c r="E282" s="120" t="s">
        <v>1373</v>
      </c>
      <c r="F282" s="125" t="s">
        <v>1377</v>
      </c>
      <c r="G282" s="114">
        <v>3.5179999999999998</v>
      </c>
      <c r="H282" s="114">
        <v>3.3730000000000002</v>
      </c>
      <c r="I282" s="32"/>
    </row>
    <row r="283" spans="1:9" ht="63" x14ac:dyDescent="0.25">
      <c r="A283" s="488"/>
      <c r="B283" s="267">
        <v>9</v>
      </c>
      <c r="C283" s="480" t="s">
        <v>452</v>
      </c>
      <c r="D283" s="356" t="s">
        <v>1587</v>
      </c>
      <c r="E283" s="120" t="s">
        <v>1373</v>
      </c>
      <c r="F283" s="125" t="s">
        <v>1377</v>
      </c>
      <c r="G283" s="114">
        <v>3.5179999999999998</v>
      </c>
      <c r="H283" s="114">
        <v>3.3730000000000002</v>
      </c>
      <c r="I283" s="32"/>
    </row>
    <row r="284" spans="1:9" ht="63" x14ac:dyDescent="0.25">
      <c r="A284" s="488"/>
      <c r="B284" s="267">
        <v>10</v>
      </c>
      <c r="C284" s="480" t="s">
        <v>454</v>
      </c>
      <c r="D284" s="356" t="s">
        <v>1587</v>
      </c>
      <c r="E284" s="120" t="s">
        <v>1373</v>
      </c>
      <c r="F284" s="125" t="s">
        <v>1377</v>
      </c>
      <c r="G284" s="114">
        <v>3.5179999999999998</v>
      </c>
      <c r="H284" s="114">
        <v>3.3730000000000002</v>
      </c>
      <c r="I284" s="32"/>
    </row>
    <row r="285" spans="1:9" ht="63" x14ac:dyDescent="0.25">
      <c r="A285" s="488"/>
      <c r="B285" s="267">
        <v>11</v>
      </c>
      <c r="C285" s="480" t="s">
        <v>456</v>
      </c>
      <c r="D285" s="356" t="s">
        <v>1587</v>
      </c>
      <c r="E285" s="120" t="s">
        <v>1373</v>
      </c>
      <c r="F285" s="125" t="s">
        <v>1377</v>
      </c>
      <c r="G285" s="114">
        <v>3.5179999999999998</v>
      </c>
      <c r="H285" s="114">
        <v>3.3730000000000002</v>
      </c>
      <c r="I285" s="32"/>
    </row>
    <row r="286" spans="1:9" ht="90" x14ac:dyDescent="0.25">
      <c r="A286" s="488"/>
      <c r="B286" s="267">
        <v>12</v>
      </c>
      <c r="C286" s="480" t="s">
        <v>437</v>
      </c>
      <c r="D286" s="356" t="s">
        <v>1587</v>
      </c>
      <c r="E286" s="120" t="s">
        <v>1373</v>
      </c>
      <c r="F286" s="128" t="s">
        <v>1377</v>
      </c>
      <c r="G286" s="114">
        <v>3.5179999999999998</v>
      </c>
      <c r="H286" s="114">
        <v>3.3730000000000002</v>
      </c>
      <c r="I286" s="32"/>
    </row>
    <row r="287" spans="1:9" ht="75" x14ac:dyDescent="0.25">
      <c r="A287" s="488"/>
      <c r="B287" s="267">
        <v>13</v>
      </c>
      <c r="C287" s="484" t="s">
        <v>1082</v>
      </c>
      <c r="D287" s="356" t="s">
        <v>1585</v>
      </c>
      <c r="E287" s="120" t="s">
        <v>1373</v>
      </c>
      <c r="F287" s="128" t="s">
        <v>1377</v>
      </c>
      <c r="G287" s="114">
        <v>3.5179999999999998</v>
      </c>
      <c r="H287" s="114">
        <v>3.3730000000000002</v>
      </c>
      <c r="I287" s="32"/>
    </row>
    <row r="288" spans="1:9" ht="120" x14ac:dyDescent="0.25">
      <c r="A288" s="488"/>
      <c r="B288" s="267">
        <v>14</v>
      </c>
      <c r="C288" s="484" t="s">
        <v>1091</v>
      </c>
      <c r="D288" s="356" t="s">
        <v>1585</v>
      </c>
      <c r="E288" s="120" t="s">
        <v>1373</v>
      </c>
      <c r="F288" s="125" t="s">
        <v>1377</v>
      </c>
      <c r="G288" s="267">
        <v>3.5179999999999998</v>
      </c>
      <c r="H288" s="267">
        <v>3.3730000000000002</v>
      </c>
      <c r="I288" s="32"/>
    </row>
    <row r="289" spans="1:9" ht="120" x14ac:dyDescent="0.25">
      <c r="A289" s="488"/>
      <c r="B289" s="267">
        <v>15</v>
      </c>
      <c r="C289" s="484" t="s">
        <v>1099</v>
      </c>
      <c r="D289" s="356" t="s">
        <v>1585</v>
      </c>
      <c r="E289" s="120" t="s">
        <v>1373</v>
      </c>
      <c r="F289" s="125" t="s">
        <v>1377</v>
      </c>
      <c r="G289" s="267">
        <v>3.5179999999999998</v>
      </c>
      <c r="H289" s="267">
        <v>3.3730000000000002</v>
      </c>
      <c r="I289" s="32"/>
    </row>
    <row r="290" spans="1:9" ht="120" customHeight="1" x14ac:dyDescent="0.25">
      <c r="A290" s="488"/>
      <c r="B290" s="267">
        <v>16</v>
      </c>
      <c r="C290" s="484" t="s">
        <v>1103</v>
      </c>
      <c r="D290" s="356" t="s">
        <v>1623</v>
      </c>
      <c r="E290" s="120" t="s">
        <v>1373</v>
      </c>
      <c r="F290" s="125" t="s">
        <v>1377</v>
      </c>
      <c r="G290" s="267">
        <v>35</v>
      </c>
      <c r="H290" s="267"/>
      <c r="I290" s="32"/>
    </row>
    <row r="291" spans="1:9" ht="105" x14ac:dyDescent="0.25">
      <c r="A291" s="488"/>
      <c r="B291" s="267">
        <v>17</v>
      </c>
      <c r="C291" s="484" t="s">
        <v>1106</v>
      </c>
      <c r="D291" s="356" t="s">
        <v>1619</v>
      </c>
      <c r="E291" s="120" t="s">
        <v>1373</v>
      </c>
      <c r="F291" s="125" t="s">
        <v>1408</v>
      </c>
      <c r="G291" s="267">
        <v>35</v>
      </c>
      <c r="H291" s="267"/>
      <c r="I291" s="32"/>
    </row>
    <row r="292" spans="1:9" ht="77.25" customHeight="1" x14ac:dyDescent="0.25">
      <c r="A292" s="488"/>
      <c r="B292" s="267">
        <v>18</v>
      </c>
      <c r="C292" s="484" t="s">
        <v>1390</v>
      </c>
      <c r="D292" s="356" t="s">
        <v>1585</v>
      </c>
      <c r="E292" s="120" t="s">
        <v>1373</v>
      </c>
      <c r="F292" s="125" t="s">
        <v>1408</v>
      </c>
      <c r="G292" s="267">
        <v>3.5179999999999998</v>
      </c>
      <c r="H292" s="267">
        <v>3.3730000000000002</v>
      </c>
      <c r="I292" s="32"/>
    </row>
    <row r="293" spans="1:9" ht="63" x14ac:dyDescent="0.25">
      <c r="A293" s="488"/>
      <c r="B293" s="267">
        <v>19</v>
      </c>
      <c r="C293" s="484" t="s">
        <v>1119</v>
      </c>
      <c r="D293" s="356" t="s">
        <v>1620</v>
      </c>
      <c r="E293" s="120" t="s">
        <v>1373</v>
      </c>
      <c r="F293" s="125" t="s">
        <v>1377</v>
      </c>
      <c r="G293" s="267"/>
      <c r="H293" s="267">
        <v>29</v>
      </c>
      <c r="I293" s="32"/>
    </row>
    <row r="294" spans="1:9" ht="75" x14ac:dyDescent="0.25">
      <c r="A294" s="488"/>
      <c r="B294" s="267">
        <v>20</v>
      </c>
      <c r="C294" s="484" t="s">
        <v>1248</v>
      </c>
      <c r="D294" s="356" t="s">
        <v>1587</v>
      </c>
      <c r="E294" s="120" t="s">
        <v>1373</v>
      </c>
      <c r="F294" s="125" t="s">
        <v>1377</v>
      </c>
      <c r="G294" s="267">
        <v>20</v>
      </c>
      <c r="H294" s="267">
        <v>8</v>
      </c>
      <c r="I294" s="32"/>
    </row>
    <row r="295" spans="1:9" ht="63" x14ac:dyDescent="0.25">
      <c r="A295" s="488"/>
      <c r="B295" s="267">
        <v>21</v>
      </c>
      <c r="C295" s="484" t="s">
        <v>1139</v>
      </c>
      <c r="D295" s="356" t="s">
        <v>1587</v>
      </c>
      <c r="E295" s="120" t="s">
        <v>1373</v>
      </c>
      <c r="F295" s="125" t="s">
        <v>1377</v>
      </c>
      <c r="G295" s="267">
        <v>20</v>
      </c>
      <c r="H295" s="267">
        <v>8</v>
      </c>
      <c r="I295" s="32"/>
    </row>
    <row r="296" spans="1:9" ht="63" x14ac:dyDescent="0.25">
      <c r="A296" s="488"/>
      <c r="B296" s="267">
        <v>22</v>
      </c>
      <c r="C296" s="484" t="s">
        <v>1152</v>
      </c>
      <c r="D296" s="356" t="s">
        <v>1587</v>
      </c>
      <c r="E296" s="120" t="s">
        <v>1373</v>
      </c>
      <c r="F296" s="125" t="s">
        <v>1377</v>
      </c>
      <c r="G296" s="267">
        <v>20</v>
      </c>
      <c r="H296" s="267">
        <v>8</v>
      </c>
      <c r="I296" s="32"/>
    </row>
    <row r="297" spans="1:9" ht="63" x14ac:dyDescent="0.25">
      <c r="A297" s="488"/>
      <c r="B297" s="267">
        <v>23</v>
      </c>
      <c r="C297" s="484" t="s">
        <v>1391</v>
      </c>
      <c r="D297" s="356" t="s">
        <v>1585</v>
      </c>
      <c r="E297" s="120" t="s">
        <v>1373</v>
      </c>
      <c r="F297" s="125" t="s">
        <v>1377</v>
      </c>
      <c r="G297" s="267">
        <v>3.5179999999999998</v>
      </c>
      <c r="H297" s="267">
        <v>3.3730000000000002</v>
      </c>
      <c r="I297" s="32"/>
    </row>
    <row r="298" spans="1:9" ht="63" x14ac:dyDescent="0.25">
      <c r="A298" s="488"/>
      <c r="B298" s="267">
        <v>24</v>
      </c>
      <c r="C298" s="484" t="s">
        <v>1156</v>
      </c>
      <c r="D298" s="356" t="s">
        <v>1585</v>
      </c>
      <c r="E298" s="120" t="s">
        <v>1373</v>
      </c>
      <c r="F298" s="125" t="s">
        <v>1377</v>
      </c>
      <c r="G298" s="267">
        <v>3.5179999999999998</v>
      </c>
      <c r="H298" s="267">
        <v>3.3730000000000002</v>
      </c>
      <c r="I298" s="32"/>
    </row>
    <row r="299" spans="1:9" ht="63" x14ac:dyDescent="0.25">
      <c r="A299" s="488"/>
      <c r="B299" s="267">
        <v>25</v>
      </c>
      <c r="C299" s="484" t="s">
        <v>1164</v>
      </c>
      <c r="D299" s="356" t="s">
        <v>1585</v>
      </c>
      <c r="E299" s="120" t="s">
        <v>1373</v>
      </c>
      <c r="F299" s="125" t="s">
        <v>1377</v>
      </c>
      <c r="G299" s="267">
        <v>3.5179999999999998</v>
      </c>
      <c r="H299" s="267">
        <v>3.3730000000000002</v>
      </c>
      <c r="I299" s="32"/>
    </row>
    <row r="300" spans="1:9" ht="241.5" customHeight="1" x14ac:dyDescent="0.25">
      <c r="A300" s="488"/>
      <c r="B300" s="267">
        <v>26</v>
      </c>
      <c r="C300" s="484" t="s">
        <v>1394</v>
      </c>
      <c r="D300" s="356" t="s">
        <v>1585</v>
      </c>
      <c r="E300" s="120" t="s">
        <v>1373</v>
      </c>
      <c r="F300" s="125" t="s">
        <v>1377</v>
      </c>
      <c r="G300" s="267">
        <v>3.5179999999999998</v>
      </c>
      <c r="H300" s="267">
        <v>3.3730000000000002</v>
      </c>
      <c r="I300" s="32"/>
    </row>
    <row r="301" spans="1:9" ht="241.5" customHeight="1" x14ac:dyDescent="0.25">
      <c r="A301" s="488"/>
      <c r="B301" s="267">
        <v>27</v>
      </c>
      <c r="C301" s="484" t="e">
        <f>#REF!</f>
        <v>#REF!</v>
      </c>
      <c r="D301" s="356" t="s">
        <v>1585</v>
      </c>
      <c r="E301" s="120" t="s">
        <v>1373</v>
      </c>
      <c r="F301" s="125" t="s">
        <v>1377</v>
      </c>
      <c r="G301" s="267">
        <v>3.5179999999999998</v>
      </c>
      <c r="H301" s="267">
        <v>3.3730000000000002</v>
      </c>
      <c r="I301" s="32"/>
    </row>
    <row r="302" spans="1:9" ht="63" x14ac:dyDescent="0.25">
      <c r="A302" s="488"/>
      <c r="B302" s="267">
        <v>28</v>
      </c>
      <c r="C302" s="484" t="s">
        <v>1173</v>
      </c>
      <c r="D302" s="356" t="s">
        <v>1585</v>
      </c>
      <c r="E302" s="120" t="s">
        <v>1373</v>
      </c>
      <c r="F302" s="125" t="s">
        <v>1377</v>
      </c>
      <c r="G302" s="267">
        <v>3.5179999999999998</v>
      </c>
      <c r="H302" s="267">
        <v>3.3730000000000002</v>
      </c>
      <c r="I302" s="32"/>
    </row>
    <row r="303" spans="1:9" ht="75" x14ac:dyDescent="0.25">
      <c r="A303" s="488"/>
      <c r="B303" s="267">
        <v>29</v>
      </c>
      <c r="C303" s="484" t="s">
        <v>1250</v>
      </c>
      <c r="D303" s="356" t="s">
        <v>1621</v>
      </c>
      <c r="E303" s="120" t="s">
        <v>1373</v>
      </c>
      <c r="F303" s="125" t="s">
        <v>1377</v>
      </c>
      <c r="G303" s="267">
        <v>13</v>
      </c>
      <c r="H303" s="267">
        <v>4</v>
      </c>
      <c r="I303" s="32"/>
    </row>
    <row r="304" spans="1:9" ht="63" x14ac:dyDescent="0.25">
      <c r="A304" s="488"/>
      <c r="B304" s="267">
        <v>30</v>
      </c>
      <c r="C304" s="484" t="s">
        <v>1432</v>
      </c>
      <c r="D304" s="356" t="s">
        <v>1621</v>
      </c>
      <c r="E304" s="120" t="s">
        <v>1373</v>
      </c>
      <c r="F304" s="125" t="s">
        <v>1377</v>
      </c>
      <c r="G304" s="267">
        <v>13</v>
      </c>
      <c r="H304" s="267">
        <v>4</v>
      </c>
      <c r="I304" s="32"/>
    </row>
    <row r="305" spans="1:9" ht="75" x14ac:dyDescent="0.25">
      <c r="A305" s="488"/>
      <c r="B305" s="267">
        <v>31</v>
      </c>
      <c r="C305" s="480" t="s">
        <v>1267</v>
      </c>
      <c r="D305" s="356" t="s">
        <v>1585</v>
      </c>
      <c r="E305" s="120" t="s">
        <v>1373</v>
      </c>
      <c r="F305" s="125" t="s">
        <v>1377</v>
      </c>
      <c r="G305" s="267">
        <v>3.5179999999999998</v>
      </c>
      <c r="H305" s="267">
        <v>3.3730000000000002</v>
      </c>
      <c r="I305" s="32"/>
    </row>
    <row r="306" spans="1:9" ht="105" x14ac:dyDescent="0.25">
      <c r="A306" s="488"/>
      <c r="B306" s="267">
        <v>32</v>
      </c>
      <c r="C306" s="480" t="s">
        <v>1296</v>
      </c>
      <c r="D306" s="356" t="s">
        <v>1585</v>
      </c>
      <c r="E306" s="120" t="s">
        <v>1373</v>
      </c>
      <c r="F306" s="125" t="s">
        <v>1377</v>
      </c>
      <c r="G306" s="267">
        <v>3.5179999999999998</v>
      </c>
      <c r="H306" s="267">
        <v>3.3730000000000002</v>
      </c>
      <c r="I306" s="32"/>
    </row>
    <row r="307" spans="1:9" ht="90" x14ac:dyDescent="0.25">
      <c r="A307" s="488"/>
      <c r="B307" s="267">
        <v>33</v>
      </c>
      <c r="C307" s="480" t="s">
        <v>1307</v>
      </c>
      <c r="D307" s="356" t="s">
        <v>1585</v>
      </c>
      <c r="E307" s="120" t="s">
        <v>1373</v>
      </c>
      <c r="F307" s="125" t="s">
        <v>1377</v>
      </c>
      <c r="G307" s="267">
        <v>3.5179999999999998</v>
      </c>
      <c r="H307" s="267">
        <v>3.3730000000000002</v>
      </c>
      <c r="I307" s="32"/>
    </row>
    <row r="308" spans="1:9" ht="90" x14ac:dyDescent="0.25">
      <c r="A308" s="488"/>
      <c r="B308" s="267">
        <v>34</v>
      </c>
      <c r="C308" s="480" t="s">
        <v>1313</v>
      </c>
      <c r="D308" s="356" t="s">
        <v>1585</v>
      </c>
      <c r="E308" s="120" t="s">
        <v>1373</v>
      </c>
      <c r="F308" s="125" t="s">
        <v>1377</v>
      </c>
      <c r="G308" s="267">
        <v>3.5179999999999998</v>
      </c>
      <c r="H308" s="267">
        <v>3.3730000000000002</v>
      </c>
      <c r="I308" s="32"/>
    </row>
    <row r="309" spans="1:9" ht="105" x14ac:dyDescent="0.25">
      <c r="A309" s="488"/>
      <c r="B309" s="267">
        <v>35</v>
      </c>
      <c r="C309" s="480" t="s">
        <v>1501</v>
      </c>
      <c r="D309" s="356" t="s">
        <v>1585</v>
      </c>
      <c r="E309" s="120" t="s">
        <v>1373</v>
      </c>
      <c r="F309" s="125" t="s">
        <v>1377</v>
      </c>
      <c r="G309" s="267">
        <v>3.5179999999999998</v>
      </c>
      <c r="H309" s="267">
        <v>3.3730000000000002</v>
      </c>
      <c r="I309" s="32"/>
    </row>
    <row r="310" spans="1:9" ht="63" x14ac:dyDescent="0.25">
      <c r="A310" s="488"/>
      <c r="B310" s="267">
        <v>36</v>
      </c>
      <c r="C310" s="480" t="s">
        <v>488</v>
      </c>
      <c r="D310" s="356" t="s">
        <v>1587</v>
      </c>
      <c r="E310" s="120" t="s">
        <v>1373</v>
      </c>
      <c r="F310" s="125" t="s">
        <v>1377</v>
      </c>
      <c r="G310" s="267">
        <v>20</v>
      </c>
      <c r="H310" s="267">
        <v>8</v>
      </c>
      <c r="I310" s="32"/>
    </row>
    <row r="311" spans="1:9" ht="75" x14ac:dyDescent="0.25">
      <c r="A311" s="488"/>
      <c r="B311" s="267">
        <v>37</v>
      </c>
      <c r="C311" s="480" t="s">
        <v>501</v>
      </c>
      <c r="D311" s="356" t="s">
        <v>1587</v>
      </c>
      <c r="E311" s="120" t="s">
        <v>1373</v>
      </c>
      <c r="F311" s="125" t="s">
        <v>1377</v>
      </c>
      <c r="G311" s="267">
        <v>20</v>
      </c>
      <c r="H311" s="267">
        <v>8</v>
      </c>
      <c r="I311" s="32"/>
    </row>
    <row r="312" spans="1:9" ht="63" x14ac:dyDescent="0.25">
      <c r="A312" s="488"/>
      <c r="B312" s="267">
        <v>38</v>
      </c>
      <c r="C312" s="480" t="s">
        <v>552</v>
      </c>
      <c r="D312" s="356" t="s">
        <v>1587</v>
      </c>
      <c r="E312" s="120" t="s">
        <v>1373</v>
      </c>
      <c r="F312" s="125" t="s">
        <v>1377</v>
      </c>
      <c r="G312" s="267">
        <v>20</v>
      </c>
      <c r="H312" s="267">
        <v>8</v>
      </c>
      <c r="I312" s="32"/>
    </row>
    <row r="313" spans="1:9" ht="63" x14ac:dyDescent="0.25">
      <c r="A313" s="488"/>
      <c r="B313" s="267">
        <v>39</v>
      </c>
      <c r="C313" s="480" t="s">
        <v>505</v>
      </c>
      <c r="D313" s="356" t="s">
        <v>1607</v>
      </c>
      <c r="E313" s="120" t="s">
        <v>1373</v>
      </c>
      <c r="F313" s="125" t="s">
        <v>1377</v>
      </c>
      <c r="G313" s="267">
        <v>8</v>
      </c>
      <c r="H313" s="267">
        <v>1</v>
      </c>
      <c r="I313" s="32"/>
    </row>
    <row r="314" spans="1:9" x14ac:dyDescent="0.25">
      <c r="A314" s="488"/>
      <c r="B314" s="267"/>
      <c r="C314" s="480"/>
      <c r="D314" s="356"/>
      <c r="E314" s="357"/>
      <c r="F314" s="267"/>
      <c r="G314" s="485"/>
      <c r="H314" s="485"/>
      <c r="I314" s="32"/>
    </row>
    <row r="315" spans="1:9" ht="96.75" customHeight="1" x14ac:dyDescent="0.25">
      <c r="A315" s="2155" t="s">
        <v>1603</v>
      </c>
      <c r="B315" s="267">
        <v>1</v>
      </c>
      <c r="C315" s="484" t="s">
        <v>587</v>
      </c>
      <c r="D315" s="356" t="s">
        <v>1585</v>
      </c>
      <c r="E315" s="120" t="s">
        <v>1373</v>
      </c>
      <c r="F315" s="114" t="s">
        <v>1377</v>
      </c>
      <c r="G315" s="485">
        <v>30</v>
      </c>
      <c r="H315" s="485"/>
      <c r="I315" s="32"/>
    </row>
    <row r="316" spans="1:9" ht="63" x14ac:dyDescent="0.25">
      <c r="A316" s="2156"/>
      <c r="B316" s="267">
        <v>2</v>
      </c>
      <c r="C316" s="480" t="s">
        <v>1392</v>
      </c>
      <c r="D316" s="356" t="s">
        <v>1585</v>
      </c>
      <c r="E316" s="120" t="s">
        <v>1373</v>
      </c>
      <c r="F316" s="114" t="s">
        <v>1377</v>
      </c>
      <c r="G316" s="485">
        <v>35</v>
      </c>
      <c r="H316" s="485"/>
      <c r="I316" s="32"/>
    </row>
    <row r="317" spans="1:9" ht="63" x14ac:dyDescent="0.25">
      <c r="A317" s="2156"/>
      <c r="B317" s="267">
        <v>3</v>
      </c>
      <c r="C317" s="484" t="s">
        <v>1529</v>
      </c>
      <c r="D317" s="356" t="s">
        <v>1585</v>
      </c>
      <c r="E317" s="120" t="s">
        <v>1373</v>
      </c>
      <c r="F317" s="114" t="s">
        <v>1377</v>
      </c>
      <c r="G317" s="485">
        <v>30</v>
      </c>
      <c r="H317" s="485"/>
      <c r="I317" s="32"/>
    </row>
    <row r="318" spans="1:9" ht="63" x14ac:dyDescent="0.25">
      <c r="A318" s="2156"/>
      <c r="B318" s="267">
        <v>4</v>
      </c>
      <c r="C318" s="484" t="s">
        <v>488</v>
      </c>
      <c r="D318" s="356" t="s">
        <v>1587</v>
      </c>
      <c r="E318" s="120" t="s">
        <v>1373</v>
      </c>
      <c r="F318" s="114" t="s">
        <v>1377</v>
      </c>
      <c r="G318" s="485">
        <v>20</v>
      </c>
      <c r="H318" s="485">
        <v>8</v>
      </c>
      <c r="I318" s="32"/>
    </row>
    <row r="319" spans="1:9" ht="75" x14ac:dyDescent="0.25">
      <c r="A319" s="2156"/>
      <c r="B319" s="267">
        <v>5</v>
      </c>
      <c r="C319" s="484" t="s">
        <v>501</v>
      </c>
      <c r="D319" s="356" t="s">
        <v>1587</v>
      </c>
      <c r="E319" s="120" t="s">
        <v>1373</v>
      </c>
      <c r="F319" s="114" t="s">
        <v>1377</v>
      </c>
      <c r="G319" s="485">
        <v>20</v>
      </c>
      <c r="H319" s="485">
        <v>8</v>
      </c>
      <c r="I319" s="32"/>
    </row>
    <row r="320" spans="1:9" ht="63" x14ac:dyDescent="0.25">
      <c r="A320" s="2156"/>
      <c r="B320" s="267">
        <v>6</v>
      </c>
      <c r="C320" s="484" t="s">
        <v>552</v>
      </c>
      <c r="D320" s="356" t="s">
        <v>1587</v>
      </c>
      <c r="E320" s="120" t="s">
        <v>1373</v>
      </c>
      <c r="F320" s="114" t="s">
        <v>1377</v>
      </c>
      <c r="G320" s="485">
        <v>20</v>
      </c>
      <c r="H320" s="485">
        <v>8</v>
      </c>
      <c r="I320" s="32"/>
    </row>
    <row r="321" spans="1:9" ht="63" x14ac:dyDescent="0.25">
      <c r="A321" s="2156"/>
      <c r="B321" s="267">
        <v>7</v>
      </c>
      <c r="C321" s="484" t="s">
        <v>505</v>
      </c>
      <c r="D321" s="356" t="s">
        <v>1607</v>
      </c>
      <c r="E321" s="120" t="s">
        <v>1373</v>
      </c>
      <c r="F321" s="114" t="s">
        <v>1377</v>
      </c>
      <c r="G321" s="485">
        <v>8</v>
      </c>
      <c r="H321" s="485">
        <v>1</v>
      </c>
      <c r="I321" s="32"/>
    </row>
    <row r="322" spans="1:9" ht="90" x14ac:dyDescent="0.25">
      <c r="A322" s="2156"/>
      <c r="B322" s="267">
        <v>8</v>
      </c>
      <c r="C322" s="484" t="s">
        <v>580</v>
      </c>
      <c r="D322" s="356" t="s">
        <v>1620</v>
      </c>
      <c r="E322" s="120" t="s">
        <v>1373</v>
      </c>
      <c r="F322" s="114" t="s">
        <v>1377</v>
      </c>
      <c r="G322" s="485"/>
      <c r="H322" s="485">
        <v>32</v>
      </c>
      <c r="I322" s="32"/>
    </row>
    <row r="323" spans="1:9" ht="63" x14ac:dyDescent="0.25">
      <c r="A323" s="2156"/>
      <c r="B323" s="267">
        <v>9</v>
      </c>
      <c r="C323" s="484" t="s">
        <v>1505</v>
      </c>
      <c r="D323" s="356" t="s">
        <v>1585</v>
      </c>
      <c r="E323" s="120" t="s">
        <v>1373</v>
      </c>
      <c r="F323" s="114" t="s">
        <v>1377</v>
      </c>
      <c r="G323" s="485">
        <v>50</v>
      </c>
      <c r="H323" s="485"/>
      <c r="I323" s="32"/>
    </row>
    <row r="324" spans="1:9" ht="90" x14ac:dyDescent="0.25">
      <c r="A324" s="2156"/>
      <c r="B324" s="267">
        <v>10</v>
      </c>
      <c r="C324" s="484" t="s">
        <v>1512</v>
      </c>
      <c r="D324" s="356" t="s">
        <v>1620</v>
      </c>
      <c r="E324" s="120" t="s">
        <v>1373</v>
      </c>
      <c r="F324" s="114" t="s">
        <v>1377</v>
      </c>
      <c r="G324" s="485"/>
      <c r="H324" s="485">
        <v>32</v>
      </c>
      <c r="I324" s="32"/>
    </row>
    <row r="325" spans="1:9" x14ac:dyDescent="0.25">
      <c r="A325" s="2157"/>
      <c r="B325" s="267"/>
      <c r="C325" s="487"/>
      <c r="D325" s="32"/>
      <c r="E325" s="357"/>
      <c r="F325" s="267"/>
      <c r="G325" s="485"/>
      <c r="H325" s="485"/>
      <c r="I325" s="32"/>
    </row>
    <row r="326" spans="1:9" ht="63" x14ac:dyDescent="0.25">
      <c r="A326" s="2155" t="s">
        <v>1604</v>
      </c>
      <c r="B326" s="267">
        <v>1</v>
      </c>
      <c r="C326" s="484" t="s">
        <v>8</v>
      </c>
      <c r="D326" s="356" t="s">
        <v>1587</v>
      </c>
      <c r="E326" s="120" t="s">
        <v>1373</v>
      </c>
      <c r="F326" s="125" t="s">
        <v>1374</v>
      </c>
      <c r="G326" s="114">
        <v>1</v>
      </c>
      <c r="H326" s="114"/>
      <c r="I326" s="114"/>
    </row>
    <row r="327" spans="1:9" ht="63" x14ac:dyDescent="0.25">
      <c r="A327" s="2156"/>
      <c r="B327" s="267">
        <v>2</v>
      </c>
      <c r="C327" s="484" t="s">
        <v>37</v>
      </c>
      <c r="D327" s="356" t="s">
        <v>1587</v>
      </c>
      <c r="E327" s="120" t="s">
        <v>1373</v>
      </c>
      <c r="F327" s="125" t="s">
        <v>1374</v>
      </c>
      <c r="G327" s="114">
        <v>12</v>
      </c>
      <c r="H327" s="114">
        <v>3</v>
      </c>
      <c r="I327" s="114"/>
    </row>
    <row r="328" spans="1:9" ht="75" x14ac:dyDescent="0.25">
      <c r="A328" s="2156"/>
      <c r="B328" s="267">
        <v>3</v>
      </c>
      <c r="C328" s="484" t="s">
        <v>61</v>
      </c>
      <c r="D328" s="356" t="s">
        <v>1587</v>
      </c>
      <c r="E328" s="120" t="s">
        <v>1373</v>
      </c>
      <c r="F328" s="125" t="s">
        <v>1374</v>
      </c>
      <c r="G328" s="114">
        <v>13</v>
      </c>
      <c r="H328" s="114">
        <v>3</v>
      </c>
      <c r="I328" s="114"/>
    </row>
    <row r="329" spans="1:9" ht="63" x14ac:dyDescent="0.25">
      <c r="A329" s="2156"/>
      <c r="B329" s="267">
        <v>4</v>
      </c>
      <c r="C329" s="484" t="s">
        <v>84</v>
      </c>
      <c r="D329" s="356" t="s">
        <v>1587</v>
      </c>
      <c r="E329" s="120" t="s">
        <v>1373</v>
      </c>
      <c r="F329" s="125" t="s">
        <v>1374</v>
      </c>
      <c r="G329" s="114">
        <v>3.5179999999999998</v>
      </c>
      <c r="H329" s="114">
        <v>3.3730000000000002</v>
      </c>
      <c r="I329" s="114"/>
    </row>
    <row r="330" spans="1:9" ht="75" x14ac:dyDescent="0.25">
      <c r="A330" s="2156"/>
      <c r="B330" s="267">
        <v>5</v>
      </c>
      <c r="C330" s="484" t="s">
        <v>522</v>
      </c>
      <c r="D330" s="356" t="s">
        <v>1587</v>
      </c>
      <c r="E330" s="120" t="s">
        <v>1373</v>
      </c>
      <c r="F330" s="125" t="s">
        <v>1374</v>
      </c>
      <c r="G330" s="114">
        <v>20</v>
      </c>
      <c r="H330" s="114">
        <v>9</v>
      </c>
      <c r="I330" s="114"/>
    </row>
    <row r="331" spans="1:9" ht="63" x14ac:dyDescent="0.25">
      <c r="A331" s="2156"/>
      <c r="B331" s="267">
        <v>6</v>
      </c>
      <c r="C331" s="484" t="s">
        <v>278</v>
      </c>
      <c r="D331" s="356" t="s">
        <v>1607</v>
      </c>
      <c r="E331" s="120" t="s">
        <v>1373</v>
      </c>
      <c r="F331" s="125" t="s">
        <v>1374</v>
      </c>
      <c r="G331" s="114">
        <v>8</v>
      </c>
      <c r="H331" s="114">
        <v>1</v>
      </c>
      <c r="I331" s="114"/>
    </row>
    <row r="332" spans="1:9" ht="63" x14ac:dyDescent="0.25">
      <c r="A332" s="2156"/>
      <c r="B332" s="267">
        <v>7</v>
      </c>
      <c r="C332" s="484" t="s">
        <v>299</v>
      </c>
      <c r="D332" s="356" t="s">
        <v>1607</v>
      </c>
      <c r="E332" s="120" t="s">
        <v>1373</v>
      </c>
      <c r="F332" s="125" t="s">
        <v>1408</v>
      </c>
      <c r="G332" s="114">
        <v>8</v>
      </c>
      <c r="H332" s="114">
        <v>1</v>
      </c>
      <c r="I332" s="114"/>
    </row>
    <row r="333" spans="1:9" ht="63" x14ac:dyDescent="0.25">
      <c r="A333" s="2156"/>
      <c r="B333" s="267">
        <v>8</v>
      </c>
      <c r="C333" s="484" t="s">
        <v>322</v>
      </c>
      <c r="D333" s="356" t="s">
        <v>1607</v>
      </c>
      <c r="E333" s="120" t="s">
        <v>1373</v>
      </c>
      <c r="F333" s="125" t="s">
        <v>1410</v>
      </c>
      <c r="G333" s="114">
        <v>3.5179999999999998</v>
      </c>
      <c r="H333" s="114">
        <v>3.3730000000000002</v>
      </c>
      <c r="I333" s="114"/>
    </row>
    <row r="334" spans="1:9" ht="63" x14ac:dyDescent="0.25">
      <c r="A334" s="2156"/>
      <c r="B334" s="267">
        <v>9</v>
      </c>
      <c r="C334" s="484" t="s">
        <v>337</v>
      </c>
      <c r="D334" s="356" t="s">
        <v>1587</v>
      </c>
      <c r="E334" s="120" t="s">
        <v>1373</v>
      </c>
      <c r="F334" s="125" t="s">
        <v>1412</v>
      </c>
      <c r="G334" s="114">
        <v>9</v>
      </c>
      <c r="H334" s="114">
        <v>4</v>
      </c>
      <c r="I334" s="114"/>
    </row>
    <row r="335" spans="1:9" ht="59.25" customHeight="1" x14ac:dyDescent="0.25">
      <c r="A335" s="2156"/>
      <c r="B335" s="267">
        <v>10</v>
      </c>
      <c r="C335" s="480" t="s">
        <v>1627</v>
      </c>
      <c r="D335" s="356" t="s">
        <v>1583</v>
      </c>
      <c r="E335" s="120" t="s">
        <v>1373</v>
      </c>
      <c r="F335" s="125" t="s">
        <v>1414</v>
      </c>
      <c r="G335" s="114">
        <v>3.5179999999999998</v>
      </c>
      <c r="H335" s="114">
        <v>3.3730000000000002</v>
      </c>
      <c r="I335" s="114"/>
    </row>
    <row r="336" spans="1:9" ht="63" x14ac:dyDescent="0.25">
      <c r="A336" s="2156"/>
      <c r="B336" s="267">
        <v>11</v>
      </c>
      <c r="C336" s="484" t="s">
        <v>529</v>
      </c>
      <c r="D336" s="356" t="s">
        <v>1587</v>
      </c>
      <c r="E336" s="120" t="s">
        <v>1373</v>
      </c>
      <c r="F336" s="125" t="s">
        <v>1374</v>
      </c>
      <c r="G336" s="114">
        <v>3.5179999999999998</v>
      </c>
      <c r="H336" s="114">
        <v>3.3730000000000002</v>
      </c>
      <c r="I336" s="114"/>
    </row>
    <row r="337" spans="1:9" ht="63" x14ac:dyDescent="0.25">
      <c r="A337" s="2156"/>
      <c r="B337" s="267">
        <v>12</v>
      </c>
      <c r="C337" s="484" t="s">
        <v>542</v>
      </c>
      <c r="D337" s="356" t="s">
        <v>1587</v>
      </c>
      <c r="E337" s="120" t="s">
        <v>1373</v>
      </c>
      <c r="F337" s="125" t="s">
        <v>1374</v>
      </c>
      <c r="G337" s="114">
        <v>20</v>
      </c>
      <c r="H337" s="114">
        <v>8</v>
      </c>
      <c r="I337" s="114"/>
    </row>
    <row r="338" spans="1:9" ht="63" x14ac:dyDescent="0.25">
      <c r="A338" s="2156"/>
      <c r="B338" s="267">
        <v>13</v>
      </c>
      <c r="C338" s="484" t="s">
        <v>603</v>
      </c>
      <c r="D338" s="356" t="s">
        <v>1585</v>
      </c>
      <c r="E338" s="120" t="s">
        <v>1373</v>
      </c>
      <c r="F338" s="125" t="s">
        <v>1374</v>
      </c>
      <c r="G338" s="114">
        <v>1</v>
      </c>
      <c r="H338" s="114"/>
      <c r="I338" s="114"/>
    </row>
    <row r="339" spans="1:9" ht="63" x14ac:dyDescent="0.25">
      <c r="A339" s="2156"/>
      <c r="B339" s="267">
        <v>14</v>
      </c>
      <c r="C339" s="484" t="s">
        <v>463</v>
      </c>
      <c r="D339" s="356" t="s">
        <v>1587</v>
      </c>
      <c r="E339" s="120" t="s">
        <v>1373</v>
      </c>
      <c r="F339" s="125" t="s">
        <v>1414</v>
      </c>
      <c r="G339" s="114">
        <v>20</v>
      </c>
      <c r="H339" s="114">
        <v>8</v>
      </c>
      <c r="I339" s="114"/>
    </row>
    <row r="340" spans="1:9" ht="63" x14ac:dyDescent="0.25">
      <c r="A340" s="2156"/>
      <c r="B340" s="267">
        <v>15</v>
      </c>
      <c r="C340" s="484" t="s">
        <v>609</v>
      </c>
      <c r="D340" s="356" t="s">
        <v>1587</v>
      </c>
      <c r="E340" s="120" t="s">
        <v>1373</v>
      </c>
      <c r="F340" s="125" t="s">
        <v>1417</v>
      </c>
      <c r="G340" s="114">
        <v>3.5179999999999998</v>
      </c>
      <c r="H340" s="114">
        <v>3.3730000000000002</v>
      </c>
      <c r="I340" s="114"/>
    </row>
    <row r="341" spans="1:9" ht="63" x14ac:dyDescent="0.25">
      <c r="A341" s="2156"/>
      <c r="B341" s="267">
        <v>16</v>
      </c>
      <c r="C341" s="484" t="s">
        <v>616</v>
      </c>
      <c r="D341" s="356" t="s">
        <v>1587</v>
      </c>
      <c r="E341" s="120" t="s">
        <v>1373</v>
      </c>
      <c r="F341" s="125" t="s">
        <v>1417</v>
      </c>
      <c r="G341" s="114">
        <v>3.5179999999999998</v>
      </c>
      <c r="H341" s="114">
        <v>3.3730000000000002</v>
      </c>
      <c r="I341" s="114"/>
    </row>
    <row r="342" spans="1:9" ht="63" x14ac:dyDescent="0.25">
      <c r="A342" s="2156"/>
      <c r="B342" s="267">
        <v>17</v>
      </c>
      <c r="C342" s="484" t="s">
        <v>617</v>
      </c>
      <c r="D342" s="356" t="s">
        <v>1607</v>
      </c>
      <c r="E342" s="120" t="s">
        <v>1373</v>
      </c>
      <c r="F342" s="125" t="s">
        <v>1417</v>
      </c>
      <c r="G342" s="114">
        <v>3.5179999999999998</v>
      </c>
      <c r="H342" s="114">
        <v>3.3730000000000002</v>
      </c>
      <c r="I342" s="114"/>
    </row>
    <row r="343" spans="1:9" ht="63" x14ac:dyDescent="0.25">
      <c r="A343" s="2156"/>
      <c r="B343" s="267">
        <v>18</v>
      </c>
      <c r="C343" s="484" t="s">
        <v>618</v>
      </c>
      <c r="D343" s="356" t="s">
        <v>1587</v>
      </c>
      <c r="E343" s="120" t="s">
        <v>1373</v>
      </c>
      <c r="F343" s="125" t="s">
        <v>1417</v>
      </c>
      <c r="G343" s="114">
        <v>3.5179999999999998</v>
      </c>
      <c r="H343" s="114">
        <v>3.3730000000000002</v>
      </c>
      <c r="I343" s="114"/>
    </row>
    <row r="344" spans="1:9" ht="63" x14ac:dyDescent="0.25">
      <c r="A344" s="2156"/>
      <c r="B344" s="267">
        <v>19</v>
      </c>
      <c r="C344" s="484" t="s">
        <v>619</v>
      </c>
      <c r="D344" s="356" t="s">
        <v>1587</v>
      </c>
      <c r="E344" s="120" t="s">
        <v>1373</v>
      </c>
      <c r="F344" s="125" t="s">
        <v>1417</v>
      </c>
      <c r="G344" s="114">
        <v>3.5179999999999998</v>
      </c>
      <c r="H344" s="114">
        <v>3.3730000000000002</v>
      </c>
      <c r="I344" s="114"/>
    </row>
    <row r="345" spans="1:9" ht="75" x14ac:dyDescent="0.25">
      <c r="A345" s="2156"/>
      <c r="B345" s="267">
        <v>20</v>
      </c>
      <c r="C345" s="484" t="s">
        <v>369</v>
      </c>
      <c r="D345" s="356" t="s">
        <v>1585</v>
      </c>
      <c r="E345" s="120" t="s">
        <v>1373</v>
      </c>
      <c r="F345" s="125" t="s">
        <v>1417</v>
      </c>
      <c r="G345" s="114">
        <v>3.5179999999999998</v>
      </c>
      <c r="H345" s="114">
        <v>3.3730000000000002</v>
      </c>
      <c r="I345" s="114"/>
    </row>
    <row r="346" spans="1:9" ht="75" x14ac:dyDescent="0.25">
      <c r="A346" s="2156"/>
      <c r="B346" s="267">
        <v>21</v>
      </c>
      <c r="C346" s="484" t="s">
        <v>1452</v>
      </c>
      <c r="D346" s="356" t="s">
        <v>1585</v>
      </c>
      <c r="E346" s="120" t="s">
        <v>1373</v>
      </c>
      <c r="F346" s="125" t="s">
        <v>1417</v>
      </c>
      <c r="G346" s="114">
        <v>3.5179999999999998</v>
      </c>
      <c r="H346" s="114">
        <v>3.3730000000000002</v>
      </c>
      <c r="I346" s="114"/>
    </row>
    <row r="347" spans="1:9" ht="75" x14ac:dyDescent="0.25">
      <c r="A347" s="2156"/>
      <c r="B347" s="267">
        <v>22</v>
      </c>
      <c r="C347" s="484" t="s">
        <v>1513</v>
      </c>
      <c r="D347" s="356" t="s">
        <v>1587</v>
      </c>
      <c r="E347" s="120" t="s">
        <v>1373</v>
      </c>
      <c r="F347" s="125" t="s">
        <v>1417</v>
      </c>
      <c r="G347" s="114">
        <v>20</v>
      </c>
      <c r="H347" s="114">
        <v>8</v>
      </c>
      <c r="I347" s="119"/>
    </row>
    <row r="348" spans="1:9" ht="90" x14ac:dyDescent="0.25">
      <c r="A348" s="2156"/>
      <c r="B348" s="267">
        <v>23</v>
      </c>
      <c r="C348" s="484" t="s">
        <v>349</v>
      </c>
      <c r="D348" s="356" t="s">
        <v>1585</v>
      </c>
      <c r="E348" s="120" t="s">
        <v>1373</v>
      </c>
      <c r="F348" s="125" t="s">
        <v>1421</v>
      </c>
      <c r="G348" s="114">
        <v>3.5179999999999998</v>
      </c>
      <c r="H348" s="114">
        <v>3.3730000000000002</v>
      </c>
      <c r="I348" s="356"/>
    </row>
    <row r="349" spans="1:9" ht="63" x14ac:dyDescent="0.25">
      <c r="A349" s="2156"/>
      <c r="B349" s="267">
        <v>24</v>
      </c>
      <c r="C349" s="484" t="s">
        <v>403</v>
      </c>
      <c r="D349" s="356" t="s">
        <v>1587</v>
      </c>
      <c r="E349" s="120" t="s">
        <v>1373</v>
      </c>
      <c r="F349" s="125" t="s">
        <v>1377</v>
      </c>
      <c r="G349" s="114">
        <v>3.5179999999999998</v>
      </c>
      <c r="H349" s="114">
        <v>3.3730000000000002</v>
      </c>
      <c r="I349" s="356"/>
    </row>
    <row r="350" spans="1:9" ht="105" x14ac:dyDescent="0.25">
      <c r="A350" s="2156"/>
      <c r="B350" s="267">
        <v>25</v>
      </c>
      <c r="C350" s="484" t="s">
        <v>422</v>
      </c>
      <c r="D350" s="356" t="s">
        <v>1587</v>
      </c>
      <c r="E350" s="120" t="s">
        <v>1373</v>
      </c>
      <c r="F350" s="125" t="s">
        <v>1422</v>
      </c>
      <c r="G350" s="114">
        <v>3.5179999999999998</v>
      </c>
      <c r="H350" s="114">
        <v>3.3730000000000002</v>
      </c>
      <c r="I350" s="356"/>
    </row>
    <row r="351" spans="1:9" ht="63" x14ac:dyDescent="0.25">
      <c r="A351" s="2156"/>
      <c r="B351" s="267">
        <v>26</v>
      </c>
      <c r="C351" s="484" t="s">
        <v>427</v>
      </c>
      <c r="D351" s="356" t="s">
        <v>1587</v>
      </c>
      <c r="E351" s="120" t="s">
        <v>1373</v>
      </c>
      <c r="F351" s="125" t="s">
        <v>1423</v>
      </c>
      <c r="G351" s="114">
        <v>3.5179999999999998</v>
      </c>
      <c r="H351" s="114">
        <v>3.3730000000000002</v>
      </c>
      <c r="I351" s="356"/>
    </row>
    <row r="352" spans="1:9" ht="63" x14ac:dyDescent="0.25">
      <c r="A352" s="2156"/>
      <c r="B352" s="267">
        <v>27</v>
      </c>
      <c r="C352" s="484" t="s">
        <v>634</v>
      </c>
      <c r="D352" s="356" t="s">
        <v>1587</v>
      </c>
      <c r="E352" s="120" t="s">
        <v>1373</v>
      </c>
      <c r="F352" s="125" t="s">
        <v>1377</v>
      </c>
      <c r="G352" s="114">
        <v>3.5179999999999998</v>
      </c>
      <c r="H352" s="114">
        <v>3.3730000000000002</v>
      </c>
      <c r="I352" s="356"/>
    </row>
    <row r="353" spans="1:9" ht="63" x14ac:dyDescent="0.25">
      <c r="A353" s="2156"/>
      <c r="B353" s="267">
        <v>28</v>
      </c>
      <c r="C353" s="484" t="s">
        <v>452</v>
      </c>
      <c r="D353" s="356" t="s">
        <v>1587</v>
      </c>
      <c r="E353" s="120" t="s">
        <v>1373</v>
      </c>
      <c r="F353" s="125" t="s">
        <v>1377</v>
      </c>
      <c r="G353" s="114">
        <v>3.5179999999999998</v>
      </c>
      <c r="H353" s="114">
        <v>3.3730000000000002</v>
      </c>
      <c r="I353" s="356"/>
    </row>
    <row r="354" spans="1:9" ht="63" x14ac:dyDescent="0.25">
      <c r="A354" s="2156"/>
      <c r="B354" s="267">
        <v>29</v>
      </c>
      <c r="C354" s="484" t="s">
        <v>454</v>
      </c>
      <c r="D354" s="356" t="s">
        <v>1587</v>
      </c>
      <c r="E354" s="120" t="s">
        <v>1373</v>
      </c>
      <c r="F354" s="125" t="s">
        <v>1377</v>
      </c>
      <c r="G354" s="114">
        <v>3.5179999999999998</v>
      </c>
      <c r="H354" s="114">
        <v>3.3730000000000002</v>
      </c>
      <c r="I354" s="356"/>
    </row>
    <row r="355" spans="1:9" ht="63" x14ac:dyDescent="0.25">
      <c r="A355" s="2156"/>
      <c r="B355" s="267">
        <v>30</v>
      </c>
      <c r="C355" s="484" t="s">
        <v>456</v>
      </c>
      <c r="D355" s="356" t="s">
        <v>1587</v>
      </c>
      <c r="E355" s="120" t="s">
        <v>1373</v>
      </c>
      <c r="F355" s="125" t="s">
        <v>1377</v>
      </c>
      <c r="G355" s="114">
        <v>3.5179999999999998</v>
      </c>
      <c r="H355" s="114">
        <v>3.3730000000000002</v>
      </c>
      <c r="I355" s="356"/>
    </row>
    <row r="356" spans="1:9" ht="90" x14ac:dyDescent="0.25">
      <c r="A356" s="2156"/>
      <c r="B356" s="267">
        <v>31</v>
      </c>
      <c r="C356" s="484" t="s">
        <v>437</v>
      </c>
      <c r="D356" s="356" t="s">
        <v>1587</v>
      </c>
      <c r="E356" s="120" t="s">
        <v>1373</v>
      </c>
      <c r="F356" s="128" t="s">
        <v>1377</v>
      </c>
      <c r="G356" s="114">
        <v>3.5179999999999998</v>
      </c>
      <c r="H356" s="114">
        <v>3.3730000000000002</v>
      </c>
      <c r="I356" s="472"/>
    </row>
    <row r="357" spans="1:9" ht="120" x14ac:dyDescent="0.25">
      <c r="A357" s="2156"/>
      <c r="B357" s="267">
        <v>32</v>
      </c>
      <c r="C357" s="484" t="s">
        <v>1091</v>
      </c>
      <c r="D357" s="356" t="s">
        <v>1585</v>
      </c>
      <c r="E357" s="120" t="s">
        <v>1373</v>
      </c>
      <c r="F357" s="125" t="s">
        <v>1377</v>
      </c>
      <c r="G357" s="267">
        <v>3.5179999999999998</v>
      </c>
      <c r="H357" s="267">
        <v>3.3730000000000002</v>
      </c>
      <c r="I357" s="356"/>
    </row>
    <row r="358" spans="1:9" ht="120" x14ac:dyDescent="0.25">
      <c r="A358" s="2156"/>
      <c r="B358" s="267">
        <v>33</v>
      </c>
      <c r="C358" s="484" t="s">
        <v>1099</v>
      </c>
      <c r="D358" s="356" t="s">
        <v>1585</v>
      </c>
      <c r="E358" s="120" t="s">
        <v>1373</v>
      </c>
      <c r="F358" s="125" t="s">
        <v>1377</v>
      </c>
      <c r="G358" s="267">
        <v>3.5179999999999998</v>
      </c>
      <c r="H358" s="267">
        <v>3.3730000000000002</v>
      </c>
      <c r="I358" s="356"/>
    </row>
    <row r="359" spans="1:9" ht="121.5" customHeight="1" x14ac:dyDescent="0.25">
      <c r="A359" s="2156"/>
      <c r="B359" s="267">
        <v>34</v>
      </c>
      <c r="C359" s="484" t="s">
        <v>1103</v>
      </c>
      <c r="D359" s="356" t="s">
        <v>1619</v>
      </c>
      <c r="E359" s="120" t="s">
        <v>1373</v>
      </c>
      <c r="F359" s="125" t="s">
        <v>1377</v>
      </c>
      <c r="G359" s="267">
        <v>35</v>
      </c>
      <c r="H359" s="267"/>
      <c r="I359" s="356"/>
    </row>
    <row r="360" spans="1:9" ht="105" x14ac:dyDescent="0.25">
      <c r="A360" s="2156"/>
      <c r="B360" s="267">
        <v>35</v>
      </c>
      <c r="C360" s="484" t="s">
        <v>1106</v>
      </c>
      <c r="D360" s="356" t="s">
        <v>1619</v>
      </c>
      <c r="E360" s="120" t="s">
        <v>1373</v>
      </c>
      <c r="F360" s="125" t="s">
        <v>1408</v>
      </c>
      <c r="G360" s="267">
        <v>35</v>
      </c>
      <c r="H360" s="267"/>
      <c r="I360" s="356"/>
    </row>
    <row r="361" spans="1:9" ht="63" x14ac:dyDescent="0.25">
      <c r="A361" s="2156"/>
      <c r="B361" s="267">
        <v>36</v>
      </c>
      <c r="C361" s="484" t="s">
        <v>1119</v>
      </c>
      <c r="D361" s="356" t="s">
        <v>1624</v>
      </c>
      <c r="E361" s="120" t="s">
        <v>1373</v>
      </c>
      <c r="F361" s="125" t="s">
        <v>1377</v>
      </c>
      <c r="G361" s="267"/>
      <c r="H361" s="267">
        <v>29</v>
      </c>
      <c r="I361" s="32"/>
    </row>
    <row r="362" spans="1:9" ht="75" x14ac:dyDescent="0.25">
      <c r="A362" s="2156"/>
      <c r="B362" s="267">
        <v>37</v>
      </c>
      <c r="C362" s="484" t="s">
        <v>1248</v>
      </c>
      <c r="D362" s="356" t="s">
        <v>1587</v>
      </c>
      <c r="E362" s="120" t="s">
        <v>1373</v>
      </c>
      <c r="F362" s="125" t="s">
        <v>1377</v>
      </c>
      <c r="G362" s="267">
        <v>20</v>
      </c>
      <c r="H362" s="267">
        <v>8</v>
      </c>
      <c r="I362" s="32"/>
    </row>
    <row r="363" spans="1:9" ht="63" x14ac:dyDescent="0.25">
      <c r="A363" s="2156"/>
      <c r="B363" s="267">
        <v>38</v>
      </c>
      <c r="C363" s="484" t="s">
        <v>1139</v>
      </c>
      <c r="D363" s="356" t="s">
        <v>1587</v>
      </c>
      <c r="E363" s="120" t="s">
        <v>1373</v>
      </c>
      <c r="F363" s="125" t="s">
        <v>1377</v>
      </c>
      <c r="G363" s="267">
        <v>20</v>
      </c>
      <c r="H363" s="267">
        <v>8</v>
      </c>
      <c r="I363" s="32"/>
    </row>
    <row r="364" spans="1:9" ht="63" x14ac:dyDescent="0.25">
      <c r="A364" s="2156"/>
      <c r="B364" s="267">
        <v>39</v>
      </c>
      <c r="C364" s="484" t="s">
        <v>1152</v>
      </c>
      <c r="D364" s="356" t="s">
        <v>1585</v>
      </c>
      <c r="E364" s="120" t="s">
        <v>1373</v>
      </c>
      <c r="F364" s="125" t="s">
        <v>1377</v>
      </c>
      <c r="G364" s="267">
        <v>20</v>
      </c>
      <c r="H364" s="267">
        <v>8</v>
      </c>
      <c r="I364" s="32"/>
    </row>
    <row r="365" spans="1:9" ht="63" x14ac:dyDescent="0.25">
      <c r="A365" s="2156"/>
      <c r="B365" s="267">
        <v>40</v>
      </c>
      <c r="C365" s="484" t="s">
        <v>1391</v>
      </c>
      <c r="D365" s="356" t="s">
        <v>1585</v>
      </c>
      <c r="E365" s="120" t="s">
        <v>1373</v>
      </c>
      <c r="F365" s="125" t="s">
        <v>1377</v>
      </c>
      <c r="G365" s="267">
        <v>3.5179999999999998</v>
      </c>
      <c r="H365" s="267">
        <v>3.3730000000000002</v>
      </c>
      <c r="I365" s="32"/>
    </row>
    <row r="366" spans="1:9" ht="63" x14ac:dyDescent="0.25">
      <c r="A366" s="2156"/>
      <c r="B366" s="267">
        <v>41</v>
      </c>
      <c r="C366" s="484" t="s">
        <v>1156</v>
      </c>
      <c r="D366" s="356" t="s">
        <v>1585</v>
      </c>
      <c r="E366" s="120" t="s">
        <v>1373</v>
      </c>
      <c r="F366" s="125" t="s">
        <v>1377</v>
      </c>
      <c r="G366" s="267">
        <v>3.5179999999999998</v>
      </c>
      <c r="H366" s="267">
        <v>3.3730000000000002</v>
      </c>
      <c r="I366" s="32"/>
    </row>
    <row r="367" spans="1:9" ht="63" x14ac:dyDescent="0.25">
      <c r="A367" s="2156"/>
      <c r="B367" s="267">
        <v>42</v>
      </c>
      <c r="C367" s="484" t="s">
        <v>1164</v>
      </c>
      <c r="D367" s="356" t="s">
        <v>1585</v>
      </c>
      <c r="E367" s="120" t="s">
        <v>1373</v>
      </c>
      <c r="F367" s="125" t="s">
        <v>1377</v>
      </c>
      <c r="G367" s="267">
        <v>3.5179999999999998</v>
      </c>
      <c r="H367" s="267">
        <v>3.3730000000000002</v>
      </c>
      <c r="I367" s="32"/>
    </row>
    <row r="368" spans="1:9" ht="225" x14ac:dyDescent="0.25">
      <c r="A368" s="2156"/>
      <c r="B368" s="267">
        <v>43</v>
      </c>
      <c r="C368" s="484" t="s">
        <v>1394</v>
      </c>
      <c r="D368" s="356" t="s">
        <v>1585</v>
      </c>
      <c r="E368" s="120" t="s">
        <v>1373</v>
      </c>
      <c r="F368" s="125" t="s">
        <v>1377</v>
      </c>
      <c r="G368" s="267">
        <v>3.5179999999999998</v>
      </c>
      <c r="H368" s="267">
        <v>3.3730000000000002</v>
      </c>
      <c r="I368" s="356"/>
    </row>
    <row r="369" spans="1:9" ht="77.25" customHeight="1" x14ac:dyDescent="0.25">
      <c r="A369" s="2156"/>
      <c r="B369" s="267">
        <v>44</v>
      </c>
      <c r="C369" s="484" t="e">
        <f>#REF!</f>
        <v>#REF!</v>
      </c>
      <c r="D369" s="356"/>
      <c r="E369" s="120"/>
      <c r="F369" s="125"/>
      <c r="G369" s="267"/>
      <c r="H369" s="267"/>
      <c r="I369" s="356"/>
    </row>
    <row r="370" spans="1:9" ht="63" x14ac:dyDescent="0.25">
      <c r="A370" s="2156"/>
      <c r="B370" s="267">
        <v>45</v>
      </c>
      <c r="C370" s="484" t="s">
        <v>1173</v>
      </c>
      <c r="D370" s="356" t="s">
        <v>1585</v>
      </c>
      <c r="E370" s="120" t="s">
        <v>1373</v>
      </c>
      <c r="F370" s="125" t="s">
        <v>1377</v>
      </c>
      <c r="G370" s="267">
        <v>3.5179999999999998</v>
      </c>
      <c r="H370" s="267">
        <v>3.3730000000000002</v>
      </c>
      <c r="I370" s="356"/>
    </row>
    <row r="371" spans="1:9" ht="75" x14ac:dyDescent="0.25">
      <c r="A371" s="2156"/>
      <c r="B371" s="267">
        <v>46</v>
      </c>
      <c r="C371" s="484" t="s">
        <v>1250</v>
      </c>
      <c r="D371" s="356" t="s">
        <v>1621</v>
      </c>
      <c r="E371" s="120" t="s">
        <v>1373</v>
      </c>
      <c r="F371" s="125" t="s">
        <v>1377</v>
      </c>
      <c r="G371" s="267">
        <v>13</v>
      </c>
      <c r="H371" s="267">
        <v>4</v>
      </c>
      <c r="I371" s="356"/>
    </row>
    <row r="372" spans="1:9" ht="63" x14ac:dyDescent="0.25">
      <c r="A372" s="2156"/>
      <c r="B372" s="267">
        <v>47</v>
      </c>
      <c r="C372" s="484" t="s">
        <v>1432</v>
      </c>
      <c r="D372" s="356" t="s">
        <v>1621</v>
      </c>
      <c r="E372" s="120" t="s">
        <v>1373</v>
      </c>
      <c r="F372" s="125" t="s">
        <v>1377</v>
      </c>
      <c r="G372" s="267">
        <v>13</v>
      </c>
      <c r="H372" s="267">
        <v>4</v>
      </c>
      <c r="I372" s="356"/>
    </row>
    <row r="373" spans="1:9" ht="75" x14ac:dyDescent="0.25">
      <c r="A373" s="2156"/>
      <c r="B373" s="267">
        <v>48</v>
      </c>
      <c r="C373" s="484" t="s">
        <v>1267</v>
      </c>
      <c r="D373" s="356" t="s">
        <v>1585</v>
      </c>
      <c r="E373" s="120" t="s">
        <v>1373</v>
      </c>
      <c r="F373" s="125" t="s">
        <v>1377</v>
      </c>
      <c r="G373" s="267">
        <v>3.5179999999999998</v>
      </c>
      <c r="H373" s="267">
        <v>3.3730000000000002</v>
      </c>
      <c r="I373" s="356"/>
    </row>
    <row r="374" spans="1:9" ht="105" x14ac:dyDescent="0.25">
      <c r="A374" s="2156"/>
      <c r="B374" s="267">
        <v>49</v>
      </c>
      <c r="C374" s="484" t="s">
        <v>1296</v>
      </c>
      <c r="D374" s="356" t="s">
        <v>1585</v>
      </c>
      <c r="E374" s="120" t="s">
        <v>1373</v>
      </c>
      <c r="F374" s="125" t="s">
        <v>1377</v>
      </c>
      <c r="G374" s="267">
        <v>3.5179999999999998</v>
      </c>
      <c r="H374" s="267">
        <v>3.3730000000000002</v>
      </c>
      <c r="I374" s="356"/>
    </row>
    <row r="375" spans="1:9" ht="84.75" customHeight="1" x14ac:dyDescent="0.25">
      <c r="A375" s="2156"/>
      <c r="B375" s="267">
        <v>50</v>
      </c>
      <c r="C375" s="484" t="s">
        <v>1299</v>
      </c>
      <c r="D375" s="356" t="s">
        <v>1585</v>
      </c>
      <c r="E375" s="120" t="s">
        <v>1373</v>
      </c>
      <c r="F375" s="125" t="s">
        <v>1377</v>
      </c>
      <c r="G375" s="267">
        <v>3.5179999999999998</v>
      </c>
      <c r="H375" s="267">
        <v>3.3730000000000002</v>
      </c>
      <c r="I375" s="356"/>
    </row>
    <row r="376" spans="1:9" ht="90" x14ac:dyDescent="0.25">
      <c r="A376" s="2156"/>
      <c r="B376" s="267">
        <v>51</v>
      </c>
      <c r="C376" s="484" t="s">
        <v>1307</v>
      </c>
      <c r="D376" s="356" t="s">
        <v>1585</v>
      </c>
      <c r="E376" s="120" t="s">
        <v>1373</v>
      </c>
      <c r="F376" s="125" t="s">
        <v>1377</v>
      </c>
      <c r="G376" s="267">
        <v>3.5179999999999998</v>
      </c>
      <c r="H376" s="267">
        <v>3.3730000000000002</v>
      </c>
      <c r="I376" s="356"/>
    </row>
    <row r="377" spans="1:9" ht="63" x14ac:dyDescent="0.25">
      <c r="A377" s="2156"/>
      <c r="B377" s="267">
        <v>52</v>
      </c>
      <c r="C377" s="484" t="s">
        <v>1311</v>
      </c>
      <c r="D377" s="356" t="s">
        <v>1620</v>
      </c>
      <c r="E377" s="120" t="s">
        <v>1373</v>
      </c>
      <c r="F377" s="125" t="s">
        <v>1377</v>
      </c>
      <c r="G377" s="267">
        <v>3.5179999999999998</v>
      </c>
      <c r="H377" s="267">
        <v>3.3730000000000002</v>
      </c>
      <c r="I377" s="356"/>
    </row>
    <row r="378" spans="1:9" ht="97.5" customHeight="1" x14ac:dyDescent="0.25">
      <c r="A378" s="2156"/>
      <c r="B378" s="267">
        <v>53</v>
      </c>
      <c r="C378" s="484" t="s">
        <v>1313</v>
      </c>
      <c r="D378" s="356" t="s">
        <v>1585</v>
      </c>
      <c r="E378" s="120" t="s">
        <v>1373</v>
      </c>
      <c r="F378" s="125" t="s">
        <v>1377</v>
      </c>
      <c r="G378" s="267">
        <v>3.5179999999999998</v>
      </c>
      <c r="H378" s="267">
        <v>3.3730000000000002</v>
      </c>
      <c r="I378" s="356"/>
    </row>
    <row r="379" spans="1:9" ht="105" x14ac:dyDescent="0.25">
      <c r="A379" s="2156"/>
      <c r="B379" s="267">
        <v>54</v>
      </c>
      <c r="C379" s="484" t="s">
        <v>1501</v>
      </c>
      <c r="D379" s="356" t="s">
        <v>1585</v>
      </c>
      <c r="E379" s="120" t="s">
        <v>1373</v>
      </c>
      <c r="F379" s="125" t="s">
        <v>1377</v>
      </c>
      <c r="G379" s="267">
        <v>3.5179999999999998</v>
      </c>
      <c r="H379" s="267">
        <v>3.3730000000000002</v>
      </c>
      <c r="I379" s="356"/>
    </row>
    <row r="380" spans="1:9" ht="102.75" customHeight="1" x14ac:dyDescent="0.25">
      <c r="A380" s="2156"/>
      <c r="B380" s="267">
        <v>55</v>
      </c>
      <c r="C380" s="484" t="s">
        <v>587</v>
      </c>
      <c r="D380" s="356" t="s">
        <v>1585</v>
      </c>
      <c r="E380" s="120" t="s">
        <v>1373</v>
      </c>
      <c r="F380" s="125" t="s">
        <v>1377</v>
      </c>
      <c r="G380" s="267">
        <v>30</v>
      </c>
      <c r="H380" s="267"/>
      <c r="I380" s="356"/>
    </row>
    <row r="381" spans="1:9" ht="66" customHeight="1" x14ac:dyDescent="0.25">
      <c r="A381" s="2156"/>
      <c r="B381" s="267">
        <v>56</v>
      </c>
      <c r="C381" s="484" t="s">
        <v>1392</v>
      </c>
      <c r="D381" s="356" t="s">
        <v>1585</v>
      </c>
      <c r="E381" s="120" t="s">
        <v>1373</v>
      </c>
      <c r="F381" s="125" t="s">
        <v>1377</v>
      </c>
      <c r="G381" s="267">
        <v>35</v>
      </c>
      <c r="H381" s="267"/>
      <c r="I381" s="356"/>
    </row>
    <row r="382" spans="1:9" ht="66" customHeight="1" x14ac:dyDescent="0.25">
      <c r="A382" s="2156"/>
      <c r="B382" s="267">
        <v>57</v>
      </c>
      <c r="C382" s="484" t="s">
        <v>1529</v>
      </c>
      <c r="D382" s="356" t="s">
        <v>1585</v>
      </c>
      <c r="E382" s="120" t="s">
        <v>1373</v>
      </c>
      <c r="F382" s="125" t="s">
        <v>1377</v>
      </c>
      <c r="G382" s="267">
        <v>30</v>
      </c>
      <c r="H382" s="267"/>
      <c r="I382" s="356"/>
    </row>
    <row r="383" spans="1:9" ht="58.5" customHeight="1" x14ac:dyDescent="0.25">
      <c r="A383" s="2156"/>
      <c r="B383" s="267">
        <v>58</v>
      </c>
      <c r="C383" s="484" t="s">
        <v>488</v>
      </c>
      <c r="D383" s="356" t="s">
        <v>1587</v>
      </c>
      <c r="E383" s="120" t="s">
        <v>1373</v>
      </c>
      <c r="F383" s="125" t="s">
        <v>1377</v>
      </c>
      <c r="G383" s="267">
        <v>20</v>
      </c>
      <c r="H383" s="267">
        <v>8</v>
      </c>
      <c r="I383" s="356"/>
    </row>
    <row r="384" spans="1:9" ht="75" x14ac:dyDescent="0.25">
      <c r="A384" s="2156"/>
      <c r="B384" s="267">
        <v>59</v>
      </c>
      <c r="C384" s="484" t="s">
        <v>501</v>
      </c>
      <c r="D384" s="356" t="s">
        <v>1587</v>
      </c>
      <c r="E384" s="120" t="s">
        <v>1373</v>
      </c>
      <c r="F384" s="125" t="s">
        <v>1377</v>
      </c>
      <c r="G384" s="267">
        <v>20</v>
      </c>
      <c r="H384" s="267">
        <v>8</v>
      </c>
      <c r="I384" s="356"/>
    </row>
    <row r="385" spans="1:9" ht="67.5" customHeight="1" x14ac:dyDescent="0.25">
      <c r="A385" s="2156"/>
      <c r="B385" s="267">
        <v>60</v>
      </c>
      <c r="C385" s="484" t="s">
        <v>552</v>
      </c>
      <c r="D385" s="356" t="s">
        <v>1587</v>
      </c>
      <c r="E385" s="120" t="s">
        <v>1373</v>
      </c>
      <c r="F385" s="125" t="s">
        <v>1377</v>
      </c>
      <c r="G385" s="267">
        <v>20</v>
      </c>
      <c r="H385" s="267">
        <v>8</v>
      </c>
      <c r="I385" s="356"/>
    </row>
    <row r="386" spans="1:9" ht="78" customHeight="1" x14ac:dyDescent="0.25">
      <c r="A386" s="2156"/>
      <c r="B386" s="267">
        <v>61</v>
      </c>
      <c r="C386" s="484" t="s">
        <v>505</v>
      </c>
      <c r="D386" s="356" t="s">
        <v>1607</v>
      </c>
      <c r="E386" s="120" t="s">
        <v>1373</v>
      </c>
      <c r="F386" s="125" t="s">
        <v>1377</v>
      </c>
      <c r="G386" s="267">
        <v>8</v>
      </c>
      <c r="H386" s="267">
        <v>1</v>
      </c>
      <c r="I386" s="356"/>
    </row>
    <row r="387" spans="1:9" ht="90" x14ac:dyDescent="0.25">
      <c r="A387" s="2156"/>
      <c r="B387" s="267">
        <v>62</v>
      </c>
      <c r="C387" s="484" t="s">
        <v>580</v>
      </c>
      <c r="D387" s="356" t="s">
        <v>1620</v>
      </c>
      <c r="E387" s="120" t="s">
        <v>1373</v>
      </c>
      <c r="F387" s="125" t="s">
        <v>1377</v>
      </c>
      <c r="G387" s="267"/>
      <c r="H387" s="267">
        <v>32</v>
      </c>
      <c r="I387" s="356"/>
    </row>
    <row r="388" spans="1:9" ht="63" x14ac:dyDescent="0.25">
      <c r="A388" s="2156"/>
      <c r="B388" s="267">
        <v>63</v>
      </c>
      <c r="C388" s="484" t="s">
        <v>1505</v>
      </c>
      <c r="D388" s="356" t="s">
        <v>1585</v>
      </c>
      <c r="E388" s="120" t="s">
        <v>1373</v>
      </c>
      <c r="F388" s="125" t="s">
        <v>1377</v>
      </c>
      <c r="G388" s="267">
        <v>50</v>
      </c>
      <c r="H388" s="267"/>
      <c r="I388" s="356"/>
    </row>
    <row r="389" spans="1:9" ht="90" x14ac:dyDescent="0.25">
      <c r="A389" s="2156"/>
      <c r="B389" s="267">
        <v>64</v>
      </c>
      <c r="C389" s="484" t="s">
        <v>1512</v>
      </c>
      <c r="D389" s="356" t="s">
        <v>1620</v>
      </c>
      <c r="E389" s="120" t="s">
        <v>1373</v>
      </c>
      <c r="F389" s="125" t="s">
        <v>1377</v>
      </c>
      <c r="G389" s="267"/>
      <c r="H389" s="267">
        <v>32</v>
      </c>
      <c r="I389" s="356"/>
    </row>
    <row r="390" spans="1:9" ht="17.25" customHeight="1" x14ac:dyDescent="0.25">
      <c r="A390" s="2157"/>
      <c r="B390" s="267"/>
      <c r="C390" s="351"/>
      <c r="D390" s="32"/>
      <c r="E390" s="32"/>
      <c r="F390" s="267"/>
      <c r="G390" s="32"/>
      <c r="H390" s="32"/>
      <c r="I390" s="32"/>
    </row>
    <row r="391" spans="1:9" x14ac:dyDescent="0.25">
      <c r="B391" s="476"/>
      <c r="C391" s="476"/>
    </row>
    <row r="392" spans="1:9" x14ac:dyDescent="0.25">
      <c r="B392" s="476"/>
      <c r="C392" s="476"/>
    </row>
    <row r="393" spans="1:9" x14ac:dyDescent="0.25">
      <c r="B393" s="476"/>
      <c r="C393" s="476"/>
    </row>
    <row r="394" spans="1:9" s="111" customFormat="1" ht="15.75" x14ac:dyDescent="0.25">
      <c r="B394" s="110"/>
      <c r="C394" s="110"/>
      <c r="E394" s="111" t="s">
        <v>1677</v>
      </c>
    </row>
    <row r="395" spans="1:9" s="111" customFormat="1" ht="15.75" x14ac:dyDescent="0.25">
      <c r="B395" s="110" t="s">
        <v>1605</v>
      </c>
      <c r="C395" s="110"/>
      <c r="E395" s="111" t="s">
        <v>1386</v>
      </c>
    </row>
    <row r="396" spans="1:9" s="111" customFormat="1" ht="15.75" x14ac:dyDescent="0.25">
      <c r="B396" s="110" t="s">
        <v>1678</v>
      </c>
      <c r="C396" s="110"/>
      <c r="E396" s="111" t="s">
        <v>1676</v>
      </c>
    </row>
    <row r="397" spans="1:9" s="111" customFormat="1" ht="15.75" x14ac:dyDescent="0.25">
      <c r="B397" s="110"/>
      <c r="C397" s="110"/>
    </row>
    <row r="398" spans="1:9" s="111" customFormat="1" ht="15.75" x14ac:dyDescent="0.25">
      <c r="B398" s="110"/>
      <c r="C398" s="110"/>
    </row>
    <row r="399" spans="1:9" s="111" customFormat="1" ht="15.75" x14ac:dyDescent="0.25">
      <c r="B399" s="110" t="s">
        <v>1387</v>
      </c>
      <c r="C399" s="110"/>
      <c r="E399" s="111" t="s">
        <v>1388</v>
      </c>
    </row>
    <row r="400" spans="1:9" ht="15.75" x14ac:dyDescent="0.25">
      <c r="B400" s="476"/>
      <c r="C400" s="476"/>
      <c r="G400" s="111"/>
    </row>
  </sheetData>
  <mergeCells count="15">
    <mergeCell ref="A315:A325"/>
    <mergeCell ref="A326:A390"/>
    <mergeCell ref="A253:A260"/>
    <mergeCell ref="A270:A274"/>
    <mergeCell ref="A154:A156"/>
    <mergeCell ref="A164:A176"/>
    <mergeCell ref="A1:I1"/>
    <mergeCell ref="A2:I2"/>
    <mergeCell ref="A9:A10"/>
    <mergeCell ref="B9:B10"/>
    <mergeCell ref="C9:C10"/>
    <mergeCell ref="D9:D10"/>
    <mergeCell ref="E9:E10"/>
    <mergeCell ref="F9:F10"/>
    <mergeCell ref="G9:I9"/>
  </mergeCells>
  <pageMargins left="0.7" right="0.7" top="0.75" bottom="0.75" header="0.3" footer="0.3"/>
  <pageSetup paperSize="9" orientation="portrait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L40"/>
  <sheetViews>
    <sheetView topLeftCell="A20" zoomScale="78" zoomScaleNormal="78" workbookViewId="0">
      <selection activeCell="B43" sqref="B43"/>
    </sheetView>
  </sheetViews>
  <sheetFormatPr defaultRowHeight="15" x14ac:dyDescent="0.25"/>
  <cols>
    <col min="1" max="1" width="14.85546875" customWidth="1"/>
    <col min="2" max="2" width="21.5703125" customWidth="1"/>
    <col min="3" max="3" width="4.140625" customWidth="1"/>
    <col min="4" max="4" width="28.28515625" customWidth="1"/>
    <col min="5" max="5" width="20.5703125" customWidth="1"/>
    <col min="7" max="7" width="12.42578125" customWidth="1"/>
    <col min="8" max="8" width="14" customWidth="1"/>
    <col min="9" max="9" width="12.5703125" customWidth="1"/>
    <col min="10" max="10" width="12.140625" customWidth="1"/>
    <col min="11" max="12" width="14.42578125" customWidth="1"/>
  </cols>
  <sheetData>
    <row r="1" spans="1:12" s="383" customFormat="1" ht="18.75" x14ac:dyDescent="0.3">
      <c r="A1" s="2097" t="s">
        <v>1631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</row>
    <row r="2" spans="1:12" s="383" customFormat="1" ht="18.75" x14ac:dyDescent="0.3">
      <c r="A2" s="2097" t="s">
        <v>1496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</row>
    <row r="3" spans="1:12" s="111" customFormat="1" ht="15.75" x14ac:dyDescent="0.25"/>
    <row r="4" spans="1:12" s="111" customFormat="1" ht="15.75" x14ac:dyDescent="0.25">
      <c r="A4" s="384" t="s">
        <v>1337</v>
      </c>
      <c r="B4" s="384" t="s">
        <v>1338</v>
      </c>
      <c r="C4" s="384"/>
    </row>
    <row r="5" spans="1:12" s="111" customFormat="1" ht="15.75" x14ac:dyDescent="0.25">
      <c r="A5" s="384" t="s">
        <v>1339</v>
      </c>
      <c r="B5" s="384" t="s">
        <v>1340</v>
      </c>
      <c r="C5" s="384"/>
    </row>
    <row r="6" spans="1:12" s="111" customFormat="1" ht="15.75" x14ac:dyDescent="0.25">
      <c r="A6" s="384" t="s">
        <v>1341</v>
      </c>
      <c r="B6" s="384" t="s">
        <v>1342</v>
      </c>
      <c r="C6" s="384"/>
    </row>
    <row r="7" spans="1:12" s="111" customFormat="1" ht="15.75" x14ac:dyDescent="0.25">
      <c r="A7" s="384" t="s">
        <v>1343</v>
      </c>
      <c r="B7" s="384" t="s">
        <v>1344</v>
      </c>
      <c r="C7" s="384"/>
    </row>
    <row r="8" spans="1:12" s="111" customFormat="1" ht="15.75" x14ac:dyDescent="0.25"/>
    <row r="9" spans="1:12" s="111" customFormat="1" ht="73.5" customHeight="1" x14ac:dyDescent="0.25">
      <c r="A9" s="2113" t="s">
        <v>1295</v>
      </c>
      <c r="B9" s="2164" t="s">
        <v>1345</v>
      </c>
      <c r="C9" s="2164"/>
      <c r="D9" s="2164"/>
      <c r="E9" s="2116" t="s">
        <v>1516</v>
      </c>
      <c r="F9" s="2113" t="s">
        <v>1348</v>
      </c>
      <c r="G9" s="2116" t="s">
        <v>1519</v>
      </c>
      <c r="H9" s="2116" t="s">
        <v>1350</v>
      </c>
      <c r="I9" s="2165" t="s">
        <v>1632</v>
      </c>
      <c r="J9" s="2165"/>
      <c r="K9" s="2165" t="s">
        <v>1633</v>
      </c>
      <c r="L9" s="2165"/>
    </row>
    <row r="10" spans="1:12" s="111" customFormat="1" ht="31.5" x14ac:dyDescent="0.25">
      <c r="A10" s="2115"/>
      <c r="B10" s="490" t="s">
        <v>1354</v>
      </c>
      <c r="C10" s="490"/>
      <c r="D10" s="491" t="s">
        <v>1634</v>
      </c>
      <c r="E10" s="2118"/>
      <c r="F10" s="2115"/>
      <c r="G10" s="2118"/>
      <c r="H10" s="2118"/>
      <c r="I10" s="491" t="s">
        <v>1526</v>
      </c>
      <c r="J10" s="490" t="s">
        <v>1357</v>
      </c>
      <c r="K10" s="491" t="s">
        <v>1526</v>
      </c>
      <c r="L10" s="492" t="s">
        <v>1635</v>
      </c>
    </row>
    <row r="11" spans="1:12" s="111" customFormat="1" ht="15.75" x14ac:dyDescent="0.25">
      <c r="A11" s="493" t="s">
        <v>1358</v>
      </c>
      <c r="B11" s="493" t="s">
        <v>1359</v>
      </c>
      <c r="C11" s="493" t="s">
        <v>1360</v>
      </c>
      <c r="D11" s="493" t="s">
        <v>1361</v>
      </c>
      <c r="E11" s="493" t="s">
        <v>1362</v>
      </c>
      <c r="F11" s="493" t="s">
        <v>1363</v>
      </c>
      <c r="G11" s="493" t="s">
        <v>1364</v>
      </c>
      <c r="H11" s="493" t="s">
        <v>1365</v>
      </c>
      <c r="I11" s="493" t="s">
        <v>1366</v>
      </c>
      <c r="J11" s="493" t="s">
        <v>1367</v>
      </c>
      <c r="K11" s="493" t="s">
        <v>1368</v>
      </c>
      <c r="L11" s="493" t="s">
        <v>1369</v>
      </c>
    </row>
    <row r="12" spans="1:12" s="111" customFormat="1" ht="12.75" customHeight="1" x14ac:dyDescent="0.25">
      <c r="A12" s="2080" t="s">
        <v>1636</v>
      </c>
      <c r="B12" s="2158" t="s">
        <v>59</v>
      </c>
      <c r="C12" s="117">
        <v>1</v>
      </c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2" s="111" customFormat="1" ht="15.75" x14ac:dyDescent="0.25">
      <c r="A13" s="2080"/>
      <c r="B13" s="2159"/>
      <c r="C13" s="117">
        <v>2</v>
      </c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2" s="111" customFormat="1" ht="15.75" x14ac:dyDescent="0.25">
      <c r="A14" s="2080"/>
      <c r="B14" s="2159"/>
      <c r="C14" s="117">
        <v>3</v>
      </c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2" s="111" customFormat="1" ht="15.75" x14ac:dyDescent="0.25">
      <c r="A15" s="2080"/>
      <c r="B15" s="2160"/>
      <c r="C15" s="117">
        <v>4</v>
      </c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2" s="111" customFormat="1" ht="30" customHeight="1" x14ac:dyDescent="0.25">
      <c r="A16" s="2161" t="s">
        <v>1637</v>
      </c>
      <c r="B16" s="2162"/>
      <c r="C16" s="2162"/>
      <c r="D16" s="2162"/>
      <c r="E16" s="2162"/>
      <c r="F16" s="2162"/>
      <c r="G16" s="2162"/>
      <c r="H16" s="2163"/>
      <c r="I16" s="119"/>
      <c r="J16" s="119"/>
      <c r="K16" s="119"/>
      <c r="L16" s="119"/>
    </row>
    <row r="17" spans="1:12" s="111" customFormat="1" ht="12.75" customHeight="1" x14ac:dyDescent="0.25">
      <c r="A17" s="2080" t="s">
        <v>1638</v>
      </c>
      <c r="B17" s="2158" t="s">
        <v>980</v>
      </c>
      <c r="C17" s="117">
        <v>1</v>
      </c>
      <c r="D17" s="116"/>
      <c r="E17" s="116"/>
      <c r="F17" s="116"/>
      <c r="G17" s="116"/>
      <c r="H17" s="116"/>
      <c r="I17" s="116"/>
      <c r="J17" s="116"/>
      <c r="K17" s="116"/>
      <c r="L17" s="116"/>
    </row>
    <row r="18" spans="1:12" s="111" customFormat="1" ht="15.75" x14ac:dyDescent="0.25">
      <c r="A18" s="2080"/>
      <c r="B18" s="2159"/>
      <c r="C18" s="117">
        <v>2</v>
      </c>
      <c r="D18" s="116"/>
      <c r="E18" s="116"/>
      <c r="F18" s="116"/>
      <c r="G18" s="116"/>
      <c r="H18" s="116"/>
      <c r="I18" s="116"/>
      <c r="J18" s="116"/>
      <c r="K18" s="116"/>
      <c r="L18" s="116"/>
    </row>
    <row r="19" spans="1:12" s="111" customFormat="1" ht="15.75" x14ac:dyDescent="0.25">
      <c r="A19" s="2080"/>
      <c r="B19" s="2159"/>
      <c r="C19" s="117">
        <v>3</v>
      </c>
      <c r="D19" s="116"/>
      <c r="E19" s="116"/>
      <c r="F19" s="116"/>
      <c r="G19" s="116"/>
      <c r="H19" s="116"/>
      <c r="I19" s="116"/>
      <c r="J19" s="116"/>
      <c r="K19" s="116"/>
      <c r="L19" s="116"/>
    </row>
    <row r="20" spans="1:12" s="111" customFormat="1" ht="15.75" x14ac:dyDescent="0.25">
      <c r="A20" s="2080"/>
      <c r="B20" s="2160"/>
      <c r="C20" s="117">
        <v>4</v>
      </c>
      <c r="D20" s="116"/>
      <c r="E20" s="116"/>
      <c r="F20" s="116"/>
      <c r="G20" s="116"/>
      <c r="H20" s="116"/>
      <c r="I20" s="116"/>
      <c r="J20" s="116"/>
      <c r="K20" s="116"/>
      <c r="L20" s="116"/>
    </row>
    <row r="21" spans="1:12" s="111" customFormat="1" ht="30" customHeight="1" x14ac:dyDescent="0.25">
      <c r="A21" s="2161" t="s">
        <v>1380</v>
      </c>
      <c r="B21" s="2162"/>
      <c r="C21" s="2162"/>
      <c r="D21" s="2162"/>
      <c r="E21" s="2162"/>
      <c r="F21" s="2162"/>
      <c r="G21" s="2162"/>
      <c r="H21" s="2163"/>
      <c r="I21" s="119"/>
      <c r="J21" s="119"/>
      <c r="K21" s="119"/>
      <c r="L21" s="119"/>
    </row>
    <row r="22" spans="1:12" s="111" customFormat="1" ht="12.75" customHeight="1" x14ac:dyDescent="0.25">
      <c r="A22" s="2080" t="s">
        <v>1639</v>
      </c>
      <c r="B22" s="2158" t="s">
        <v>1381</v>
      </c>
      <c r="C22" s="117">
        <v>1</v>
      </c>
      <c r="D22" s="116"/>
      <c r="E22" s="116"/>
      <c r="F22" s="116"/>
      <c r="G22" s="116"/>
      <c r="H22" s="116"/>
      <c r="I22" s="116"/>
      <c r="J22" s="116"/>
      <c r="K22" s="116"/>
      <c r="L22" s="116"/>
    </row>
    <row r="23" spans="1:12" s="111" customFormat="1" ht="15.75" x14ac:dyDescent="0.25">
      <c r="A23" s="2080"/>
      <c r="B23" s="2159"/>
      <c r="C23" s="117">
        <v>2</v>
      </c>
      <c r="D23" s="116"/>
      <c r="E23" s="116"/>
      <c r="F23" s="116"/>
      <c r="G23" s="116"/>
      <c r="H23" s="116"/>
      <c r="I23" s="116"/>
      <c r="J23" s="116"/>
      <c r="K23" s="116"/>
      <c r="L23" s="116"/>
    </row>
    <row r="24" spans="1:12" s="111" customFormat="1" ht="15.75" x14ac:dyDescent="0.25">
      <c r="A24" s="2080"/>
      <c r="B24" s="2159"/>
      <c r="C24" s="117">
        <v>3</v>
      </c>
      <c r="D24" s="116"/>
      <c r="E24" s="116"/>
      <c r="F24" s="116"/>
      <c r="G24" s="116"/>
      <c r="H24" s="116"/>
      <c r="I24" s="116"/>
      <c r="J24" s="116"/>
      <c r="K24" s="116"/>
      <c r="L24" s="116"/>
    </row>
    <row r="25" spans="1:12" s="111" customFormat="1" ht="15.75" x14ac:dyDescent="0.25">
      <c r="A25" s="2080"/>
      <c r="B25" s="2160"/>
      <c r="C25" s="117">
        <v>4</v>
      </c>
      <c r="D25" s="116"/>
      <c r="E25" s="116"/>
      <c r="F25" s="116"/>
      <c r="G25" s="116"/>
      <c r="H25" s="116"/>
      <c r="I25" s="116"/>
      <c r="J25" s="116"/>
      <c r="K25" s="116"/>
      <c r="L25" s="116"/>
    </row>
    <row r="26" spans="1:12" s="111" customFormat="1" ht="30" customHeight="1" x14ac:dyDescent="0.25">
      <c r="A26" s="2161" t="s">
        <v>1383</v>
      </c>
      <c r="B26" s="2162"/>
      <c r="C26" s="2162"/>
      <c r="D26" s="2162"/>
      <c r="E26" s="2162"/>
      <c r="F26" s="2162"/>
      <c r="G26" s="2162"/>
      <c r="H26" s="2163"/>
      <c r="I26" s="119"/>
      <c r="J26" s="119"/>
      <c r="K26" s="119"/>
      <c r="L26" s="119"/>
    </row>
    <row r="27" spans="1:12" s="111" customFormat="1" ht="12.75" customHeight="1" x14ac:dyDescent="0.25">
      <c r="A27" s="2080" t="s">
        <v>1640</v>
      </c>
      <c r="B27" s="2158" t="s">
        <v>1384</v>
      </c>
      <c r="C27" s="117">
        <v>1</v>
      </c>
      <c r="D27" s="116"/>
      <c r="E27" s="116"/>
      <c r="F27" s="116"/>
      <c r="G27" s="116"/>
      <c r="H27" s="116"/>
      <c r="I27" s="116"/>
      <c r="J27" s="116"/>
      <c r="K27" s="116"/>
      <c r="L27" s="116"/>
    </row>
    <row r="28" spans="1:12" s="111" customFormat="1" ht="15.75" x14ac:dyDescent="0.25">
      <c r="A28" s="2080"/>
      <c r="B28" s="2159"/>
      <c r="C28" s="117">
        <v>2</v>
      </c>
      <c r="D28" s="116"/>
      <c r="E28" s="116"/>
      <c r="F28" s="116"/>
      <c r="G28" s="116"/>
      <c r="H28" s="116"/>
      <c r="I28" s="116"/>
      <c r="J28" s="116"/>
      <c r="K28" s="116"/>
      <c r="L28" s="116"/>
    </row>
    <row r="29" spans="1:12" s="111" customFormat="1" ht="15.75" x14ac:dyDescent="0.25">
      <c r="A29" s="2080"/>
      <c r="B29" s="2159"/>
      <c r="C29" s="117">
        <v>3</v>
      </c>
      <c r="D29" s="116"/>
      <c r="E29" s="116"/>
      <c r="F29" s="116"/>
      <c r="G29" s="116"/>
      <c r="H29" s="116"/>
      <c r="I29" s="116"/>
      <c r="J29" s="116"/>
      <c r="K29" s="116"/>
      <c r="L29" s="116"/>
    </row>
    <row r="30" spans="1:12" s="111" customFormat="1" ht="15.75" x14ac:dyDescent="0.25">
      <c r="A30" s="2080"/>
      <c r="B30" s="2160"/>
      <c r="C30" s="117">
        <v>4</v>
      </c>
      <c r="D30" s="116"/>
      <c r="E30" s="116"/>
      <c r="F30" s="116"/>
      <c r="G30" s="116"/>
      <c r="H30" s="116"/>
      <c r="I30" s="116"/>
      <c r="J30" s="116"/>
      <c r="K30" s="116"/>
      <c r="L30" s="116"/>
    </row>
    <row r="31" spans="1:12" s="111" customFormat="1" ht="30" customHeight="1" x14ac:dyDescent="0.25">
      <c r="A31" s="2161" t="s">
        <v>1385</v>
      </c>
      <c r="B31" s="2162"/>
      <c r="C31" s="2162"/>
      <c r="D31" s="2162"/>
      <c r="E31" s="2162"/>
      <c r="F31" s="2162"/>
      <c r="G31" s="2162"/>
      <c r="H31" s="2163"/>
      <c r="I31" s="119"/>
      <c r="J31" s="119"/>
      <c r="K31" s="119"/>
      <c r="L31" s="119"/>
    </row>
    <row r="32" spans="1:12" s="111" customFormat="1" ht="15.75" x14ac:dyDescent="0.25">
      <c r="A32" s="2084"/>
      <c r="B32" s="2084"/>
      <c r="C32" s="2084"/>
      <c r="D32" s="2084"/>
      <c r="E32" s="2084"/>
      <c r="F32" s="2084"/>
      <c r="G32" s="2084"/>
      <c r="H32" s="2084"/>
      <c r="I32" s="2084"/>
      <c r="J32" s="2084"/>
      <c r="K32" s="2084"/>
      <c r="L32" s="2084"/>
    </row>
    <row r="33" spans="2:8" s="111" customFormat="1" ht="15.75" x14ac:dyDescent="0.25"/>
    <row r="34" spans="2:8" s="111" customFormat="1" ht="15.75" x14ac:dyDescent="0.25">
      <c r="H34" s="111" t="s">
        <v>1677</v>
      </c>
    </row>
    <row r="35" spans="2:8" s="111" customFormat="1" ht="15.75" x14ac:dyDescent="0.25">
      <c r="B35" s="2084" t="s">
        <v>1605</v>
      </c>
      <c r="C35" s="2084"/>
      <c r="D35" s="2084"/>
      <c r="H35" s="111" t="s">
        <v>1386</v>
      </c>
    </row>
    <row r="36" spans="2:8" s="111" customFormat="1" ht="15.75" x14ac:dyDescent="0.25">
      <c r="B36" s="2084" t="s">
        <v>1678</v>
      </c>
      <c r="C36" s="2084"/>
      <c r="D36" s="2084"/>
      <c r="H36" s="111" t="s">
        <v>1676</v>
      </c>
    </row>
    <row r="37" spans="2:8" s="111" customFormat="1" ht="15.75" x14ac:dyDescent="0.25"/>
    <row r="38" spans="2:8" s="111" customFormat="1" ht="15.75" x14ac:dyDescent="0.25"/>
    <row r="39" spans="2:8" s="111" customFormat="1" ht="15.75" x14ac:dyDescent="0.25"/>
    <row r="40" spans="2:8" s="111" customFormat="1" ht="15.75" x14ac:dyDescent="0.25">
      <c r="B40" s="2084" t="s">
        <v>1387</v>
      </c>
      <c r="C40" s="2084"/>
      <c r="D40" s="2084"/>
      <c r="H40" s="111" t="s">
        <v>1388</v>
      </c>
    </row>
  </sheetData>
  <mergeCells count="26">
    <mergeCell ref="A21:H21"/>
    <mergeCell ref="A1:L1"/>
    <mergeCell ref="A2:L2"/>
    <mergeCell ref="A9:A10"/>
    <mergeCell ref="B9:D9"/>
    <mergeCell ref="E9:E10"/>
    <mergeCell ref="F9:F10"/>
    <mergeCell ref="G9:G10"/>
    <mergeCell ref="H9:H10"/>
    <mergeCell ref="I9:J9"/>
    <mergeCell ref="K9:L9"/>
    <mergeCell ref="A12:A15"/>
    <mergeCell ref="B12:B15"/>
    <mergeCell ref="A16:H16"/>
    <mergeCell ref="A17:A20"/>
    <mergeCell ref="B17:B20"/>
    <mergeCell ref="A32:L32"/>
    <mergeCell ref="B35:D35"/>
    <mergeCell ref="B36:D36"/>
    <mergeCell ref="B40:D40"/>
    <mergeCell ref="A22:A25"/>
    <mergeCell ref="B22:B25"/>
    <mergeCell ref="A26:H26"/>
    <mergeCell ref="A27:A30"/>
    <mergeCell ref="B27:B30"/>
    <mergeCell ref="A31:H31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46"/>
  <sheetViews>
    <sheetView topLeftCell="A18" workbookViewId="0">
      <selection sqref="A1:XFD46"/>
    </sheetView>
  </sheetViews>
  <sheetFormatPr defaultRowHeight="15" x14ac:dyDescent="0.25"/>
  <cols>
    <col min="2" max="2" width="16.28515625" customWidth="1"/>
    <col min="3" max="3" width="3.5703125" customWidth="1"/>
    <col min="4" max="4" width="14.140625" customWidth="1"/>
    <col min="5" max="5" width="24.7109375" customWidth="1"/>
    <col min="7" max="7" width="12.140625" customWidth="1"/>
    <col min="8" max="8" width="12.85546875" bestFit="1" customWidth="1"/>
    <col min="9" max="9" width="10" bestFit="1" customWidth="1"/>
    <col min="10" max="10" width="11.85546875" bestFit="1" customWidth="1"/>
    <col min="11" max="11" width="14.7109375" customWidth="1"/>
    <col min="13" max="13" width="15.140625" customWidth="1"/>
    <col min="14" max="14" width="14.42578125" customWidth="1"/>
    <col min="15" max="15" width="9.42578125" bestFit="1" customWidth="1"/>
    <col min="16" max="16" width="12.85546875" bestFit="1" customWidth="1"/>
  </cols>
  <sheetData>
    <row r="1" spans="1:16" s="111" customFormat="1" ht="15.75" x14ac:dyDescent="0.25">
      <c r="A1" s="2084" t="s">
        <v>1642</v>
      </c>
      <c r="B1" s="2084"/>
      <c r="C1" s="2084"/>
      <c r="D1" s="2084"/>
      <c r="E1" s="2084"/>
      <c r="F1" s="2084"/>
      <c r="G1" s="2084"/>
      <c r="H1" s="2084"/>
      <c r="I1" s="2084"/>
      <c r="J1" s="2084"/>
      <c r="K1" s="2084"/>
      <c r="L1" s="2084"/>
      <c r="M1" s="2084"/>
      <c r="N1" s="2084"/>
      <c r="O1" s="2084"/>
      <c r="P1" s="2084"/>
    </row>
    <row r="2" spans="1:16" s="111" customFormat="1" ht="15.75" x14ac:dyDescent="0.25">
      <c r="A2" s="2084" t="s">
        <v>1643</v>
      </c>
      <c r="B2" s="2084"/>
      <c r="C2" s="2084"/>
      <c r="D2" s="2084"/>
      <c r="E2" s="2084"/>
      <c r="F2" s="2084"/>
      <c r="G2" s="2084"/>
      <c r="H2" s="2084"/>
      <c r="I2" s="2084"/>
      <c r="J2" s="2084"/>
      <c r="K2" s="2084"/>
      <c r="L2" s="2084"/>
      <c r="M2" s="2084"/>
      <c r="N2" s="2084"/>
      <c r="O2" s="2084"/>
      <c r="P2" s="2084"/>
    </row>
    <row r="3" spans="1:16" s="111" customFormat="1" ht="15.75" x14ac:dyDescent="0.25"/>
    <row r="4" spans="1:16" s="111" customFormat="1" ht="15.75" x14ac:dyDescent="0.25">
      <c r="A4" s="111" t="s">
        <v>1337</v>
      </c>
      <c r="B4" s="111" t="s">
        <v>1644</v>
      </c>
    </row>
    <row r="5" spans="1:16" s="111" customFormat="1" ht="15.75" x14ac:dyDescent="0.25">
      <c r="A5" s="111" t="s">
        <v>1339</v>
      </c>
      <c r="B5" s="111" t="s">
        <v>1644</v>
      </c>
    </row>
    <row r="6" spans="1:16" s="111" customFormat="1" ht="15.75" x14ac:dyDescent="0.25">
      <c r="A6" s="111" t="s">
        <v>1645</v>
      </c>
      <c r="B6" s="111" t="s">
        <v>1644</v>
      </c>
    </row>
    <row r="7" spans="1:16" s="111" customFormat="1" ht="15.75" x14ac:dyDescent="0.25">
      <c r="A7" s="111" t="s">
        <v>1343</v>
      </c>
      <c r="B7" s="111" t="s">
        <v>1644</v>
      </c>
    </row>
    <row r="8" spans="1:16" s="111" customFormat="1" ht="15.75" x14ac:dyDescent="0.25"/>
    <row r="9" spans="1:16" s="111" customFormat="1" ht="45" customHeight="1" x14ac:dyDescent="0.25">
      <c r="A9" s="114" t="s">
        <v>1295</v>
      </c>
      <c r="B9" s="2080" t="s">
        <v>1345</v>
      </c>
      <c r="C9" s="2080"/>
      <c r="D9" s="2080"/>
      <c r="E9" s="2080"/>
      <c r="F9" s="114" t="s">
        <v>1348</v>
      </c>
      <c r="G9" s="115" t="s">
        <v>1349</v>
      </c>
      <c r="H9" s="114" t="s">
        <v>1646</v>
      </c>
      <c r="I9" s="2081" t="s">
        <v>1647</v>
      </c>
      <c r="J9" s="2081"/>
      <c r="K9" s="2081"/>
      <c r="L9" s="2081"/>
      <c r="M9" s="2081" t="s">
        <v>1648</v>
      </c>
      <c r="N9" s="2081"/>
      <c r="O9" s="2080" t="s">
        <v>1649</v>
      </c>
      <c r="P9" s="2080"/>
    </row>
    <row r="10" spans="1:16" s="111" customFormat="1" ht="31.5" x14ac:dyDescent="0.25">
      <c r="A10" s="116"/>
      <c r="B10" s="114" t="s">
        <v>1354</v>
      </c>
      <c r="C10" s="114"/>
      <c r="D10" s="114" t="s">
        <v>1498</v>
      </c>
      <c r="E10" s="115" t="s">
        <v>1522</v>
      </c>
      <c r="F10" s="114"/>
      <c r="G10" s="114"/>
      <c r="H10" s="114"/>
      <c r="I10" s="114" t="s">
        <v>27</v>
      </c>
      <c r="J10" s="114" t="s">
        <v>1650</v>
      </c>
      <c r="K10" s="114" t="s">
        <v>1651</v>
      </c>
      <c r="L10" s="114" t="s">
        <v>1525</v>
      </c>
      <c r="M10" s="114" t="s">
        <v>1652</v>
      </c>
      <c r="N10" s="114" t="s">
        <v>1653</v>
      </c>
      <c r="O10" s="114" t="s">
        <v>1654</v>
      </c>
      <c r="P10" s="114" t="s">
        <v>1646</v>
      </c>
    </row>
    <row r="11" spans="1:16" s="111" customFormat="1" ht="15.75" x14ac:dyDescent="0.25">
      <c r="A11" s="117" t="s">
        <v>1358</v>
      </c>
      <c r="B11" s="117" t="s">
        <v>1359</v>
      </c>
      <c r="C11" s="117" t="s">
        <v>1360</v>
      </c>
      <c r="D11" s="117" t="s">
        <v>1361</v>
      </c>
      <c r="E11" s="117" t="s">
        <v>1362</v>
      </c>
      <c r="F11" s="117" t="s">
        <v>1363</v>
      </c>
      <c r="G11" s="117" t="s">
        <v>1364</v>
      </c>
      <c r="H11" s="117" t="s">
        <v>1365</v>
      </c>
      <c r="I11" s="117" t="s">
        <v>1366</v>
      </c>
      <c r="J11" s="117" t="s">
        <v>1367</v>
      </c>
      <c r="K11" s="117" t="s">
        <v>1368</v>
      </c>
      <c r="L11" s="117" t="s">
        <v>1369</v>
      </c>
      <c r="M11" s="117" t="s">
        <v>539</v>
      </c>
      <c r="N11" s="117" t="s">
        <v>1370</v>
      </c>
      <c r="O11" s="117" t="s">
        <v>1371</v>
      </c>
      <c r="P11" s="117" t="s">
        <v>1655</v>
      </c>
    </row>
    <row r="12" spans="1:16" s="111" customFormat="1" ht="15.75" x14ac:dyDescent="0.25">
      <c r="A12" s="2080">
        <v>1</v>
      </c>
      <c r="B12" s="2081" t="s">
        <v>1656</v>
      </c>
      <c r="C12" s="117" t="s">
        <v>1358</v>
      </c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</row>
    <row r="13" spans="1:16" s="111" customFormat="1" ht="15.75" x14ac:dyDescent="0.25">
      <c r="A13" s="2080"/>
      <c r="B13" s="2081"/>
      <c r="C13" s="117" t="s">
        <v>1359</v>
      </c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</row>
    <row r="14" spans="1:16" s="111" customFormat="1" ht="15.75" x14ac:dyDescent="0.25">
      <c r="A14" s="2080"/>
      <c r="B14" s="2081"/>
      <c r="C14" s="117" t="s">
        <v>1360</v>
      </c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</row>
    <row r="15" spans="1:16" s="111" customFormat="1" ht="15.75" x14ac:dyDescent="0.25">
      <c r="A15" s="2080"/>
      <c r="B15" s="2081"/>
      <c r="C15" s="117" t="s">
        <v>1361</v>
      </c>
      <c r="D15" s="116"/>
      <c r="E15" s="116"/>
      <c r="F15" s="116"/>
      <c r="G15" s="116"/>
      <c r="H15" s="116"/>
      <c r="I15" s="116"/>
      <c r="J15" s="116"/>
      <c r="K15" s="116"/>
      <c r="L15" s="116"/>
      <c r="M15" s="116"/>
      <c r="N15" s="116"/>
      <c r="O15" s="116"/>
      <c r="P15" s="116"/>
    </row>
    <row r="16" spans="1:16" s="111" customFormat="1" ht="15.75" x14ac:dyDescent="0.25">
      <c r="A16" s="2080">
        <v>2</v>
      </c>
      <c r="B16" s="2081" t="s">
        <v>980</v>
      </c>
      <c r="C16" s="117" t="s">
        <v>1358</v>
      </c>
      <c r="D16" s="116"/>
      <c r="E16" s="116"/>
      <c r="F16" s="116"/>
      <c r="G16" s="116"/>
      <c r="H16" s="116"/>
      <c r="I16" s="116"/>
      <c r="J16" s="116"/>
      <c r="K16" s="116"/>
      <c r="L16" s="116"/>
      <c r="M16" s="116"/>
      <c r="N16" s="116"/>
      <c r="O16" s="116"/>
      <c r="P16" s="116"/>
    </row>
    <row r="17" spans="1:16" s="111" customFormat="1" ht="15.75" x14ac:dyDescent="0.25">
      <c r="A17" s="2080"/>
      <c r="B17" s="2081"/>
      <c r="C17" s="117" t="s">
        <v>1359</v>
      </c>
      <c r="D17" s="116"/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</row>
    <row r="18" spans="1:16" s="111" customFormat="1" ht="15.75" x14ac:dyDescent="0.25">
      <c r="A18" s="2080"/>
      <c r="B18" s="2081"/>
      <c r="C18" s="117" t="s">
        <v>1360</v>
      </c>
      <c r="D18" s="116"/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</row>
    <row r="19" spans="1:16" s="111" customFormat="1" ht="15.75" x14ac:dyDescent="0.25">
      <c r="A19" s="2080"/>
      <c r="B19" s="2081"/>
      <c r="C19" s="117" t="s">
        <v>1361</v>
      </c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</row>
    <row r="20" spans="1:16" s="111" customFormat="1" ht="15.75" x14ac:dyDescent="0.25">
      <c r="A20" s="2080">
        <v>3</v>
      </c>
      <c r="B20" s="2081" t="s">
        <v>1381</v>
      </c>
      <c r="C20" s="117" t="s">
        <v>1358</v>
      </c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</row>
    <row r="21" spans="1:16" s="111" customFormat="1" ht="15.75" x14ac:dyDescent="0.25">
      <c r="A21" s="2080"/>
      <c r="B21" s="2081"/>
      <c r="C21" s="117" t="s">
        <v>1359</v>
      </c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</row>
    <row r="22" spans="1:16" s="111" customFormat="1" ht="15.75" x14ac:dyDescent="0.25">
      <c r="A22" s="2080"/>
      <c r="B22" s="2081"/>
      <c r="C22" s="117" t="s">
        <v>1360</v>
      </c>
      <c r="D22" s="116"/>
      <c r="E22" s="116"/>
      <c r="F22" s="116"/>
      <c r="G22" s="116"/>
      <c r="H22" s="116"/>
      <c r="I22" s="116"/>
      <c r="J22" s="116"/>
      <c r="K22" s="116"/>
      <c r="L22" s="116"/>
      <c r="M22" s="116"/>
      <c r="N22" s="116"/>
      <c r="O22" s="116"/>
      <c r="P22" s="116"/>
    </row>
    <row r="23" spans="1:16" s="111" customFormat="1" ht="15.75" x14ac:dyDescent="0.25">
      <c r="A23" s="2080"/>
      <c r="B23" s="2081"/>
      <c r="C23" s="117" t="s">
        <v>1361</v>
      </c>
      <c r="D23" s="116"/>
      <c r="E23" s="116"/>
      <c r="F23" s="116"/>
      <c r="G23" s="116"/>
      <c r="H23" s="116"/>
      <c r="I23" s="116"/>
      <c r="J23" s="116"/>
      <c r="K23" s="116"/>
      <c r="L23" s="116"/>
      <c r="M23" s="116"/>
      <c r="N23" s="116"/>
      <c r="O23" s="116"/>
      <c r="P23" s="116"/>
    </row>
    <row r="24" spans="1:16" s="111" customFormat="1" ht="15.75" x14ac:dyDescent="0.25">
      <c r="A24" s="2080">
        <v>4</v>
      </c>
      <c r="B24" s="2081" t="s">
        <v>1384</v>
      </c>
      <c r="C24" s="117" t="s">
        <v>1358</v>
      </c>
      <c r="D24" s="116"/>
      <c r="E24" s="116"/>
      <c r="F24" s="116"/>
      <c r="G24" s="116"/>
      <c r="H24" s="116"/>
      <c r="I24" s="116"/>
      <c r="J24" s="116"/>
      <c r="K24" s="116"/>
      <c r="L24" s="116"/>
      <c r="M24" s="116"/>
      <c r="N24" s="116"/>
      <c r="O24" s="116"/>
      <c r="P24" s="116"/>
    </row>
    <row r="25" spans="1:16" s="111" customFormat="1" ht="15.75" x14ac:dyDescent="0.25">
      <c r="A25" s="2080"/>
      <c r="B25" s="2081"/>
      <c r="C25" s="117" t="s">
        <v>1359</v>
      </c>
      <c r="D25" s="116"/>
      <c r="E25" s="116"/>
      <c r="F25" s="116"/>
      <c r="G25" s="116"/>
      <c r="H25" s="116"/>
      <c r="I25" s="116"/>
      <c r="J25" s="116"/>
      <c r="K25" s="116"/>
      <c r="L25" s="116"/>
      <c r="M25" s="116"/>
      <c r="N25" s="116"/>
      <c r="O25" s="116"/>
      <c r="P25" s="116"/>
    </row>
    <row r="26" spans="1:16" s="111" customFormat="1" ht="15.75" x14ac:dyDescent="0.25">
      <c r="A26" s="2080"/>
      <c r="B26" s="2081"/>
      <c r="C26" s="117" t="s">
        <v>1360</v>
      </c>
      <c r="D26" s="116"/>
      <c r="E26" s="116"/>
      <c r="F26" s="116"/>
      <c r="G26" s="116"/>
      <c r="H26" s="116"/>
      <c r="I26" s="116"/>
      <c r="J26" s="116"/>
      <c r="K26" s="116"/>
      <c r="L26" s="116"/>
      <c r="M26" s="116"/>
      <c r="N26" s="116"/>
      <c r="O26" s="116"/>
      <c r="P26" s="116"/>
    </row>
    <row r="27" spans="1:16" s="111" customFormat="1" ht="15.75" x14ac:dyDescent="0.25">
      <c r="A27" s="2080"/>
      <c r="B27" s="2081"/>
      <c r="C27" s="117" t="s">
        <v>1361</v>
      </c>
      <c r="D27" s="116"/>
      <c r="E27" s="116"/>
      <c r="F27" s="116"/>
      <c r="G27" s="116"/>
      <c r="H27" s="116"/>
      <c r="I27" s="116"/>
      <c r="J27" s="116"/>
      <c r="K27" s="116"/>
      <c r="L27" s="116"/>
      <c r="M27" s="116"/>
      <c r="N27" s="116"/>
      <c r="O27" s="116"/>
      <c r="P27" s="116"/>
    </row>
    <row r="28" spans="1:16" s="111" customFormat="1" ht="15.75" x14ac:dyDescent="0.25">
      <c r="A28" s="2166" t="s">
        <v>1554</v>
      </c>
      <c r="B28" s="2166"/>
      <c r="C28" s="2166"/>
      <c r="D28" s="2166"/>
      <c r="E28" s="2166"/>
      <c r="F28" s="2166"/>
      <c r="G28" s="2166"/>
      <c r="H28" s="2166"/>
      <c r="I28" s="2166"/>
      <c r="J28" s="2166"/>
      <c r="K28" s="2166"/>
      <c r="L28" s="2166"/>
      <c r="M28" s="2166"/>
      <c r="N28" s="2166"/>
      <c r="O28" s="2166"/>
      <c r="P28" s="2166"/>
    </row>
    <row r="29" spans="1:16" s="111" customFormat="1" ht="15.75" x14ac:dyDescent="0.25"/>
    <row r="30" spans="1:16" s="111" customFormat="1" ht="15.75" x14ac:dyDescent="0.25"/>
    <row r="31" spans="1:16" s="111" customFormat="1" ht="15.75" x14ac:dyDescent="0.25">
      <c r="D31" s="111" t="s">
        <v>1605</v>
      </c>
      <c r="M31" s="111" t="s">
        <v>1657</v>
      </c>
    </row>
    <row r="32" spans="1:16" s="111" customFormat="1" ht="15.75" x14ac:dyDescent="0.25">
      <c r="D32" s="111" t="s">
        <v>1555</v>
      </c>
      <c r="M32" s="111" t="s">
        <v>1658</v>
      </c>
    </row>
    <row r="33" spans="4:13" s="111" customFormat="1" ht="15.75" x14ac:dyDescent="0.25"/>
    <row r="34" spans="4:13" s="111" customFormat="1" ht="15.75" x14ac:dyDescent="0.25"/>
    <row r="35" spans="4:13" s="111" customFormat="1" ht="15.75" x14ac:dyDescent="0.25"/>
    <row r="36" spans="4:13" s="111" customFormat="1" ht="15.75" x14ac:dyDescent="0.25">
      <c r="D36" s="111" t="s">
        <v>1659</v>
      </c>
      <c r="M36" s="111" t="s">
        <v>1660</v>
      </c>
    </row>
    <row r="37" spans="4:13" s="111" customFormat="1" ht="15.75" x14ac:dyDescent="0.25"/>
    <row r="38" spans="4:13" s="111" customFormat="1" ht="15.75" x14ac:dyDescent="0.25"/>
    <row r="39" spans="4:13" s="111" customFormat="1" ht="15.75" x14ac:dyDescent="0.25"/>
    <row r="40" spans="4:13" s="111" customFormat="1" ht="15.75" x14ac:dyDescent="0.25"/>
    <row r="41" spans="4:13" s="111" customFormat="1" ht="15.75" x14ac:dyDescent="0.25"/>
    <row r="42" spans="4:13" s="111" customFormat="1" ht="15.75" x14ac:dyDescent="0.25"/>
    <row r="43" spans="4:13" s="111" customFormat="1" ht="15.75" x14ac:dyDescent="0.25"/>
    <row r="44" spans="4:13" s="111" customFormat="1" ht="15.75" x14ac:dyDescent="0.25"/>
    <row r="45" spans="4:13" s="111" customFormat="1" ht="15.75" x14ac:dyDescent="0.25"/>
    <row r="46" spans="4:13" s="111" customFormat="1" ht="15.75" x14ac:dyDescent="0.25"/>
  </sheetData>
  <mergeCells count="15">
    <mergeCell ref="A1:P1"/>
    <mergeCell ref="A2:P2"/>
    <mergeCell ref="B9:E9"/>
    <mergeCell ref="I9:L9"/>
    <mergeCell ref="M9:N9"/>
    <mergeCell ref="O9:P9"/>
    <mergeCell ref="A24:A27"/>
    <mergeCell ref="B24:B27"/>
    <mergeCell ref="A28:P28"/>
    <mergeCell ref="A12:A15"/>
    <mergeCell ref="B12:B15"/>
    <mergeCell ref="A16:A19"/>
    <mergeCell ref="B16:B19"/>
    <mergeCell ref="A20:A23"/>
    <mergeCell ref="B20:B23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40"/>
  <sheetViews>
    <sheetView topLeftCell="A25" workbookViewId="0">
      <selection activeCell="G14" sqref="G14"/>
    </sheetView>
  </sheetViews>
  <sheetFormatPr defaultRowHeight="15" x14ac:dyDescent="0.25"/>
  <cols>
    <col min="1" max="1" width="14.85546875" customWidth="1"/>
    <col min="2" max="2" width="21.5703125" customWidth="1"/>
    <col min="3" max="3" width="4.140625" customWidth="1"/>
    <col min="4" max="4" width="28.28515625" customWidth="1"/>
    <col min="5" max="5" width="20.5703125" customWidth="1"/>
    <col min="7" max="7" width="12.42578125" customWidth="1"/>
    <col min="8" max="8" width="12.140625" customWidth="1"/>
    <col min="9" max="9" width="12.5703125" customWidth="1"/>
    <col min="10" max="10" width="12.140625" customWidth="1"/>
    <col min="11" max="12" width="14.42578125" customWidth="1"/>
  </cols>
  <sheetData>
    <row r="1" spans="1:12" ht="18.75" x14ac:dyDescent="0.3">
      <c r="A1" s="2097" t="s">
        <v>1661</v>
      </c>
      <c r="B1" s="2097"/>
      <c r="C1" s="2097"/>
      <c r="D1" s="2097"/>
      <c r="E1" s="2097"/>
      <c r="F1" s="2097"/>
      <c r="G1" s="2097"/>
      <c r="H1" s="2097"/>
      <c r="I1" s="2097"/>
      <c r="J1" s="2097"/>
      <c r="K1" s="2097"/>
      <c r="L1" s="2097"/>
    </row>
    <row r="2" spans="1:12" ht="18.75" x14ac:dyDescent="0.3">
      <c r="A2" s="2097" t="s">
        <v>1515</v>
      </c>
      <c r="B2" s="2097"/>
      <c r="C2" s="2097"/>
      <c r="D2" s="2097"/>
      <c r="E2" s="2097"/>
      <c r="F2" s="2097"/>
      <c r="G2" s="2097"/>
      <c r="H2" s="2097"/>
      <c r="I2" s="2097"/>
      <c r="J2" s="2097"/>
      <c r="K2" s="2097"/>
      <c r="L2" s="2097"/>
    </row>
    <row r="3" spans="1:12" ht="15.75" x14ac:dyDescent="0.25">
      <c r="A3" s="111"/>
      <c r="B3" s="111"/>
      <c r="C3" s="111"/>
      <c r="D3" s="111"/>
      <c r="E3" s="111"/>
      <c r="F3" s="111"/>
      <c r="G3" s="111"/>
      <c r="H3" s="111"/>
      <c r="I3" s="111"/>
      <c r="J3" s="111"/>
      <c r="K3" s="111"/>
      <c r="L3" s="111"/>
    </row>
    <row r="4" spans="1:12" ht="15.75" x14ac:dyDescent="0.25">
      <c r="A4" s="384" t="s">
        <v>1337</v>
      </c>
      <c r="B4" s="384" t="s">
        <v>1338</v>
      </c>
      <c r="C4" s="384"/>
      <c r="D4" s="111"/>
      <c r="E4" s="111"/>
      <c r="F4" s="111"/>
      <c r="G4" s="111"/>
      <c r="H4" s="111"/>
      <c r="I4" s="111"/>
      <c r="J4" s="111"/>
      <c r="K4" s="111"/>
      <c r="L4" s="111"/>
    </row>
    <row r="5" spans="1:12" ht="15.75" x14ac:dyDescent="0.25">
      <c r="A5" s="384" t="s">
        <v>1339</v>
      </c>
      <c r="B5" s="384" t="s">
        <v>1340</v>
      </c>
      <c r="C5" s="384"/>
      <c r="D5" s="111"/>
      <c r="E5" s="111"/>
      <c r="F5" s="111"/>
      <c r="G5" s="111"/>
      <c r="H5" s="111"/>
      <c r="I5" s="111"/>
      <c r="J5" s="111"/>
      <c r="K5" s="111"/>
      <c r="L5" s="111"/>
    </row>
    <row r="6" spans="1:12" ht="15.75" x14ac:dyDescent="0.25">
      <c r="A6" s="384" t="s">
        <v>1341</v>
      </c>
      <c r="B6" s="384" t="s">
        <v>1342</v>
      </c>
      <c r="C6" s="384"/>
      <c r="D6" s="111"/>
      <c r="E6" s="111"/>
      <c r="F6" s="111"/>
      <c r="G6" s="111"/>
      <c r="H6" s="111"/>
      <c r="I6" s="111"/>
      <c r="J6" s="111"/>
      <c r="K6" s="111"/>
      <c r="L6" s="111"/>
    </row>
    <row r="7" spans="1:12" ht="15.75" x14ac:dyDescent="0.25">
      <c r="A7" s="384" t="s">
        <v>1343</v>
      </c>
      <c r="B7" s="384" t="s">
        <v>1344</v>
      </c>
      <c r="C7" s="384"/>
      <c r="D7" s="111"/>
      <c r="E7" s="111"/>
      <c r="F7" s="111"/>
      <c r="G7" s="111"/>
      <c r="H7" s="111"/>
      <c r="I7" s="111"/>
      <c r="J7" s="111"/>
      <c r="K7" s="111"/>
      <c r="L7" s="111"/>
    </row>
    <row r="8" spans="1:12" ht="15.75" x14ac:dyDescent="0.25">
      <c r="A8" s="111"/>
      <c r="B8" s="111"/>
      <c r="C8" s="111"/>
      <c r="D8" s="111"/>
      <c r="E8" s="111"/>
      <c r="F8" s="111"/>
      <c r="G8" s="111"/>
      <c r="H8" s="111"/>
      <c r="I8" s="111"/>
      <c r="J8" s="111"/>
      <c r="K8" s="111"/>
      <c r="L8" s="111"/>
    </row>
    <row r="9" spans="1:12" ht="63" customHeight="1" x14ac:dyDescent="0.25">
      <c r="A9" s="2113" t="s">
        <v>1295</v>
      </c>
      <c r="B9" s="2164" t="s">
        <v>1345</v>
      </c>
      <c r="C9" s="2164"/>
      <c r="D9" s="2164"/>
      <c r="E9" s="2116" t="s">
        <v>1516</v>
      </c>
      <c r="F9" s="2113" t="s">
        <v>1348</v>
      </c>
      <c r="G9" s="2116" t="s">
        <v>1519</v>
      </c>
      <c r="H9" s="2116" t="s">
        <v>1350</v>
      </c>
      <c r="I9" s="2165" t="s">
        <v>1632</v>
      </c>
      <c r="J9" s="2165"/>
      <c r="K9" s="2165" t="s">
        <v>1633</v>
      </c>
      <c r="L9" s="2165"/>
    </row>
    <row r="10" spans="1:12" ht="31.5" x14ac:dyDescent="0.25">
      <c r="A10" s="2115"/>
      <c r="B10" s="490" t="s">
        <v>1354</v>
      </c>
      <c r="C10" s="490"/>
      <c r="D10" s="491" t="s">
        <v>1634</v>
      </c>
      <c r="E10" s="2118"/>
      <c r="F10" s="2115"/>
      <c r="G10" s="2118"/>
      <c r="H10" s="2118"/>
      <c r="I10" s="491" t="s">
        <v>1526</v>
      </c>
      <c r="J10" s="490" t="s">
        <v>1357</v>
      </c>
      <c r="K10" s="491" t="s">
        <v>1526</v>
      </c>
      <c r="L10" s="492" t="s">
        <v>1635</v>
      </c>
    </row>
    <row r="11" spans="1:12" ht="15.75" x14ac:dyDescent="0.25">
      <c r="A11" s="493" t="s">
        <v>1358</v>
      </c>
      <c r="B11" s="493" t="s">
        <v>1359</v>
      </c>
      <c r="C11" s="493" t="s">
        <v>1360</v>
      </c>
      <c r="D11" s="493" t="s">
        <v>1361</v>
      </c>
      <c r="E11" s="493" t="s">
        <v>1362</v>
      </c>
      <c r="F11" s="493" t="s">
        <v>1363</v>
      </c>
      <c r="G11" s="493" t="s">
        <v>1364</v>
      </c>
      <c r="H11" s="493" t="s">
        <v>1365</v>
      </c>
      <c r="I11" s="493" t="s">
        <v>1366</v>
      </c>
      <c r="J11" s="493" t="s">
        <v>1367</v>
      </c>
      <c r="K11" s="493" t="s">
        <v>1368</v>
      </c>
      <c r="L11" s="493" t="s">
        <v>1369</v>
      </c>
    </row>
    <row r="12" spans="1:12" ht="15.75" x14ac:dyDescent="0.25">
      <c r="A12" s="2080" t="s">
        <v>1636</v>
      </c>
      <c r="B12" s="2158" t="s">
        <v>59</v>
      </c>
      <c r="C12" s="117">
        <v>1</v>
      </c>
      <c r="D12" s="116"/>
      <c r="E12" s="116"/>
      <c r="F12" s="116"/>
      <c r="G12" s="116"/>
      <c r="H12" s="116"/>
      <c r="I12" s="116"/>
      <c r="J12" s="116"/>
      <c r="K12" s="116"/>
      <c r="L12" s="116"/>
    </row>
    <row r="13" spans="1:12" ht="15.75" x14ac:dyDescent="0.25">
      <c r="A13" s="2080"/>
      <c r="B13" s="2159"/>
      <c r="C13" s="117">
        <v>2</v>
      </c>
      <c r="D13" s="116"/>
      <c r="E13" s="116"/>
      <c r="F13" s="116"/>
      <c r="G13" s="116"/>
      <c r="H13" s="116"/>
      <c r="I13" s="116"/>
      <c r="J13" s="116"/>
      <c r="K13" s="116"/>
      <c r="L13" s="116"/>
    </row>
    <row r="14" spans="1:12" ht="15.75" x14ac:dyDescent="0.25">
      <c r="A14" s="2080"/>
      <c r="B14" s="2159"/>
      <c r="C14" s="117">
        <v>3</v>
      </c>
      <c r="D14" s="116"/>
      <c r="E14" s="116"/>
      <c r="F14" s="116"/>
      <c r="G14" s="116"/>
      <c r="H14" s="116"/>
      <c r="I14" s="116"/>
      <c r="J14" s="116"/>
      <c r="K14" s="116"/>
      <c r="L14" s="116"/>
    </row>
    <row r="15" spans="1:12" ht="15.75" x14ac:dyDescent="0.25">
      <c r="A15" s="2080"/>
      <c r="B15" s="2160"/>
      <c r="C15" s="117">
        <v>4</v>
      </c>
      <c r="D15" s="116"/>
      <c r="E15" s="116"/>
      <c r="F15" s="116"/>
      <c r="G15" s="116"/>
      <c r="H15" s="116"/>
      <c r="I15" s="116"/>
      <c r="J15" s="116"/>
      <c r="K15" s="116"/>
      <c r="L15" s="116"/>
    </row>
    <row r="16" spans="1:12" ht="15.75" x14ac:dyDescent="0.25">
      <c r="A16" s="2161" t="s">
        <v>1637</v>
      </c>
      <c r="B16" s="2162"/>
      <c r="C16" s="2162"/>
      <c r="D16" s="2162"/>
      <c r="E16" s="2162"/>
      <c r="F16" s="2162"/>
      <c r="G16" s="2162"/>
      <c r="H16" s="2163"/>
      <c r="I16" s="119"/>
      <c r="J16" s="119"/>
      <c r="K16" s="119"/>
      <c r="L16" s="119"/>
    </row>
    <row r="17" spans="1:12" ht="15.75" x14ac:dyDescent="0.25">
      <c r="A17" s="2080" t="s">
        <v>1638</v>
      </c>
      <c r="B17" s="2158" t="s">
        <v>980</v>
      </c>
      <c r="C17" s="117">
        <v>1</v>
      </c>
      <c r="D17" s="116"/>
      <c r="E17" s="116"/>
      <c r="F17" s="116"/>
      <c r="G17" s="116"/>
      <c r="H17" s="116"/>
      <c r="I17" s="116"/>
      <c r="J17" s="116"/>
      <c r="K17" s="116"/>
      <c r="L17" s="116"/>
    </row>
    <row r="18" spans="1:12" ht="15.75" x14ac:dyDescent="0.25">
      <c r="A18" s="2080"/>
      <c r="B18" s="2159"/>
      <c r="C18" s="117">
        <v>2</v>
      </c>
      <c r="D18" s="116"/>
      <c r="E18" s="116"/>
      <c r="F18" s="116"/>
      <c r="G18" s="116"/>
      <c r="H18" s="116"/>
      <c r="I18" s="116"/>
      <c r="J18" s="116"/>
      <c r="K18" s="116"/>
      <c r="L18" s="116"/>
    </row>
    <row r="19" spans="1:12" ht="15.75" x14ac:dyDescent="0.25">
      <c r="A19" s="2080"/>
      <c r="B19" s="2159"/>
      <c r="C19" s="117">
        <v>3</v>
      </c>
      <c r="D19" s="116"/>
      <c r="E19" s="116"/>
      <c r="F19" s="116"/>
      <c r="G19" s="116"/>
      <c r="H19" s="116"/>
      <c r="I19" s="116"/>
      <c r="J19" s="116"/>
      <c r="K19" s="116"/>
      <c r="L19" s="116"/>
    </row>
    <row r="20" spans="1:12" ht="15.75" x14ac:dyDescent="0.25">
      <c r="A20" s="2080"/>
      <c r="B20" s="2160"/>
      <c r="C20" s="117">
        <v>4</v>
      </c>
      <c r="D20" s="116"/>
      <c r="E20" s="116"/>
      <c r="F20" s="116"/>
      <c r="G20" s="116"/>
      <c r="H20" s="116"/>
      <c r="I20" s="116"/>
      <c r="J20" s="116"/>
      <c r="K20" s="116"/>
      <c r="L20" s="116"/>
    </row>
    <row r="21" spans="1:12" ht="15.75" x14ac:dyDescent="0.25">
      <c r="A21" s="2161" t="s">
        <v>1380</v>
      </c>
      <c r="B21" s="2162"/>
      <c r="C21" s="2162"/>
      <c r="D21" s="2162"/>
      <c r="E21" s="2162"/>
      <c r="F21" s="2162"/>
      <c r="G21" s="2162"/>
      <c r="H21" s="2163"/>
      <c r="I21" s="119"/>
      <c r="J21" s="119"/>
      <c r="K21" s="119"/>
      <c r="L21" s="119"/>
    </row>
    <row r="22" spans="1:12" ht="15.75" x14ac:dyDescent="0.25">
      <c r="A22" s="2080" t="s">
        <v>1639</v>
      </c>
      <c r="B22" s="2158" t="s">
        <v>1381</v>
      </c>
      <c r="C22" s="117">
        <v>1</v>
      </c>
      <c r="D22" s="116"/>
      <c r="E22" s="116"/>
      <c r="F22" s="116"/>
      <c r="G22" s="116"/>
      <c r="H22" s="116"/>
      <c r="I22" s="116"/>
      <c r="J22" s="116"/>
      <c r="K22" s="116"/>
      <c r="L22" s="116"/>
    </row>
    <row r="23" spans="1:12" ht="15.75" x14ac:dyDescent="0.25">
      <c r="A23" s="2080"/>
      <c r="B23" s="2159"/>
      <c r="C23" s="117">
        <v>2</v>
      </c>
      <c r="D23" s="116"/>
      <c r="E23" s="116"/>
      <c r="F23" s="116"/>
      <c r="G23" s="116"/>
      <c r="H23" s="116"/>
      <c r="I23" s="116"/>
      <c r="J23" s="116"/>
      <c r="K23" s="116"/>
      <c r="L23" s="116"/>
    </row>
    <row r="24" spans="1:12" ht="15.75" x14ac:dyDescent="0.25">
      <c r="A24" s="2080"/>
      <c r="B24" s="2159"/>
      <c r="C24" s="117">
        <v>3</v>
      </c>
      <c r="D24" s="116"/>
      <c r="E24" s="116"/>
      <c r="F24" s="116"/>
      <c r="G24" s="116"/>
      <c r="H24" s="116"/>
      <c r="I24" s="116"/>
      <c r="J24" s="116"/>
      <c r="K24" s="116"/>
      <c r="L24" s="116"/>
    </row>
    <row r="25" spans="1:12" ht="15.75" x14ac:dyDescent="0.25">
      <c r="A25" s="2080"/>
      <c r="B25" s="2160"/>
      <c r="C25" s="117">
        <v>4</v>
      </c>
      <c r="D25" s="116"/>
      <c r="E25" s="116"/>
      <c r="F25" s="116"/>
      <c r="G25" s="116"/>
      <c r="H25" s="116"/>
      <c r="I25" s="116"/>
      <c r="J25" s="116"/>
      <c r="K25" s="116"/>
      <c r="L25" s="116"/>
    </row>
    <row r="26" spans="1:12" ht="15.75" x14ac:dyDescent="0.25">
      <c r="A26" s="2161" t="s">
        <v>1383</v>
      </c>
      <c r="B26" s="2162"/>
      <c r="C26" s="2162"/>
      <c r="D26" s="2162"/>
      <c r="E26" s="2162"/>
      <c r="F26" s="2162"/>
      <c r="G26" s="2162"/>
      <c r="H26" s="2163"/>
      <c r="I26" s="119"/>
      <c r="J26" s="119"/>
      <c r="K26" s="119"/>
      <c r="L26" s="119"/>
    </row>
    <row r="27" spans="1:12" ht="15.75" x14ac:dyDescent="0.25">
      <c r="A27" s="2080" t="s">
        <v>1640</v>
      </c>
      <c r="B27" s="2158" t="s">
        <v>1384</v>
      </c>
      <c r="C27" s="117">
        <v>1</v>
      </c>
      <c r="D27" s="116"/>
      <c r="E27" s="116"/>
      <c r="F27" s="116"/>
      <c r="G27" s="116"/>
      <c r="H27" s="116"/>
      <c r="I27" s="116"/>
      <c r="J27" s="116"/>
      <c r="K27" s="116"/>
      <c r="L27" s="116"/>
    </row>
    <row r="28" spans="1:12" ht="15.75" x14ac:dyDescent="0.25">
      <c r="A28" s="2080"/>
      <c r="B28" s="2159"/>
      <c r="C28" s="117">
        <v>2</v>
      </c>
      <c r="D28" s="116"/>
      <c r="E28" s="116"/>
      <c r="F28" s="116"/>
      <c r="G28" s="116"/>
      <c r="H28" s="116"/>
      <c r="I28" s="116"/>
      <c r="J28" s="116"/>
      <c r="K28" s="116"/>
      <c r="L28" s="116"/>
    </row>
    <row r="29" spans="1:12" ht="15.75" x14ac:dyDescent="0.25">
      <c r="A29" s="2080"/>
      <c r="B29" s="2159"/>
      <c r="C29" s="117">
        <v>3</v>
      </c>
      <c r="D29" s="116"/>
      <c r="E29" s="116"/>
      <c r="F29" s="116"/>
      <c r="G29" s="116"/>
      <c r="H29" s="116"/>
      <c r="I29" s="116"/>
      <c r="J29" s="116"/>
      <c r="K29" s="116"/>
      <c r="L29" s="116"/>
    </row>
    <row r="30" spans="1:12" ht="15.75" x14ac:dyDescent="0.25">
      <c r="A30" s="2080"/>
      <c r="B30" s="2160"/>
      <c r="C30" s="117">
        <v>4</v>
      </c>
      <c r="D30" s="116"/>
      <c r="E30" s="116"/>
      <c r="F30" s="116"/>
      <c r="G30" s="116"/>
      <c r="H30" s="116"/>
      <c r="I30" s="116"/>
      <c r="J30" s="116"/>
      <c r="K30" s="116"/>
      <c r="L30" s="116"/>
    </row>
    <row r="31" spans="1:12" ht="15.75" x14ac:dyDescent="0.25">
      <c r="A31" s="2161" t="s">
        <v>1385</v>
      </c>
      <c r="B31" s="2162"/>
      <c r="C31" s="2162"/>
      <c r="D31" s="2162"/>
      <c r="E31" s="2162"/>
      <c r="F31" s="2162"/>
      <c r="G31" s="2162"/>
      <c r="H31" s="2163"/>
      <c r="I31" s="119"/>
      <c r="J31" s="119"/>
      <c r="K31" s="119"/>
      <c r="L31" s="119"/>
    </row>
    <row r="32" spans="1:12" ht="15.75" x14ac:dyDescent="0.25">
      <c r="A32" s="2084"/>
      <c r="B32" s="2084"/>
      <c r="C32" s="2084"/>
      <c r="D32" s="2084"/>
      <c r="E32" s="2084"/>
      <c r="F32" s="2084"/>
      <c r="G32" s="2084"/>
      <c r="H32" s="2084"/>
      <c r="I32" s="2084"/>
      <c r="J32" s="2084"/>
      <c r="K32" s="2084"/>
      <c r="L32" s="2084"/>
    </row>
    <row r="33" spans="1:12" ht="15.75" x14ac:dyDescent="0.25">
      <c r="A33" s="111"/>
      <c r="B33" s="111"/>
      <c r="C33" s="111"/>
      <c r="D33" s="111"/>
      <c r="E33" s="111"/>
      <c r="F33" s="111"/>
      <c r="G33" s="111"/>
      <c r="H33" s="111"/>
      <c r="I33" s="111"/>
      <c r="J33" s="111"/>
      <c r="K33" s="111"/>
      <c r="L33" s="111"/>
    </row>
    <row r="34" spans="1:12" ht="15.75" x14ac:dyDescent="0.25">
      <c r="A34" s="111"/>
      <c r="B34" s="111"/>
      <c r="C34" s="111"/>
      <c r="D34" s="111"/>
      <c r="E34" s="111"/>
      <c r="F34" s="111"/>
      <c r="G34" s="111"/>
      <c r="H34" s="111" t="s">
        <v>1641</v>
      </c>
      <c r="I34" s="111"/>
      <c r="J34" s="111"/>
      <c r="K34" s="111"/>
      <c r="L34" s="111"/>
    </row>
    <row r="35" spans="1:12" ht="15.75" x14ac:dyDescent="0.25">
      <c r="A35" s="111"/>
      <c r="B35" s="2084" t="s">
        <v>1605</v>
      </c>
      <c r="C35" s="2084"/>
      <c r="D35" s="2084"/>
      <c r="E35" s="111"/>
      <c r="F35" s="111"/>
      <c r="G35" s="111"/>
      <c r="H35" s="111" t="s">
        <v>1386</v>
      </c>
      <c r="I35" s="111"/>
      <c r="J35" s="111"/>
      <c r="K35" s="111"/>
      <c r="L35" s="111"/>
    </row>
    <row r="36" spans="1:12" ht="15.75" x14ac:dyDescent="0.25">
      <c r="A36" s="111"/>
      <c r="B36" s="2084" t="s">
        <v>582</v>
      </c>
      <c r="C36" s="2084"/>
      <c r="D36" s="2084"/>
      <c r="E36" s="111"/>
      <c r="F36" s="111"/>
      <c r="G36" s="111"/>
      <c r="H36" s="111" t="s">
        <v>1606</v>
      </c>
      <c r="I36" s="111"/>
      <c r="J36" s="111"/>
      <c r="K36" s="111"/>
      <c r="L36" s="111"/>
    </row>
    <row r="37" spans="1:12" ht="15.75" x14ac:dyDescent="0.25">
      <c r="A37" s="111"/>
      <c r="B37" s="111"/>
      <c r="C37" s="111"/>
      <c r="D37" s="111"/>
      <c r="E37" s="111"/>
      <c r="F37" s="111"/>
      <c r="G37" s="111"/>
      <c r="H37" s="111"/>
      <c r="I37" s="111"/>
      <c r="J37" s="111"/>
      <c r="K37" s="111"/>
      <c r="L37" s="111"/>
    </row>
    <row r="38" spans="1:12" ht="15.75" x14ac:dyDescent="0.25">
      <c r="A38" s="111"/>
      <c r="B38" s="111"/>
      <c r="C38" s="111"/>
      <c r="D38" s="111"/>
      <c r="E38" s="111"/>
      <c r="F38" s="111"/>
      <c r="G38" s="111"/>
      <c r="H38" s="111"/>
      <c r="I38" s="111"/>
      <c r="J38" s="111"/>
      <c r="K38" s="111"/>
      <c r="L38" s="111"/>
    </row>
    <row r="39" spans="1:12" ht="15.75" x14ac:dyDescent="0.25">
      <c r="A39" s="111"/>
      <c r="B39" s="111"/>
      <c r="C39" s="111"/>
      <c r="D39" s="111"/>
      <c r="E39" s="111"/>
      <c r="F39" s="111"/>
      <c r="G39" s="111"/>
      <c r="H39" s="111"/>
      <c r="I39" s="111"/>
      <c r="J39" s="111"/>
      <c r="K39" s="111"/>
      <c r="L39" s="111"/>
    </row>
    <row r="40" spans="1:12" ht="15.75" x14ac:dyDescent="0.25">
      <c r="A40" s="111"/>
      <c r="B40" s="2084" t="s">
        <v>1387</v>
      </c>
      <c r="C40" s="2084"/>
      <c r="D40" s="2084"/>
      <c r="E40" s="111"/>
      <c r="F40" s="111"/>
      <c r="G40" s="111"/>
      <c r="H40" s="111" t="s">
        <v>1388</v>
      </c>
      <c r="I40" s="111"/>
      <c r="J40" s="111"/>
      <c r="K40" s="111"/>
      <c r="L40" s="111"/>
    </row>
  </sheetData>
  <mergeCells count="26">
    <mergeCell ref="A21:H21"/>
    <mergeCell ref="A1:L1"/>
    <mergeCell ref="A2:L2"/>
    <mergeCell ref="A9:A10"/>
    <mergeCell ref="B9:D9"/>
    <mergeCell ref="E9:E10"/>
    <mergeCell ref="F9:F10"/>
    <mergeCell ref="G9:G10"/>
    <mergeCell ref="H9:H10"/>
    <mergeCell ref="I9:J9"/>
    <mergeCell ref="K9:L9"/>
    <mergeCell ref="A12:A15"/>
    <mergeCell ref="B12:B15"/>
    <mergeCell ref="A16:H16"/>
    <mergeCell ref="A17:A20"/>
    <mergeCell ref="B17:B20"/>
    <mergeCell ref="A32:L32"/>
    <mergeCell ref="B35:D35"/>
    <mergeCell ref="B36:D36"/>
    <mergeCell ref="B40:D40"/>
    <mergeCell ref="A22:A25"/>
    <mergeCell ref="B22:B25"/>
    <mergeCell ref="A26:H26"/>
    <mergeCell ref="A27:A30"/>
    <mergeCell ref="B27:B30"/>
    <mergeCell ref="A31:H3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1057"/>
  <sheetViews>
    <sheetView zoomScaleNormal="100" workbookViewId="0">
      <pane ySplit="2085" topLeftCell="A1046" activePane="bottomLeft"/>
      <selection sqref="A1:G1"/>
      <selection pane="bottomLeft" activeCell="A1050" sqref="A1050:G1055"/>
    </sheetView>
  </sheetViews>
  <sheetFormatPr defaultRowHeight="15" x14ac:dyDescent="0.25"/>
  <cols>
    <col min="1" max="1" width="13.5703125" customWidth="1"/>
    <col min="2" max="2" width="24" customWidth="1"/>
    <col min="3" max="3" width="6.28515625" customWidth="1"/>
    <col min="4" max="4" width="8" customWidth="1"/>
    <col min="5" max="5" width="11" customWidth="1"/>
    <col min="6" max="6" width="16.85546875" customWidth="1"/>
    <col min="7" max="7" width="7.5703125" customWidth="1"/>
    <col min="8" max="8" width="13.85546875" customWidth="1"/>
    <col min="9" max="9" width="17.85546875" customWidth="1"/>
    <col min="10" max="11" width="16.85546875" bestFit="1" customWidth="1"/>
    <col min="12" max="12" width="15.42578125" bestFit="1" customWidth="1"/>
    <col min="13" max="13" width="16.42578125" bestFit="1" customWidth="1"/>
    <col min="14" max="14" width="18.7109375" customWidth="1"/>
    <col min="15" max="15" width="14.140625" customWidth="1"/>
    <col min="16" max="16" width="15" customWidth="1"/>
    <col min="17" max="17" width="15.85546875" customWidth="1"/>
    <col min="18" max="18" width="16.42578125" customWidth="1"/>
    <col min="19" max="19" width="16.42578125" bestFit="1" customWidth="1"/>
    <col min="20" max="20" width="15.7109375" customWidth="1"/>
    <col min="21" max="21" width="15.42578125" bestFit="1" customWidth="1"/>
    <col min="22" max="22" width="15.140625" customWidth="1"/>
    <col min="23" max="23" width="14.5703125" bestFit="1" customWidth="1"/>
    <col min="24" max="24" width="15.42578125" bestFit="1" customWidth="1"/>
  </cols>
  <sheetData>
    <row r="1" spans="1:24" x14ac:dyDescent="0.25">
      <c r="A1" s="1911" t="s">
        <v>1247</v>
      </c>
      <c r="B1" s="1911"/>
      <c r="C1" s="1911"/>
      <c r="D1" s="1911"/>
      <c r="E1" s="1911"/>
      <c r="F1" s="1911"/>
      <c r="G1" s="1911"/>
      <c r="M1" s="1154"/>
      <c r="N1" s="1155"/>
    </row>
    <row r="2" spans="1:24" ht="30" x14ac:dyDescent="0.25">
      <c r="A2" s="1911" t="s">
        <v>1</v>
      </c>
      <c r="B2" s="1911"/>
      <c r="C2" s="1911"/>
      <c r="D2" s="1911"/>
      <c r="E2" s="1911"/>
      <c r="F2" s="1911"/>
      <c r="G2" s="1911"/>
      <c r="I2" t="s">
        <v>2387</v>
      </c>
      <c r="J2" t="s">
        <v>1682</v>
      </c>
      <c r="K2" t="s">
        <v>2620</v>
      </c>
      <c r="L2" t="s">
        <v>2621</v>
      </c>
      <c r="M2" s="1154" t="s">
        <v>2622</v>
      </c>
      <c r="N2" s="1155" t="s">
        <v>2637</v>
      </c>
      <c r="O2" t="s">
        <v>2623</v>
      </c>
      <c r="P2" t="s">
        <v>1690</v>
      </c>
      <c r="Q2" t="s">
        <v>2624</v>
      </c>
      <c r="R2" t="s">
        <v>2625</v>
      </c>
      <c r="S2" t="s">
        <v>2626</v>
      </c>
      <c r="T2" t="s">
        <v>2627</v>
      </c>
      <c r="U2" t="s">
        <v>2628</v>
      </c>
      <c r="V2" t="s">
        <v>2629</v>
      </c>
      <c r="W2" t="s">
        <v>2635</v>
      </c>
      <c r="X2" t="s">
        <v>2645</v>
      </c>
    </row>
    <row r="3" spans="1:24" x14ac:dyDescent="0.25">
      <c r="A3" s="1911" t="s">
        <v>1697</v>
      </c>
      <c r="B3" s="1911"/>
      <c r="C3" s="1911"/>
      <c r="D3" s="1911"/>
      <c r="E3" s="1911"/>
      <c r="F3" s="1911"/>
      <c r="G3" s="1911"/>
      <c r="I3" s="451">
        <f t="shared" ref="I3:X3" si="0">SUM(I4:I1048)</f>
        <v>0</v>
      </c>
      <c r="J3" s="451">
        <f t="shared" si="0"/>
        <v>442915660</v>
      </c>
      <c r="K3" s="451">
        <f t="shared" si="0"/>
        <v>236336000</v>
      </c>
      <c r="L3" s="451">
        <f t="shared" si="0"/>
        <v>23954698</v>
      </c>
      <c r="M3" s="451">
        <f t="shared" si="0"/>
        <v>770000000</v>
      </c>
      <c r="N3" s="451">
        <f t="shared" si="0"/>
        <v>0</v>
      </c>
      <c r="O3" s="451">
        <f t="shared" si="0"/>
        <v>0</v>
      </c>
      <c r="P3" s="451">
        <f t="shared" si="0"/>
        <v>0</v>
      </c>
      <c r="Q3" s="451">
        <f t="shared" si="0"/>
        <v>0</v>
      </c>
      <c r="R3" s="451">
        <f t="shared" si="0"/>
        <v>0</v>
      </c>
      <c r="S3" s="451">
        <f t="shared" si="0"/>
        <v>299542000</v>
      </c>
      <c r="T3" s="451">
        <f t="shared" si="0"/>
        <v>62589060</v>
      </c>
      <c r="U3" s="451">
        <f t="shared" si="0"/>
        <v>0</v>
      </c>
      <c r="V3" s="451">
        <f t="shared" si="0"/>
        <v>0</v>
      </c>
      <c r="W3" s="451">
        <f t="shared" si="0"/>
        <v>0</v>
      </c>
      <c r="X3" s="451">
        <f t="shared" si="0"/>
        <v>30000000</v>
      </c>
    </row>
    <row r="4" spans="1:24" x14ac:dyDescent="0.25">
      <c r="A4" s="1441"/>
      <c r="B4" s="1442"/>
      <c r="C4" s="1443"/>
      <c r="D4" s="1443"/>
      <c r="E4" s="1444"/>
      <c r="F4" s="1444"/>
      <c r="G4" s="1444"/>
    </row>
    <row r="5" spans="1:24" ht="24.75" x14ac:dyDescent="0.25">
      <c r="A5" s="1444" t="s">
        <v>1913</v>
      </c>
      <c r="B5" s="1445" t="s">
        <v>1089</v>
      </c>
      <c r="C5" s="1446"/>
      <c r="D5" s="1446"/>
      <c r="E5" s="1447"/>
      <c r="F5" s="1447"/>
      <c r="G5" s="1444"/>
    </row>
    <row r="6" spans="1:24" ht="36.75" x14ac:dyDescent="0.25">
      <c r="A6" s="1244" t="s">
        <v>814</v>
      </c>
      <c r="B6" s="1245" t="s">
        <v>2318</v>
      </c>
      <c r="C6" s="1242"/>
      <c r="D6" s="1242"/>
      <c r="E6" s="1243" t="s">
        <v>1915</v>
      </c>
      <c r="F6" s="1243"/>
      <c r="G6" s="1240"/>
    </row>
    <row r="7" spans="1:24" ht="75" x14ac:dyDescent="0.25">
      <c r="A7" s="1246" t="s">
        <v>858</v>
      </c>
      <c r="B7" s="1247" t="s">
        <v>2319</v>
      </c>
      <c r="C7" s="1242"/>
      <c r="D7" s="1242"/>
      <c r="E7" s="1243" t="s">
        <v>1917</v>
      </c>
      <c r="F7" s="1243"/>
      <c r="G7" s="1244"/>
    </row>
    <row r="8" spans="1:24" ht="24" x14ac:dyDescent="0.25">
      <c r="A8" s="1246" t="s">
        <v>1918</v>
      </c>
      <c r="B8" s="1247" t="s">
        <v>2320</v>
      </c>
      <c r="C8" s="1242"/>
      <c r="D8" s="1242"/>
      <c r="E8" s="1243"/>
      <c r="F8" s="1243"/>
      <c r="G8" s="1244"/>
    </row>
    <row r="9" spans="1:24" x14ac:dyDescent="0.25">
      <c r="A9" s="1240" t="s">
        <v>1920</v>
      </c>
      <c r="B9" s="1241" t="s">
        <v>63</v>
      </c>
      <c r="C9" s="1242"/>
      <c r="D9" s="1242"/>
      <c r="E9" s="1240"/>
      <c r="F9" s="1240"/>
      <c r="G9" s="1240"/>
    </row>
    <row r="10" spans="1:24" x14ac:dyDescent="0.25">
      <c r="A10" s="1244" t="s">
        <v>64</v>
      </c>
      <c r="B10" s="1245" t="s">
        <v>65</v>
      </c>
      <c r="C10" s="1242"/>
      <c r="D10" s="1242"/>
      <c r="E10" s="1244"/>
      <c r="F10" s="1244"/>
      <c r="G10" s="1244"/>
    </row>
    <row r="11" spans="1:24" x14ac:dyDescent="0.25">
      <c r="A11" s="1194"/>
      <c r="B11" s="1248"/>
      <c r="C11" s="1249"/>
      <c r="D11" s="1249"/>
      <c r="E11" s="1194"/>
      <c r="F11" s="1194"/>
      <c r="G11" s="1194"/>
    </row>
    <row r="12" spans="1:24" ht="24" x14ac:dyDescent="0.25">
      <c r="A12" s="1174" t="s">
        <v>31</v>
      </c>
      <c r="B12" s="1174" t="s">
        <v>12</v>
      </c>
      <c r="C12" s="2019" t="s">
        <v>13</v>
      </c>
      <c r="D12" s="2020"/>
      <c r="E12" s="1251" t="s">
        <v>14</v>
      </c>
      <c r="F12" s="1250" t="s">
        <v>15</v>
      </c>
      <c r="G12" s="1252" t="s">
        <v>301</v>
      </c>
    </row>
    <row r="13" spans="1:24" x14ac:dyDescent="0.25">
      <c r="A13" s="1169">
        <v>1</v>
      </c>
      <c r="B13" s="1165">
        <v>2</v>
      </c>
      <c r="C13" s="1874">
        <v>3</v>
      </c>
      <c r="D13" s="1875"/>
      <c r="E13" s="1201">
        <v>4</v>
      </c>
      <c r="F13" s="1170">
        <v>5</v>
      </c>
      <c r="G13" s="1173">
        <v>7</v>
      </c>
    </row>
    <row r="14" spans="1:24" x14ac:dyDescent="0.25">
      <c r="A14" s="1253" t="s">
        <v>2321</v>
      </c>
      <c r="B14" s="1254" t="s">
        <v>855</v>
      </c>
      <c r="C14" s="1255"/>
      <c r="D14" s="1256"/>
      <c r="E14" s="1257"/>
      <c r="F14" s="1258"/>
      <c r="G14" s="1173"/>
    </row>
    <row r="15" spans="1:24" x14ac:dyDescent="0.25">
      <c r="A15" s="1253" t="s">
        <v>2322</v>
      </c>
      <c r="B15" s="1254" t="s">
        <v>243</v>
      </c>
      <c r="C15" s="1255"/>
      <c r="D15" s="1256"/>
      <c r="E15" s="1257"/>
      <c r="F15" s="1258"/>
      <c r="G15" s="1173"/>
    </row>
    <row r="16" spans="1:24" ht="24" x14ac:dyDescent="0.25">
      <c r="A16" s="1253" t="s">
        <v>2322</v>
      </c>
      <c r="B16" s="1254" t="s">
        <v>2323</v>
      </c>
      <c r="C16" s="1259"/>
      <c r="D16" s="1256"/>
      <c r="E16" s="1257"/>
      <c r="F16" s="1258"/>
      <c r="G16" s="1173"/>
    </row>
    <row r="17" spans="1:7" ht="36" x14ac:dyDescent="0.25">
      <c r="A17" s="1253" t="s">
        <v>2324</v>
      </c>
      <c r="B17" s="1254" t="s">
        <v>2325</v>
      </c>
      <c r="C17" s="1259"/>
      <c r="D17" s="1256"/>
      <c r="E17" s="1257"/>
      <c r="F17" s="1258"/>
      <c r="G17" s="1173"/>
    </row>
    <row r="18" spans="1:7" ht="24" x14ac:dyDescent="0.25">
      <c r="A18" s="1226"/>
      <c r="B18" s="1260" t="s">
        <v>2326</v>
      </c>
      <c r="C18" s="1259">
        <v>1</v>
      </c>
      <c r="D18" s="1256" t="s">
        <v>204</v>
      </c>
      <c r="E18" s="1257">
        <v>2500000</v>
      </c>
      <c r="F18" s="1258">
        <f>E18*C18</f>
        <v>2500000</v>
      </c>
      <c r="G18" s="1173"/>
    </row>
    <row r="19" spans="1:7" ht="15.75" thickBot="1" x14ac:dyDescent="0.3">
      <c r="A19" s="1226"/>
      <c r="B19" s="1261"/>
      <c r="C19" s="1262"/>
      <c r="D19" s="1263"/>
      <c r="E19" s="1264"/>
      <c r="F19" s="1265"/>
      <c r="G19" s="1173"/>
    </row>
    <row r="20" spans="1:7" ht="15.75" thickBot="1" x14ac:dyDescent="0.3">
      <c r="A20" s="1267"/>
      <c r="B20" s="2021" t="s">
        <v>613</v>
      </c>
      <c r="C20" s="2022"/>
      <c r="D20" s="2022"/>
      <c r="E20" s="2023"/>
      <c r="F20" s="1266">
        <f>SUM(F17:F19)</f>
        <v>2500000</v>
      </c>
      <c r="G20" s="1268"/>
    </row>
    <row r="21" spans="1:7" ht="15.75" thickBot="1" x14ac:dyDescent="0.3">
      <c r="A21" s="1267"/>
      <c r="B21" s="2021" t="s">
        <v>27</v>
      </c>
      <c r="C21" s="2022"/>
      <c r="D21" s="2022"/>
      <c r="E21" s="2023"/>
      <c r="F21" s="1266">
        <f>F20</f>
        <v>2500000</v>
      </c>
      <c r="G21" s="1268"/>
    </row>
    <row r="23" spans="1:7" x14ac:dyDescent="0.25">
      <c r="A23" s="1977" t="s">
        <v>0</v>
      </c>
      <c r="B23" s="1977"/>
      <c r="C23" s="1977"/>
      <c r="D23" s="1977"/>
      <c r="E23" s="1977"/>
      <c r="F23" s="1977"/>
      <c r="G23" s="1977"/>
    </row>
    <row r="24" spans="1:7" x14ac:dyDescent="0.25">
      <c r="A24" s="1977" t="s">
        <v>1</v>
      </c>
      <c r="B24" s="1977"/>
      <c r="C24" s="1977"/>
      <c r="D24" s="1977"/>
      <c r="E24" s="1977"/>
      <c r="F24" s="1977"/>
      <c r="G24" s="1977"/>
    </row>
    <row r="25" spans="1:7" x14ac:dyDescent="0.25">
      <c r="A25" s="1977" t="s">
        <v>1697</v>
      </c>
      <c r="B25" s="1977"/>
      <c r="C25" s="1977"/>
      <c r="D25" s="1977"/>
      <c r="E25" s="1977"/>
      <c r="F25" s="1977"/>
      <c r="G25" s="1977"/>
    </row>
    <row r="26" spans="1:7" x14ac:dyDescent="0.25">
      <c r="A26" s="39"/>
      <c r="B26" s="526"/>
      <c r="C26" s="39"/>
      <c r="D26" s="39"/>
      <c r="E26" s="39"/>
      <c r="F26" s="39"/>
      <c r="G26" s="39"/>
    </row>
    <row r="27" spans="1:7" ht="25.5" x14ac:dyDescent="0.25">
      <c r="A27" s="385" t="s">
        <v>296</v>
      </c>
      <c r="B27" s="386" t="s">
        <v>1089</v>
      </c>
      <c r="C27" s="385"/>
      <c r="D27" s="385"/>
      <c r="E27" s="658"/>
      <c r="F27" s="658"/>
      <c r="G27" s="240"/>
    </row>
    <row r="28" spans="1:7" ht="38.25" x14ac:dyDescent="0.25">
      <c r="A28" s="385" t="s">
        <v>297</v>
      </c>
      <c r="B28" s="659" t="s">
        <v>1090</v>
      </c>
      <c r="C28" s="385"/>
      <c r="D28" s="385"/>
      <c r="E28" s="8" t="s">
        <v>6</v>
      </c>
      <c r="F28" s="8" t="s">
        <v>65</v>
      </c>
      <c r="G28" s="240"/>
    </row>
    <row r="29" spans="1:7" ht="51" x14ac:dyDescent="0.25">
      <c r="A29" s="386" t="s">
        <v>298</v>
      </c>
      <c r="B29" s="386" t="s">
        <v>1091</v>
      </c>
      <c r="C29" s="386"/>
      <c r="D29" s="386"/>
      <c r="E29" s="67" t="s">
        <v>573</v>
      </c>
      <c r="F29" s="67"/>
      <c r="G29" s="240"/>
    </row>
    <row r="30" spans="1:7" x14ac:dyDescent="0.25">
      <c r="A30" s="387" t="s">
        <v>62</v>
      </c>
      <c r="B30" s="660" t="s">
        <v>63</v>
      </c>
      <c r="C30" s="387"/>
      <c r="D30" s="388"/>
      <c r="E30" s="388"/>
      <c r="F30" s="388"/>
      <c r="G30" s="240"/>
    </row>
    <row r="31" spans="1:7" x14ac:dyDescent="0.25">
      <c r="A31" s="389" t="s">
        <v>64</v>
      </c>
      <c r="B31" s="661" t="s">
        <v>65</v>
      </c>
      <c r="C31" s="387"/>
      <c r="D31" s="1835"/>
      <c r="E31" s="1835"/>
      <c r="F31" s="388"/>
      <c r="G31" s="240"/>
    </row>
    <row r="32" spans="1:7" x14ac:dyDescent="0.25">
      <c r="A32" s="3"/>
      <c r="B32" s="3"/>
      <c r="C32" s="3"/>
      <c r="D32" s="3"/>
      <c r="E32" s="3"/>
      <c r="F32" s="3"/>
      <c r="G32" s="240"/>
    </row>
    <row r="33" spans="1:10" ht="24" x14ac:dyDescent="0.25">
      <c r="A33" s="343" t="s">
        <v>300</v>
      </c>
      <c r="B33" s="343" t="s">
        <v>12</v>
      </c>
      <c r="C33" s="1978" t="s">
        <v>13</v>
      </c>
      <c r="D33" s="1978"/>
      <c r="E33" s="107" t="s">
        <v>14</v>
      </c>
      <c r="F33" s="344" t="s">
        <v>15</v>
      </c>
      <c r="G33" s="345" t="s">
        <v>301</v>
      </c>
    </row>
    <row r="34" spans="1:10" ht="15" customHeight="1" x14ac:dyDescent="0.25">
      <c r="A34" s="144">
        <v>1</v>
      </c>
      <c r="B34" s="144">
        <v>2</v>
      </c>
      <c r="C34" s="1811">
        <v>3</v>
      </c>
      <c r="D34" s="1812"/>
      <c r="E34" s="33">
        <v>4</v>
      </c>
      <c r="F34" s="165">
        <v>5</v>
      </c>
      <c r="G34" s="346">
        <v>6</v>
      </c>
    </row>
    <row r="35" spans="1:10" x14ac:dyDescent="0.25">
      <c r="A35" s="662" t="s">
        <v>1092</v>
      </c>
      <c r="B35" s="663" t="s">
        <v>351</v>
      </c>
      <c r="C35" s="444"/>
      <c r="D35" s="517"/>
      <c r="E35" s="664"/>
      <c r="F35" s="443"/>
      <c r="G35" s="665"/>
    </row>
    <row r="36" spans="1:10" x14ac:dyDescent="0.25">
      <c r="A36" s="662" t="s">
        <v>1093</v>
      </c>
      <c r="B36" s="663" t="s">
        <v>88</v>
      </c>
      <c r="C36" s="444"/>
      <c r="D36" s="517"/>
      <c r="E36" s="664"/>
      <c r="F36" s="443"/>
      <c r="G36" s="665"/>
    </row>
    <row r="37" spans="1:10" ht="24" x14ac:dyDescent="0.25">
      <c r="A37" s="662" t="s">
        <v>1094</v>
      </c>
      <c r="B37" s="666" t="s">
        <v>354</v>
      </c>
      <c r="C37" s="554"/>
      <c r="D37" s="555"/>
      <c r="E37" s="667"/>
      <c r="F37" s="668"/>
      <c r="G37" s="665"/>
    </row>
    <row r="38" spans="1:10" x14ac:dyDescent="0.25">
      <c r="A38" s="662"/>
      <c r="B38" s="669" t="s">
        <v>1777</v>
      </c>
      <c r="C38" s="554">
        <v>60</v>
      </c>
      <c r="D38" s="555" t="s">
        <v>315</v>
      </c>
      <c r="E38" s="670">
        <v>15000</v>
      </c>
      <c r="F38" s="668">
        <f>C38*E38</f>
        <v>900000</v>
      </c>
      <c r="G38" s="665"/>
    </row>
    <row r="39" spans="1:10" x14ac:dyDescent="0.25">
      <c r="A39" s="669"/>
      <c r="B39" s="669" t="s">
        <v>1095</v>
      </c>
      <c r="C39" s="554">
        <v>165</v>
      </c>
      <c r="D39" s="555" t="s">
        <v>315</v>
      </c>
      <c r="E39" s="670">
        <v>15000</v>
      </c>
      <c r="F39" s="668">
        <f>C39*E39</f>
        <v>2475000</v>
      </c>
      <c r="G39" s="671"/>
    </row>
    <row r="40" spans="1:10" x14ac:dyDescent="0.25">
      <c r="A40" s="662" t="s">
        <v>1096</v>
      </c>
      <c r="B40" s="666" t="s">
        <v>358</v>
      </c>
      <c r="C40" s="554"/>
      <c r="D40" s="555"/>
      <c r="E40" s="670"/>
      <c r="F40" s="668"/>
      <c r="G40" s="665"/>
    </row>
    <row r="41" spans="1:10" ht="24" x14ac:dyDescent="0.25">
      <c r="A41" s="672" t="s">
        <v>1104</v>
      </c>
      <c r="B41" s="673" t="s">
        <v>319</v>
      </c>
      <c r="C41" s="402"/>
      <c r="D41" s="674"/>
      <c r="E41" s="675"/>
      <c r="F41" s="676"/>
      <c r="G41" s="665"/>
    </row>
    <row r="42" spans="1:10" x14ac:dyDescent="0.25">
      <c r="A42" s="672"/>
      <c r="B42" s="662" t="s">
        <v>496</v>
      </c>
      <c r="C42" s="677">
        <v>1</v>
      </c>
      <c r="D42" s="678" t="s">
        <v>95</v>
      </c>
      <c r="E42" s="676">
        <v>50000</v>
      </c>
      <c r="F42" s="676">
        <f>C42*E42</f>
        <v>50000</v>
      </c>
      <c r="G42" s="671"/>
    </row>
    <row r="43" spans="1:10" x14ac:dyDescent="0.25">
      <c r="A43" s="672"/>
      <c r="B43" s="662" t="s">
        <v>321</v>
      </c>
      <c r="C43" s="677">
        <v>5</v>
      </c>
      <c r="D43" s="678" t="s">
        <v>186</v>
      </c>
      <c r="E43" s="676">
        <v>1000</v>
      </c>
      <c r="F43" s="676">
        <f>C43*E43</f>
        <v>5000</v>
      </c>
      <c r="G43" s="671"/>
    </row>
    <row r="44" spans="1:10" x14ac:dyDescent="0.25">
      <c r="A44" s="672"/>
      <c r="B44" s="662" t="s">
        <v>335</v>
      </c>
      <c r="C44" s="677">
        <v>1</v>
      </c>
      <c r="D44" s="678" t="s">
        <v>336</v>
      </c>
      <c r="E44" s="676">
        <v>10000</v>
      </c>
      <c r="F44" s="676">
        <f>C44*E44</f>
        <v>10000</v>
      </c>
      <c r="G44" s="671"/>
    </row>
    <row r="45" spans="1:10" x14ac:dyDescent="0.25">
      <c r="A45" s="662" t="s">
        <v>1097</v>
      </c>
      <c r="B45" s="666" t="s">
        <v>340</v>
      </c>
      <c r="C45" s="554"/>
      <c r="D45" s="555"/>
      <c r="E45" s="667"/>
      <c r="F45" s="668"/>
      <c r="G45" s="671"/>
    </row>
    <row r="46" spans="1:10" ht="24" x14ac:dyDescent="0.25">
      <c r="A46" s="662" t="s">
        <v>1098</v>
      </c>
      <c r="B46" s="666" t="s">
        <v>393</v>
      </c>
      <c r="C46" s="554">
        <v>36</v>
      </c>
      <c r="D46" s="555" t="s">
        <v>315</v>
      </c>
      <c r="E46" s="668">
        <v>100000</v>
      </c>
      <c r="F46" s="668">
        <f>C46*E46</f>
        <v>3600000</v>
      </c>
      <c r="G46" s="671"/>
    </row>
    <row r="47" spans="1:10" x14ac:dyDescent="0.25">
      <c r="A47" s="595"/>
      <c r="B47" s="60"/>
      <c r="C47" s="1979"/>
      <c r="D47" s="1980"/>
      <c r="E47" s="59"/>
      <c r="F47" s="463"/>
      <c r="G47" s="241"/>
    </row>
    <row r="48" spans="1:10" x14ac:dyDescent="0.25">
      <c r="A48" s="464"/>
      <c r="B48" s="1981" t="s">
        <v>27</v>
      </c>
      <c r="C48" s="1982"/>
      <c r="D48" s="1982"/>
      <c r="E48" s="1983"/>
      <c r="F48" s="680">
        <f>SUM(F38:F46)</f>
        <v>7040000</v>
      </c>
      <c r="G48" s="241" t="s">
        <v>1682</v>
      </c>
      <c r="J48" s="175">
        <f>F48</f>
        <v>7040000</v>
      </c>
    </row>
    <row r="49" spans="1:7" x14ac:dyDescent="0.25">
      <c r="A49" s="1807" t="s">
        <v>614</v>
      </c>
      <c r="B49" s="1807"/>
      <c r="C49" s="5" t="s">
        <v>28</v>
      </c>
      <c r="D49" s="1808" t="s">
        <v>1698</v>
      </c>
      <c r="E49" s="1808"/>
      <c r="F49" s="1808"/>
      <c r="G49" s="5"/>
    </row>
    <row r="50" spans="1:7" x14ac:dyDescent="0.25">
      <c r="A50" s="1807" t="s">
        <v>29</v>
      </c>
      <c r="B50" s="1807"/>
      <c r="C50" s="5"/>
      <c r="D50" s="1809" t="s">
        <v>2992</v>
      </c>
      <c r="E50" s="1809"/>
      <c r="F50" s="1809"/>
      <c r="G50" s="5"/>
    </row>
    <row r="51" spans="1:7" x14ac:dyDescent="0.25">
      <c r="A51" s="1"/>
      <c r="B51" s="3"/>
      <c r="C51" s="5"/>
      <c r="D51" s="7"/>
      <c r="E51" s="17"/>
      <c r="F51" s="17"/>
      <c r="G51" s="5"/>
    </row>
    <row r="52" spans="1:7" x14ac:dyDescent="0.25">
      <c r="A52" s="1"/>
      <c r="B52" s="3"/>
      <c r="C52" s="5"/>
      <c r="D52" s="7"/>
      <c r="E52" s="17"/>
      <c r="F52" s="17"/>
      <c r="G52" s="5"/>
    </row>
    <row r="53" spans="1:7" x14ac:dyDescent="0.25">
      <c r="A53" s="1807"/>
      <c r="B53" s="1807"/>
      <c r="C53" s="5"/>
      <c r="D53" s="7"/>
      <c r="E53" s="1807"/>
      <c r="F53" s="1807"/>
      <c r="G53" s="5"/>
    </row>
    <row r="54" spans="1:7" x14ac:dyDescent="0.25">
      <c r="A54" s="1807" t="s">
        <v>30</v>
      </c>
      <c r="B54" s="1807"/>
      <c r="C54" s="5"/>
      <c r="D54" s="1807" t="s">
        <v>2993</v>
      </c>
      <c r="E54" s="1807"/>
      <c r="F54" s="1807"/>
      <c r="G54" s="5"/>
    </row>
    <row r="56" spans="1:7" x14ac:dyDescent="0.25">
      <c r="A56" s="1977" t="s">
        <v>0</v>
      </c>
      <c r="B56" s="1977"/>
      <c r="C56" s="1977"/>
      <c r="D56" s="1977"/>
      <c r="E56" s="1977"/>
      <c r="F56" s="1977"/>
      <c r="G56" s="1977"/>
    </row>
    <row r="57" spans="1:7" x14ac:dyDescent="0.25">
      <c r="A57" s="1977" t="s">
        <v>1</v>
      </c>
      <c r="B57" s="1977"/>
      <c r="C57" s="1977"/>
      <c r="D57" s="1977"/>
      <c r="E57" s="1977"/>
      <c r="F57" s="1977"/>
      <c r="G57" s="1977"/>
    </row>
    <row r="58" spans="1:7" x14ac:dyDescent="0.25">
      <c r="A58" s="1977" t="s">
        <v>1697</v>
      </c>
      <c r="B58" s="1977"/>
      <c r="C58" s="1977"/>
      <c r="D58" s="1977"/>
      <c r="E58" s="1977"/>
      <c r="F58" s="1977"/>
      <c r="G58" s="1977"/>
    </row>
    <row r="59" spans="1:7" x14ac:dyDescent="0.25">
      <c r="A59" s="39"/>
      <c r="B59" s="39"/>
      <c r="C59" s="39"/>
      <c r="D59" s="39"/>
      <c r="E59" s="39"/>
      <c r="F59" s="39"/>
      <c r="G59" s="39"/>
    </row>
    <row r="60" spans="1:7" x14ac:dyDescent="0.25">
      <c r="A60" s="385" t="s">
        <v>296</v>
      </c>
      <c r="B60" s="385" t="s">
        <v>1089</v>
      </c>
      <c r="C60" s="385"/>
      <c r="D60" s="579"/>
      <c r="E60" s="681"/>
      <c r="F60" s="681"/>
      <c r="G60" s="240"/>
    </row>
    <row r="61" spans="1:7" ht="38.25" x14ac:dyDescent="0.25">
      <c r="A61" s="385" t="s">
        <v>297</v>
      </c>
      <c r="B61" s="659" t="s">
        <v>1090</v>
      </c>
      <c r="C61" s="385"/>
      <c r="D61" s="579"/>
      <c r="E61" s="8" t="s">
        <v>6</v>
      </c>
      <c r="F61" s="8" t="s">
        <v>65</v>
      </c>
      <c r="G61" s="240"/>
    </row>
    <row r="62" spans="1:7" ht="51" x14ac:dyDescent="0.25">
      <c r="A62" s="386" t="s">
        <v>298</v>
      </c>
      <c r="B62" s="386" t="s">
        <v>1099</v>
      </c>
      <c r="C62" s="386"/>
      <c r="D62" s="581"/>
      <c r="E62" s="67" t="s">
        <v>573</v>
      </c>
      <c r="F62" s="67" t="s">
        <v>65</v>
      </c>
      <c r="G62" s="240"/>
    </row>
    <row r="63" spans="1:7" x14ac:dyDescent="0.25">
      <c r="A63" s="682" t="s">
        <v>62</v>
      </c>
      <c r="B63" s="682" t="s">
        <v>63</v>
      </c>
      <c r="C63" s="682"/>
      <c r="D63" s="388"/>
      <c r="E63" s="388"/>
      <c r="F63" s="388"/>
      <c r="G63" s="240"/>
    </row>
    <row r="64" spans="1:7" x14ac:dyDescent="0.25">
      <c r="A64" s="683" t="s">
        <v>64</v>
      </c>
      <c r="B64" s="683" t="s">
        <v>65</v>
      </c>
      <c r="C64" s="682"/>
      <c r="D64" s="1835"/>
      <c r="E64" s="1835"/>
      <c r="F64" s="388"/>
      <c r="G64" s="240"/>
    </row>
    <row r="65" spans="1:7" x14ac:dyDescent="0.25">
      <c r="A65" s="3"/>
      <c r="B65" s="3"/>
      <c r="C65" s="3"/>
      <c r="D65" s="3"/>
      <c r="E65" s="3"/>
      <c r="F65" s="3"/>
      <c r="G65" s="240"/>
    </row>
    <row r="66" spans="1:7" ht="24" x14ac:dyDescent="0.25">
      <c r="A66" s="343" t="s">
        <v>300</v>
      </c>
      <c r="B66" s="343" t="s">
        <v>12</v>
      </c>
      <c r="C66" s="1978" t="s">
        <v>13</v>
      </c>
      <c r="D66" s="1978"/>
      <c r="E66" s="107" t="s">
        <v>14</v>
      </c>
      <c r="F66" s="344" t="s">
        <v>15</v>
      </c>
      <c r="G66" s="345" t="s">
        <v>301</v>
      </c>
    </row>
    <row r="67" spans="1:7" x14ac:dyDescent="0.25">
      <c r="A67" s="144">
        <v>1</v>
      </c>
      <c r="B67" s="144">
        <v>2</v>
      </c>
      <c r="C67" s="1811">
        <v>3</v>
      </c>
      <c r="D67" s="1812"/>
      <c r="E67" s="33">
        <v>4</v>
      </c>
      <c r="F67" s="165">
        <v>5</v>
      </c>
      <c r="G67" s="346">
        <v>6</v>
      </c>
    </row>
    <row r="68" spans="1:7" x14ac:dyDescent="0.25">
      <c r="A68" s="662" t="s">
        <v>1092</v>
      </c>
      <c r="B68" s="663" t="s">
        <v>351</v>
      </c>
      <c r="C68" s="444"/>
      <c r="D68" s="517"/>
      <c r="E68" s="664"/>
      <c r="F68" s="443"/>
      <c r="G68" s="665"/>
    </row>
    <row r="69" spans="1:7" x14ac:dyDescent="0.25">
      <c r="A69" s="662" t="s">
        <v>1093</v>
      </c>
      <c r="B69" s="663" t="s">
        <v>88</v>
      </c>
      <c r="C69" s="444"/>
      <c r="D69" s="517"/>
      <c r="E69" s="664"/>
      <c r="F69" s="443"/>
      <c r="G69" s="665"/>
    </row>
    <row r="70" spans="1:7" ht="24" x14ac:dyDescent="0.25">
      <c r="A70" s="662" t="s">
        <v>1094</v>
      </c>
      <c r="B70" s="666" t="s">
        <v>354</v>
      </c>
      <c r="C70" s="554"/>
      <c r="D70" s="555"/>
      <c r="E70" s="667"/>
      <c r="F70" s="668"/>
      <c r="G70" s="665"/>
    </row>
    <row r="71" spans="1:7" x14ac:dyDescent="0.25">
      <c r="A71" s="662"/>
      <c r="B71" s="669" t="s">
        <v>1777</v>
      </c>
      <c r="C71" s="554">
        <v>60</v>
      </c>
      <c r="D71" s="555" t="s">
        <v>315</v>
      </c>
      <c r="E71" s="670">
        <v>15000</v>
      </c>
      <c r="F71" s="668">
        <f>C71*E71</f>
        <v>900000</v>
      </c>
      <c r="G71" s="665"/>
    </row>
    <row r="72" spans="1:7" x14ac:dyDescent="0.25">
      <c r="A72" s="669"/>
      <c r="B72" s="669" t="s">
        <v>1095</v>
      </c>
      <c r="C72" s="554">
        <v>165</v>
      </c>
      <c r="D72" s="555" t="s">
        <v>315</v>
      </c>
      <c r="E72" s="670">
        <v>15000</v>
      </c>
      <c r="F72" s="668">
        <f>C72*E72</f>
        <v>2475000</v>
      </c>
      <c r="G72" s="671"/>
    </row>
    <row r="73" spans="1:7" ht="16.5" customHeight="1" x14ac:dyDescent="0.25">
      <c r="A73" s="662" t="s">
        <v>1096</v>
      </c>
      <c r="B73" s="666" t="s">
        <v>358</v>
      </c>
      <c r="C73" s="554"/>
      <c r="D73" s="555"/>
      <c r="E73" s="670"/>
      <c r="F73" s="668"/>
      <c r="G73" s="665"/>
    </row>
    <row r="74" spans="1:7" ht="24" x14ac:dyDescent="0.25">
      <c r="A74" s="672" t="s">
        <v>1104</v>
      </c>
      <c r="B74" s="673" t="s">
        <v>319</v>
      </c>
      <c r="C74" s="402"/>
      <c r="D74" s="674"/>
      <c r="E74" s="675"/>
      <c r="F74" s="676"/>
      <c r="G74" s="665"/>
    </row>
    <row r="75" spans="1:7" x14ac:dyDescent="0.25">
      <c r="A75" s="672"/>
      <c r="B75" s="662" t="s">
        <v>496</v>
      </c>
      <c r="C75" s="677">
        <v>1</v>
      </c>
      <c r="D75" s="678" t="s">
        <v>95</v>
      </c>
      <c r="E75" s="676">
        <v>50000</v>
      </c>
      <c r="F75" s="676">
        <f>C75*E75</f>
        <v>50000</v>
      </c>
      <c r="G75" s="671"/>
    </row>
    <row r="76" spans="1:7" x14ac:dyDescent="0.25">
      <c r="A76" s="672"/>
      <c r="B76" s="662" t="s">
        <v>321</v>
      </c>
      <c r="C76" s="677">
        <v>5</v>
      </c>
      <c r="D76" s="678" t="s">
        <v>186</v>
      </c>
      <c r="E76" s="676">
        <v>1000</v>
      </c>
      <c r="F76" s="676">
        <f>C76*E76</f>
        <v>5000</v>
      </c>
      <c r="G76" s="671"/>
    </row>
    <row r="77" spans="1:7" x14ac:dyDescent="0.25">
      <c r="A77" s="672"/>
      <c r="B77" s="662" t="s">
        <v>335</v>
      </c>
      <c r="C77" s="677">
        <v>1</v>
      </c>
      <c r="D77" s="678" t="s">
        <v>336</v>
      </c>
      <c r="E77" s="676">
        <v>10000</v>
      </c>
      <c r="F77" s="676">
        <f>C77*E77</f>
        <v>10000</v>
      </c>
      <c r="G77" s="671"/>
    </row>
    <row r="78" spans="1:7" x14ac:dyDescent="0.25">
      <c r="A78" s="662" t="s">
        <v>1097</v>
      </c>
      <c r="B78" s="666" t="s">
        <v>340</v>
      </c>
      <c r="C78" s="554"/>
      <c r="D78" s="555"/>
      <c r="E78" s="667"/>
      <c r="F78" s="668"/>
      <c r="G78" s="671"/>
    </row>
    <row r="79" spans="1:7" ht="24" x14ac:dyDescent="0.25">
      <c r="A79" s="662" t="s">
        <v>1098</v>
      </c>
      <c r="B79" s="666" t="s">
        <v>393</v>
      </c>
      <c r="C79" s="554">
        <v>51</v>
      </c>
      <c r="D79" s="555" t="s">
        <v>315</v>
      </c>
      <c r="E79" s="668">
        <v>100000</v>
      </c>
      <c r="F79" s="668">
        <f>C79*E79</f>
        <v>5100000</v>
      </c>
      <c r="G79" s="671"/>
    </row>
    <row r="80" spans="1:7" x14ac:dyDescent="0.25">
      <c r="A80" s="595"/>
      <c r="B80" s="60"/>
      <c r="C80" s="1979"/>
      <c r="D80" s="1980"/>
      <c r="E80" s="59"/>
      <c r="F80" s="463"/>
      <c r="G80" s="241"/>
    </row>
    <row r="81" spans="1:19" ht="30" x14ac:dyDescent="0.25">
      <c r="A81" s="464"/>
      <c r="B81" s="1981" t="s">
        <v>27</v>
      </c>
      <c r="C81" s="1982"/>
      <c r="D81" s="1982"/>
      <c r="E81" s="1983"/>
      <c r="F81" s="680">
        <f>SUM(F71:F79)</f>
        <v>8540000</v>
      </c>
      <c r="G81" s="252" t="s">
        <v>2626</v>
      </c>
      <c r="S81" s="175">
        <f>F81</f>
        <v>8540000</v>
      </c>
    </row>
    <row r="82" spans="1:19" x14ac:dyDescent="0.25">
      <c r="A82" s="1807" t="s">
        <v>614</v>
      </c>
      <c r="B82" s="1807"/>
      <c r="C82" s="5" t="s">
        <v>28</v>
      </c>
      <c r="D82" s="1808" t="s">
        <v>1698</v>
      </c>
      <c r="E82" s="1808"/>
      <c r="F82" s="1808"/>
      <c r="G82" s="5"/>
    </row>
    <row r="83" spans="1:19" x14ac:dyDescent="0.25">
      <c r="A83" s="1807" t="s">
        <v>29</v>
      </c>
      <c r="B83" s="1807"/>
      <c r="C83" s="5"/>
      <c r="D83" s="1809" t="s">
        <v>2992</v>
      </c>
      <c r="E83" s="1809"/>
      <c r="F83" s="1809"/>
      <c r="G83" s="5"/>
    </row>
    <row r="84" spans="1:19" x14ac:dyDescent="0.25">
      <c r="A84" s="1"/>
      <c r="B84" s="3"/>
      <c r="C84" s="5"/>
      <c r="D84" s="7"/>
      <c r="E84" s="17"/>
      <c r="F84" s="17"/>
      <c r="G84" s="5"/>
    </row>
    <row r="85" spans="1:19" x14ac:dyDescent="0.25">
      <c r="A85" s="1"/>
      <c r="B85" s="3"/>
      <c r="C85" s="5"/>
      <c r="D85" s="7"/>
      <c r="E85" s="17"/>
      <c r="F85" s="17"/>
      <c r="G85" s="5"/>
    </row>
    <row r="86" spans="1:19" x14ac:dyDescent="0.25">
      <c r="A86" s="1807"/>
      <c r="B86" s="1807"/>
      <c r="C86" s="5"/>
      <c r="D86" s="7"/>
      <c r="E86" s="1807"/>
      <c r="F86" s="1807"/>
      <c r="G86" s="5"/>
    </row>
    <row r="87" spans="1:19" x14ac:dyDescent="0.25">
      <c r="A87" s="1807" t="s">
        <v>30</v>
      </c>
      <c r="B87" s="1807"/>
      <c r="C87" s="5"/>
      <c r="D87" s="1807" t="s">
        <v>2993</v>
      </c>
      <c r="E87" s="1807"/>
      <c r="F87" s="1807"/>
      <c r="G87" s="5"/>
    </row>
    <row r="89" spans="1:19" x14ac:dyDescent="0.25">
      <c r="A89" s="1865" t="s">
        <v>0</v>
      </c>
      <c r="B89" s="1865"/>
      <c r="C89" s="1865"/>
      <c r="D89" s="1865"/>
      <c r="E89" s="1865"/>
      <c r="F89" s="1865"/>
      <c r="G89" s="1865"/>
    </row>
    <row r="90" spans="1:19" x14ac:dyDescent="0.25">
      <c r="A90" s="1865" t="s">
        <v>1</v>
      </c>
      <c r="B90" s="1865"/>
      <c r="C90" s="1865"/>
      <c r="D90" s="1865"/>
      <c r="E90" s="1865"/>
      <c r="F90" s="1865"/>
      <c r="G90" s="1865"/>
    </row>
    <row r="91" spans="1:19" x14ac:dyDescent="0.25">
      <c r="A91" s="1865" t="s">
        <v>1697</v>
      </c>
      <c r="B91" s="1865"/>
      <c r="C91" s="1865"/>
      <c r="D91" s="1865"/>
      <c r="E91" s="1865"/>
      <c r="F91" s="1865"/>
      <c r="G91" s="1865"/>
    </row>
    <row r="92" spans="1:19" x14ac:dyDescent="0.25">
      <c r="A92" s="597"/>
      <c r="B92" s="684"/>
      <c r="C92" s="597"/>
      <c r="D92" s="684"/>
      <c r="E92" s="597"/>
      <c r="F92" s="597"/>
      <c r="G92" s="684"/>
    </row>
    <row r="93" spans="1:19" ht="30" x14ac:dyDescent="0.25">
      <c r="A93" s="275" t="s">
        <v>549</v>
      </c>
      <c r="B93" s="279" t="s">
        <v>1089</v>
      </c>
      <c r="C93" s="275"/>
      <c r="D93" s="276"/>
      <c r="E93" s="280"/>
      <c r="F93" s="275"/>
      <c r="G93" s="278"/>
    </row>
    <row r="94" spans="1:19" x14ac:dyDescent="0.25">
      <c r="A94" s="281" t="s">
        <v>1100</v>
      </c>
      <c r="B94" s="1985" t="s">
        <v>1101</v>
      </c>
      <c r="C94" s="1985"/>
      <c r="D94" s="685"/>
      <c r="E94" s="633" t="s">
        <v>6</v>
      </c>
      <c r="F94" s="633"/>
      <c r="G94" s="278"/>
    </row>
    <row r="95" spans="1:19" ht="77.25" customHeight="1" x14ac:dyDescent="0.25">
      <c r="A95" s="281" t="s">
        <v>1102</v>
      </c>
      <c r="B95" s="686" t="s">
        <v>1778</v>
      </c>
      <c r="C95" s="686"/>
      <c r="D95" s="685"/>
      <c r="E95" s="634" t="s">
        <v>9</v>
      </c>
      <c r="F95" s="634"/>
      <c r="G95" s="278"/>
    </row>
    <row r="96" spans="1:19" x14ac:dyDescent="0.25">
      <c r="A96" s="280" t="s">
        <v>62</v>
      </c>
      <c r="B96" s="279" t="s">
        <v>63</v>
      </c>
      <c r="C96" s="280"/>
      <c r="D96" s="279"/>
      <c r="E96" s="280"/>
      <c r="F96" s="280"/>
      <c r="G96" s="278"/>
    </row>
    <row r="97" spans="1:10" x14ac:dyDescent="0.25">
      <c r="A97" s="280" t="s">
        <v>64</v>
      </c>
      <c r="B97" s="279" t="s">
        <v>65</v>
      </c>
      <c r="C97" s="280"/>
      <c r="D97" s="1817"/>
      <c r="E97" s="1817"/>
      <c r="F97" s="280"/>
      <c r="G97" s="278"/>
    </row>
    <row r="98" spans="1:10" ht="45" x14ac:dyDescent="0.25">
      <c r="A98" s="601" t="s">
        <v>300</v>
      </c>
      <c r="B98" s="601" t="s">
        <v>12</v>
      </c>
      <c r="C98" s="1866" t="s">
        <v>13</v>
      </c>
      <c r="D98" s="1866"/>
      <c r="E98" s="602" t="s">
        <v>14</v>
      </c>
      <c r="F98" s="601" t="s">
        <v>15</v>
      </c>
      <c r="G98" s="603" t="s">
        <v>301</v>
      </c>
    </row>
    <row r="99" spans="1:10" x14ac:dyDescent="0.25">
      <c r="A99" s="604">
        <v>1</v>
      </c>
      <c r="B99" s="601">
        <v>2</v>
      </c>
      <c r="C99" s="1820">
        <v>3</v>
      </c>
      <c r="D99" s="1821"/>
      <c r="E99" s="607">
        <v>4</v>
      </c>
      <c r="F99" s="605">
        <v>5</v>
      </c>
      <c r="G99" s="608">
        <v>10</v>
      </c>
    </row>
    <row r="100" spans="1:10" s="86" customFormat="1" ht="28.5" x14ac:dyDescent="0.25">
      <c r="A100" s="348" t="s">
        <v>1092</v>
      </c>
      <c r="B100" s="687" t="s">
        <v>553</v>
      </c>
      <c r="C100" s="625"/>
      <c r="D100" s="688"/>
      <c r="E100" s="689"/>
      <c r="F100" s="690"/>
      <c r="G100" s="252"/>
    </row>
    <row r="101" spans="1:10" s="86" customFormat="1" ht="28.5" x14ac:dyDescent="0.25">
      <c r="A101" s="348" t="s">
        <v>1093</v>
      </c>
      <c r="B101" s="687" t="s">
        <v>88</v>
      </c>
      <c r="C101" s="625"/>
      <c r="D101" s="688"/>
      <c r="E101" s="689"/>
      <c r="F101" s="690"/>
      <c r="G101" s="252"/>
    </row>
    <row r="102" spans="1:10" s="86" customFormat="1" ht="28.5" x14ac:dyDescent="0.25">
      <c r="A102" s="348" t="s">
        <v>1779</v>
      </c>
      <c r="B102" s="687" t="s">
        <v>1037</v>
      </c>
      <c r="C102" s="625"/>
      <c r="D102" s="688"/>
      <c r="E102" s="689"/>
      <c r="F102" s="690"/>
      <c r="G102" s="252"/>
    </row>
    <row r="103" spans="1:10" s="86" customFormat="1" x14ac:dyDescent="0.25">
      <c r="A103" s="348"/>
      <c r="B103" s="613" t="s">
        <v>647</v>
      </c>
      <c r="C103" s="691">
        <v>3</v>
      </c>
      <c r="D103" s="692" t="s">
        <v>95</v>
      </c>
      <c r="E103" s="689">
        <v>50000</v>
      </c>
      <c r="F103" s="693">
        <f>C103*E103</f>
        <v>150000</v>
      </c>
      <c r="G103" s="252" t="s">
        <v>1682</v>
      </c>
      <c r="J103" s="1311">
        <f>F103</f>
        <v>150000</v>
      </c>
    </row>
    <row r="104" spans="1:10" s="86" customFormat="1" x14ac:dyDescent="0.25">
      <c r="A104" s="348"/>
      <c r="B104" s="613" t="s">
        <v>2828</v>
      </c>
      <c r="C104" s="691">
        <v>1</v>
      </c>
      <c r="D104" s="692" t="s">
        <v>95</v>
      </c>
      <c r="E104" s="689">
        <v>150000</v>
      </c>
      <c r="F104" s="693">
        <f>E104*C104</f>
        <v>150000</v>
      </c>
      <c r="G104" s="252" t="s">
        <v>1682</v>
      </c>
      <c r="J104" s="1311">
        <f>F104</f>
        <v>150000</v>
      </c>
    </row>
    <row r="105" spans="1:10" s="86" customFormat="1" ht="57" x14ac:dyDescent="0.25">
      <c r="A105" s="348" t="s">
        <v>1780</v>
      </c>
      <c r="B105" s="687" t="s">
        <v>1107</v>
      </c>
      <c r="C105" s="691"/>
      <c r="D105" s="692"/>
      <c r="E105" s="693"/>
      <c r="F105" s="693"/>
      <c r="G105" s="618"/>
    </row>
    <row r="106" spans="1:10" s="86" customFormat="1" ht="30" x14ac:dyDescent="0.25">
      <c r="A106" s="639"/>
      <c r="B106" s="613" t="s">
        <v>1108</v>
      </c>
      <c r="C106" s="691">
        <v>1</v>
      </c>
      <c r="D106" s="692" t="s">
        <v>1109</v>
      </c>
      <c r="E106" s="693">
        <v>9000000</v>
      </c>
      <c r="F106" s="693">
        <f>C106*E106</f>
        <v>9000000</v>
      </c>
      <c r="G106" s="252" t="s">
        <v>1682</v>
      </c>
      <c r="J106" s="1311">
        <f>F106</f>
        <v>9000000</v>
      </c>
    </row>
    <row r="107" spans="1:10" s="86" customFormat="1" ht="30" x14ac:dyDescent="0.25">
      <c r="A107" s="639"/>
      <c r="B107" s="613" t="s">
        <v>1110</v>
      </c>
      <c r="C107" s="691">
        <v>2</v>
      </c>
      <c r="D107" s="692" t="s">
        <v>1111</v>
      </c>
      <c r="E107" s="693">
        <v>3000000</v>
      </c>
      <c r="F107" s="693">
        <f>C107*E107</f>
        <v>6000000</v>
      </c>
      <c r="G107" s="252" t="s">
        <v>1682</v>
      </c>
      <c r="J107" s="1311">
        <f>F107</f>
        <v>6000000</v>
      </c>
    </row>
    <row r="108" spans="1:10" s="86" customFormat="1" x14ac:dyDescent="0.25">
      <c r="A108" s="348" t="s">
        <v>1096</v>
      </c>
      <c r="B108" s="687" t="s">
        <v>978</v>
      </c>
      <c r="C108" s="691"/>
      <c r="D108" s="692"/>
      <c r="E108" s="693"/>
      <c r="F108" s="693"/>
      <c r="G108" s="618"/>
    </row>
    <row r="109" spans="1:10" s="86" customFormat="1" ht="30" x14ac:dyDescent="0.25">
      <c r="A109" s="348"/>
      <c r="B109" s="613" t="s">
        <v>2851</v>
      </c>
      <c r="C109" s="691">
        <v>13</v>
      </c>
      <c r="D109" s="692" t="s">
        <v>159</v>
      </c>
      <c r="E109" s="693">
        <v>7500000</v>
      </c>
      <c r="F109" s="693">
        <f>E109*C109</f>
        <v>97500000</v>
      </c>
      <c r="G109" s="618" t="s">
        <v>1682</v>
      </c>
      <c r="J109" s="1311">
        <f>F109</f>
        <v>97500000</v>
      </c>
    </row>
    <row r="110" spans="1:10" s="86" customFormat="1" x14ac:dyDescent="0.25">
      <c r="A110" s="348"/>
      <c r="B110" s="613" t="s">
        <v>2128</v>
      </c>
      <c r="C110" s="691">
        <v>36</v>
      </c>
      <c r="D110" s="692" t="s">
        <v>123</v>
      </c>
      <c r="E110" s="693">
        <v>150000</v>
      </c>
      <c r="F110" s="693">
        <f>E110*C110</f>
        <v>5400000</v>
      </c>
      <c r="G110" s="252" t="s">
        <v>1682</v>
      </c>
      <c r="J110" s="1311">
        <f>F110</f>
        <v>5400000</v>
      </c>
    </row>
    <row r="111" spans="1:10" s="86" customFormat="1" x14ac:dyDescent="0.25">
      <c r="A111" s="348"/>
      <c r="B111" s="613" t="s">
        <v>2129</v>
      </c>
      <c r="C111" s="691">
        <v>36</v>
      </c>
      <c r="D111" s="692" t="s">
        <v>95</v>
      </c>
      <c r="E111" s="693">
        <v>151065</v>
      </c>
      <c r="F111" s="693">
        <f t="shared" ref="F111:F116" si="1">E111*C111</f>
        <v>5438340</v>
      </c>
      <c r="G111" s="252" t="s">
        <v>1682</v>
      </c>
      <c r="J111" s="1311">
        <f t="shared" ref="J111:J116" si="2">F111</f>
        <v>5438340</v>
      </c>
    </row>
    <row r="112" spans="1:10" s="86" customFormat="1" x14ac:dyDescent="0.25">
      <c r="A112" s="348"/>
      <c r="B112" s="613" t="s">
        <v>2130</v>
      </c>
      <c r="C112" s="691">
        <v>36</v>
      </c>
      <c r="D112" s="692" t="s">
        <v>2134</v>
      </c>
      <c r="E112" s="693">
        <v>27876</v>
      </c>
      <c r="F112" s="693">
        <f t="shared" si="1"/>
        <v>1003536</v>
      </c>
      <c r="G112" s="252" t="s">
        <v>1682</v>
      </c>
      <c r="J112" s="1311">
        <f t="shared" si="2"/>
        <v>1003536</v>
      </c>
    </row>
    <row r="113" spans="1:19" s="86" customFormat="1" x14ac:dyDescent="0.25">
      <c r="A113" s="348"/>
      <c r="B113" s="613" t="s">
        <v>2131</v>
      </c>
      <c r="C113" s="691">
        <v>36</v>
      </c>
      <c r="D113" s="692" t="s">
        <v>2134</v>
      </c>
      <c r="E113" s="693">
        <v>602123</v>
      </c>
      <c r="F113" s="693">
        <f t="shared" si="1"/>
        <v>21676428</v>
      </c>
      <c r="G113" s="252" t="s">
        <v>1682</v>
      </c>
      <c r="J113" s="1311">
        <f t="shared" si="2"/>
        <v>21676428</v>
      </c>
    </row>
    <row r="114" spans="1:19" s="86" customFormat="1" x14ac:dyDescent="0.25">
      <c r="A114" s="348"/>
      <c r="B114" s="613" t="s">
        <v>2132</v>
      </c>
      <c r="C114" s="691">
        <v>36</v>
      </c>
      <c r="D114" s="692" t="s">
        <v>95</v>
      </c>
      <c r="E114" s="693">
        <v>100354</v>
      </c>
      <c r="F114" s="693">
        <f t="shared" si="1"/>
        <v>3612744</v>
      </c>
      <c r="G114" s="252" t="s">
        <v>1682</v>
      </c>
      <c r="J114" s="1311">
        <f t="shared" si="2"/>
        <v>3612744</v>
      </c>
    </row>
    <row r="115" spans="1:19" s="86" customFormat="1" x14ac:dyDescent="0.25">
      <c r="A115" s="348"/>
      <c r="B115" s="613" t="s">
        <v>943</v>
      </c>
      <c r="C115" s="691">
        <v>4</v>
      </c>
      <c r="D115" s="692" t="s">
        <v>95</v>
      </c>
      <c r="E115" s="693">
        <v>66903</v>
      </c>
      <c r="F115" s="693">
        <f t="shared" si="1"/>
        <v>267612</v>
      </c>
      <c r="G115" s="252" t="s">
        <v>1682</v>
      </c>
      <c r="J115" s="1311">
        <f t="shared" si="2"/>
        <v>267612</v>
      </c>
    </row>
    <row r="116" spans="1:19" s="86" customFormat="1" x14ac:dyDescent="0.25">
      <c r="A116" s="348"/>
      <c r="B116" s="613" t="s">
        <v>2133</v>
      </c>
      <c r="C116" s="691">
        <v>4</v>
      </c>
      <c r="D116" s="692" t="s">
        <v>95</v>
      </c>
      <c r="E116" s="693">
        <v>400000</v>
      </c>
      <c r="F116" s="693">
        <f t="shared" si="1"/>
        <v>1600000</v>
      </c>
      <c r="G116" s="252" t="s">
        <v>1682</v>
      </c>
      <c r="J116" s="1311">
        <f t="shared" si="2"/>
        <v>1600000</v>
      </c>
    </row>
    <row r="117" spans="1:19" s="86" customFormat="1" ht="28.5" x14ac:dyDescent="0.25">
      <c r="A117" s="348" t="s">
        <v>1097</v>
      </c>
      <c r="B117" s="687" t="s">
        <v>340</v>
      </c>
      <c r="C117" s="691"/>
      <c r="D117" s="692"/>
      <c r="E117" s="694"/>
      <c r="F117" s="693"/>
      <c r="G117" s="252"/>
    </row>
    <row r="118" spans="1:19" ht="28.5" x14ac:dyDescent="0.25">
      <c r="A118" s="695" t="s">
        <v>1781</v>
      </c>
      <c r="B118" s="687" t="s">
        <v>393</v>
      </c>
      <c r="C118" s="605"/>
      <c r="D118" s="606"/>
      <c r="E118" s="617"/>
      <c r="F118" s="696"/>
      <c r="G118" s="241"/>
    </row>
    <row r="119" spans="1:19" s="86" customFormat="1" ht="30" x14ac:dyDescent="0.25">
      <c r="A119" s="613"/>
      <c r="B119" s="613" t="s">
        <v>1113</v>
      </c>
      <c r="C119" s="691">
        <v>2555</v>
      </c>
      <c r="D119" s="692" t="s">
        <v>461</v>
      </c>
      <c r="E119" s="694">
        <v>100000</v>
      </c>
      <c r="F119" s="693">
        <f>C119*E119</f>
        <v>255500000</v>
      </c>
      <c r="G119" s="252" t="s">
        <v>2626</v>
      </c>
      <c r="S119" s="1311">
        <f>F119</f>
        <v>255500000</v>
      </c>
    </row>
    <row r="120" spans="1:19" s="86" customFormat="1" x14ac:dyDescent="0.25">
      <c r="A120" s="613" t="s">
        <v>1782</v>
      </c>
      <c r="B120" s="631" t="s">
        <v>243</v>
      </c>
      <c r="C120" s="691"/>
      <c r="D120" s="692"/>
      <c r="E120" s="694"/>
      <c r="F120" s="693"/>
      <c r="G120" s="252"/>
    </row>
    <row r="121" spans="1:19" s="86" customFormat="1" ht="29.25" x14ac:dyDescent="0.25">
      <c r="A121" s="613" t="s">
        <v>1783</v>
      </c>
      <c r="B121" s="631" t="s">
        <v>245</v>
      </c>
      <c r="C121" s="691"/>
      <c r="D121" s="692"/>
      <c r="E121" s="697"/>
      <c r="F121" s="693"/>
      <c r="G121" s="252"/>
    </row>
    <row r="122" spans="1:19" s="86" customFormat="1" ht="30" x14ac:dyDescent="0.25">
      <c r="A122" s="613"/>
      <c r="B122" s="628" t="s">
        <v>1114</v>
      </c>
      <c r="C122" s="691">
        <v>6</v>
      </c>
      <c r="D122" s="692" t="s">
        <v>248</v>
      </c>
      <c r="E122" s="698">
        <v>300000</v>
      </c>
      <c r="F122" s="693">
        <f>C122*E122</f>
        <v>1800000</v>
      </c>
      <c r="G122" s="252" t="s">
        <v>1682</v>
      </c>
      <c r="J122" s="1311">
        <f>F122</f>
        <v>1800000</v>
      </c>
    </row>
    <row r="123" spans="1:19" s="86" customFormat="1" ht="30" x14ac:dyDescent="0.25">
      <c r="A123" s="613"/>
      <c r="B123" s="628" t="s">
        <v>1115</v>
      </c>
      <c r="C123" s="691">
        <v>2</v>
      </c>
      <c r="D123" s="692" t="s">
        <v>248</v>
      </c>
      <c r="E123" s="698">
        <v>750000</v>
      </c>
      <c r="F123" s="693">
        <f>C123*E123</f>
        <v>1500000</v>
      </c>
      <c r="G123" s="252" t="s">
        <v>1682</v>
      </c>
      <c r="J123" s="1311">
        <f t="shared" ref="J123:J125" si="3">F123</f>
        <v>1500000</v>
      </c>
    </row>
    <row r="124" spans="1:19" s="86" customFormat="1" ht="30" x14ac:dyDescent="0.25">
      <c r="A124" s="613"/>
      <c r="B124" s="628" t="s">
        <v>1116</v>
      </c>
      <c r="C124" s="691">
        <v>3</v>
      </c>
      <c r="D124" s="692" t="s">
        <v>252</v>
      </c>
      <c r="E124" s="698">
        <v>500000</v>
      </c>
      <c r="F124" s="693">
        <f>C124*E124</f>
        <v>1500000</v>
      </c>
      <c r="G124" s="252" t="s">
        <v>1682</v>
      </c>
      <c r="J124" s="1311">
        <f t="shared" si="3"/>
        <v>1500000</v>
      </c>
    </row>
    <row r="125" spans="1:19" s="86" customFormat="1" x14ac:dyDescent="0.25">
      <c r="A125" s="613"/>
      <c r="B125" s="628" t="s">
        <v>1117</v>
      </c>
      <c r="C125" s="691">
        <v>1</v>
      </c>
      <c r="D125" s="692" t="s">
        <v>250</v>
      </c>
      <c r="E125" s="698">
        <v>4000000</v>
      </c>
      <c r="F125" s="693">
        <f>C125*E125</f>
        <v>4000000</v>
      </c>
      <c r="G125" s="252" t="s">
        <v>1682</v>
      </c>
      <c r="J125" s="1311">
        <f t="shared" si="3"/>
        <v>4000000</v>
      </c>
    </row>
    <row r="126" spans="1:19" x14ac:dyDescent="0.25">
      <c r="A126" s="624"/>
      <c r="B126" s="618"/>
      <c r="C126" s="640"/>
      <c r="D126" s="688"/>
      <c r="E126" s="642"/>
      <c r="F126" s="699"/>
      <c r="G126" s="252"/>
    </row>
    <row r="127" spans="1:19" x14ac:dyDescent="0.25">
      <c r="A127" s="700"/>
      <c r="B127" s="1986" t="s">
        <v>27</v>
      </c>
      <c r="C127" s="1986"/>
      <c r="D127" s="1986"/>
      <c r="E127" s="1986"/>
      <c r="F127" s="701">
        <f>SUM(F103:F125)</f>
        <v>416098660</v>
      </c>
      <c r="G127" s="350"/>
    </row>
    <row r="128" spans="1:19" x14ac:dyDescent="0.25">
      <c r="A128" s="1807" t="s">
        <v>614</v>
      </c>
      <c r="B128" s="1807"/>
      <c r="C128" s="5" t="s">
        <v>28</v>
      </c>
      <c r="D128" s="1808" t="s">
        <v>1698</v>
      </c>
      <c r="E128" s="1808"/>
      <c r="F128" s="1808"/>
      <c r="G128" s="5"/>
    </row>
    <row r="129" spans="1:7" x14ac:dyDescent="0.25">
      <c r="A129" s="1807" t="s">
        <v>29</v>
      </c>
      <c r="B129" s="1807"/>
      <c r="C129" s="5"/>
      <c r="D129" s="1809" t="s">
        <v>2992</v>
      </c>
      <c r="E129" s="1809"/>
      <c r="F129" s="1809"/>
      <c r="G129" s="5"/>
    </row>
    <row r="130" spans="1:7" x14ac:dyDescent="0.25">
      <c r="A130" s="1"/>
      <c r="B130" s="3"/>
      <c r="C130" s="5"/>
      <c r="D130" s="7"/>
      <c r="E130" s="17"/>
      <c r="F130" s="17"/>
      <c r="G130" s="5"/>
    </row>
    <row r="131" spans="1:7" x14ac:dyDescent="0.25">
      <c r="A131" s="1"/>
      <c r="B131" s="3"/>
      <c r="C131" s="5"/>
      <c r="D131" s="7"/>
      <c r="E131" s="17"/>
      <c r="F131" s="17"/>
      <c r="G131" s="5"/>
    </row>
    <row r="132" spans="1:7" x14ac:dyDescent="0.25">
      <c r="A132" s="1807"/>
      <c r="B132" s="1807"/>
      <c r="C132" s="5"/>
      <c r="D132" s="7"/>
      <c r="E132" s="1807"/>
      <c r="F132" s="1807"/>
      <c r="G132" s="5"/>
    </row>
    <row r="133" spans="1:7" x14ac:dyDescent="0.25">
      <c r="A133" s="1807" t="s">
        <v>30</v>
      </c>
      <c r="B133" s="1807"/>
      <c r="C133" s="5"/>
      <c r="D133" s="1807" t="s">
        <v>2993</v>
      </c>
      <c r="E133" s="1807"/>
      <c r="F133" s="1807"/>
      <c r="G133" s="5"/>
    </row>
    <row r="134" spans="1:7" x14ac:dyDescent="0.25">
      <c r="A134" s="136"/>
      <c r="B134" s="136"/>
      <c r="C134" s="5"/>
      <c r="D134" s="136"/>
      <c r="E134" s="136"/>
      <c r="F134" s="136"/>
      <c r="G134" s="5"/>
    </row>
    <row r="135" spans="1:7" x14ac:dyDescent="0.25">
      <c r="A135" s="1977" t="s">
        <v>0</v>
      </c>
      <c r="B135" s="1977"/>
      <c r="C135" s="1977"/>
      <c r="D135" s="1977"/>
      <c r="E135" s="1977"/>
      <c r="F135" s="1977"/>
      <c r="G135" s="1977"/>
    </row>
    <row r="136" spans="1:7" x14ac:dyDescent="0.25">
      <c r="A136" s="1977" t="s">
        <v>1</v>
      </c>
      <c r="B136" s="1977"/>
      <c r="C136" s="1977"/>
      <c r="D136" s="1977"/>
      <c r="E136" s="1977"/>
      <c r="F136" s="1977"/>
      <c r="G136" s="1977"/>
    </row>
    <row r="137" spans="1:7" x14ac:dyDescent="0.25">
      <c r="A137" s="1977" t="s">
        <v>1697</v>
      </c>
      <c r="B137" s="1977"/>
      <c r="C137" s="1977"/>
      <c r="D137" s="1977"/>
      <c r="E137" s="1977"/>
      <c r="F137" s="1977"/>
      <c r="G137" s="1977"/>
    </row>
    <row r="138" spans="1:7" x14ac:dyDescent="0.25">
      <c r="A138" s="39"/>
      <c r="B138" s="39"/>
      <c r="C138" s="39"/>
      <c r="D138" s="39"/>
      <c r="E138" s="39"/>
      <c r="F138" s="39"/>
      <c r="G138" s="39"/>
    </row>
    <row r="139" spans="1:7" x14ac:dyDescent="0.25">
      <c r="A139" s="925" t="s">
        <v>549</v>
      </c>
      <c r="B139" s="388" t="s">
        <v>1089</v>
      </c>
      <c r="C139" s="925"/>
      <c r="D139" s="925"/>
      <c r="E139" s="8" t="s">
        <v>6</v>
      </c>
      <c r="F139" s="8" t="s">
        <v>65</v>
      </c>
    </row>
    <row r="140" spans="1:7" ht="36.75" x14ac:dyDescent="0.25">
      <c r="A140" s="926" t="s">
        <v>1100</v>
      </c>
      <c r="B140" s="927" t="s">
        <v>1101</v>
      </c>
      <c r="C140" s="927"/>
      <c r="D140" s="926"/>
      <c r="E140" s="67" t="s">
        <v>573</v>
      </c>
      <c r="F140" s="67" t="s">
        <v>65</v>
      </c>
    </row>
    <row r="141" spans="1:7" ht="48" x14ac:dyDescent="0.25">
      <c r="A141" s="926" t="s">
        <v>1102</v>
      </c>
      <c r="B141" s="928" t="s">
        <v>2047</v>
      </c>
      <c r="C141" s="928"/>
      <c r="D141" s="926"/>
      <c r="E141" s="8"/>
      <c r="F141" s="8"/>
    </row>
    <row r="142" spans="1:7" x14ac:dyDescent="0.25">
      <c r="A142" s="388" t="s">
        <v>62</v>
      </c>
      <c r="B142" s="388" t="s">
        <v>63</v>
      </c>
      <c r="C142" s="388"/>
      <c r="D142" s="388"/>
      <c r="E142" s="67"/>
      <c r="F142" s="67"/>
    </row>
    <row r="143" spans="1:7" x14ac:dyDescent="0.25">
      <c r="A143" s="441" t="s">
        <v>64</v>
      </c>
      <c r="B143" s="441" t="s">
        <v>506</v>
      </c>
      <c r="C143" s="388"/>
      <c r="D143" s="1835"/>
      <c r="E143" s="1835"/>
      <c r="F143" s="388"/>
    </row>
    <row r="144" spans="1:7" x14ac:dyDescent="0.25">
      <c r="A144" s="3"/>
      <c r="B144" s="3"/>
      <c r="C144" s="3"/>
      <c r="D144" s="3"/>
      <c r="E144" s="3"/>
      <c r="F144" s="3"/>
    </row>
    <row r="145" spans="1:8" ht="24" x14ac:dyDescent="0.25">
      <c r="A145" s="343" t="s">
        <v>300</v>
      </c>
      <c r="B145" s="343" t="s">
        <v>12</v>
      </c>
      <c r="C145" s="1978" t="s">
        <v>13</v>
      </c>
      <c r="D145" s="1978"/>
      <c r="E145" s="107" t="s">
        <v>14</v>
      </c>
      <c r="F145" s="344" t="s">
        <v>15</v>
      </c>
      <c r="G145" s="929" t="s">
        <v>301</v>
      </c>
    </row>
    <row r="146" spans="1:8" x14ac:dyDescent="0.25">
      <c r="A146" s="144">
        <v>1</v>
      </c>
      <c r="B146" s="144">
        <v>2</v>
      </c>
      <c r="C146" s="1811">
        <v>3</v>
      </c>
      <c r="D146" s="1812"/>
      <c r="E146" s="33">
        <v>4</v>
      </c>
      <c r="F146" s="165">
        <v>5</v>
      </c>
      <c r="G146" s="268">
        <v>6</v>
      </c>
    </row>
    <row r="147" spans="1:8" x14ac:dyDescent="0.25">
      <c r="A147" s="930" t="s">
        <v>2048</v>
      </c>
      <c r="B147" s="734" t="s">
        <v>553</v>
      </c>
      <c r="C147" s="931"/>
      <c r="D147" s="89"/>
      <c r="E147" s="739"/>
      <c r="F147" s="932"/>
      <c r="G147" s="32"/>
    </row>
    <row r="148" spans="1:8" x14ac:dyDescent="0.25">
      <c r="A148" s="930" t="s">
        <v>2049</v>
      </c>
      <c r="B148" s="734" t="s">
        <v>88</v>
      </c>
      <c r="C148" s="931"/>
      <c r="D148" s="89"/>
      <c r="E148" s="739"/>
      <c r="F148" s="932"/>
      <c r="G148" s="32"/>
    </row>
    <row r="149" spans="1:8" ht="36.75" x14ac:dyDescent="0.25">
      <c r="A149" s="930" t="s">
        <v>2050</v>
      </c>
      <c r="B149" s="734" t="s">
        <v>1076</v>
      </c>
      <c r="C149" s="41"/>
      <c r="D149" s="89"/>
      <c r="E149" s="59"/>
      <c r="F149" s="932">
        <f>E149*C149</f>
        <v>0</v>
      </c>
      <c r="G149" s="32"/>
      <c r="H149" s="451"/>
    </row>
    <row r="150" spans="1:8" x14ac:dyDescent="0.25">
      <c r="A150" s="933"/>
      <c r="B150" s="60" t="s">
        <v>2051</v>
      </c>
      <c r="C150" s="41">
        <v>3</v>
      </c>
      <c r="D150" s="89" t="s">
        <v>95</v>
      </c>
      <c r="E150" s="59">
        <v>600000</v>
      </c>
      <c r="F150" s="932">
        <f>E150*C150</f>
        <v>1800000</v>
      </c>
      <c r="G150" s="32"/>
      <c r="H150" s="451"/>
    </row>
    <row r="151" spans="1:8" ht="24.75" x14ac:dyDescent="0.25">
      <c r="A151" s="930" t="s">
        <v>2052</v>
      </c>
      <c r="B151" s="734" t="s">
        <v>354</v>
      </c>
      <c r="C151" s="41"/>
      <c r="D151" s="89"/>
      <c r="E151" s="59"/>
      <c r="F151" s="932"/>
      <c r="G151" s="32"/>
      <c r="H151" s="934"/>
    </row>
    <row r="152" spans="1:8" x14ac:dyDescent="0.25">
      <c r="A152" s="933"/>
      <c r="B152" s="60" t="s">
        <v>2053</v>
      </c>
      <c r="C152" s="41">
        <v>45</v>
      </c>
      <c r="D152" s="89" t="s">
        <v>315</v>
      </c>
      <c r="E152" s="59">
        <v>15000</v>
      </c>
      <c r="F152" s="932">
        <f>E152*C152</f>
        <v>675000</v>
      </c>
      <c r="G152" s="32"/>
      <c r="H152" s="451"/>
    </row>
    <row r="153" spans="1:8" x14ac:dyDescent="0.25">
      <c r="A153" s="2" t="s">
        <v>2857</v>
      </c>
      <c r="B153" s="4" t="s">
        <v>1271</v>
      </c>
      <c r="C153" s="6"/>
      <c r="D153" s="183"/>
      <c r="E153" s="21"/>
      <c r="F153" s="258"/>
      <c r="G153" s="32"/>
      <c r="H153" s="451"/>
    </row>
    <row r="154" spans="1:8" x14ac:dyDescent="0.25">
      <c r="A154" s="16"/>
      <c r="B154" s="4" t="s">
        <v>2852</v>
      </c>
      <c r="C154" s="6">
        <v>5</v>
      </c>
      <c r="D154" s="183" t="s">
        <v>159</v>
      </c>
      <c r="E154" s="21">
        <v>311000</v>
      </c>
      <c r="F154" s="258">
        <f>E154*C154</f>
        <v>1555000</v>
      </c>
      <c r="G154" s="32"/>
      <c r="H154" s="451"/>
    </row>
    <row r="155" spans="1:8" x14ac:dyDescent="0.25">
      <c r="A155" s="16"/>
      <c r="B155" s="4" t="s">
        <v>2853</v>
      </c>
      <c r="C155" s="6">
        <v>3</v>
      </c>
      <c r="D155" s="183" t="s">
        <v>129</v>
      </c>
      <c r="E155" s="21">
        <v>311000</v>
      </c>
      <c r="F155" s="258">
        <f t="shared" ref="F155:F156" si="4">E155*C155</f>
        <v>933000</v>
      </c>
      <c r="G155" s="32"/>
      <c r="H155" s="451"/>
    </row>
    <row r="156" spans="1:8" x14ac:dyDescent="0.25">
      <c r="A156" s="16"/>
      <c r="B156" s="4" t="s">
        <v>2854</v>
      </c>
      <c r="C156" s="6">
        <v>1</v>
      </c>
      <c r="D156" s="183" t="s">
        <v>2856</v>
      </c>
      <c r="E156" s="21">
        <v>3150000</v>
      </c>
      <c r="F156" s="258">
        <f t="shared" si="4"/>
        <v>3150000</v>
      </c>
      <c r="G156" s="32"/>
      <c r="H156" s="451"/>
    </row>
    <row r="157" spans="1:8" x14ac:dyDescent="0.25">
      <c r="A157" s="16"/>
      <c r="B157" s="4"/>
      <c r="C157" s="6"/>
      <c r="D157" s="183"/>
      <c r="E157" s="21"/>
      <c r="F157" s="258"/>
      <c r="G157" s="32"/>
      <c r="H157" s="451"/>
    </row>
    <row r="158" spans="1:8" ht="24.75" x14ac:dyDescent="0.25">
      <c r="A158" s="930" t="s">
        <v>2054</v>
      </c>
      <c r="B158" s="734" t="s">
        <v>376</v>
      </c>
      <c r="C158" s="41"/>
      <c r="D158" s="89"/>
      <c r="E158" s="59"/>
      <c r="F158" s="932"/>
      <c r="G158" s="32"/>
      <c r="H158" s="451"/>
    </row>
    <row r="159" spans="1:8" x14ac:dyDescent="0.25">
      <c r="A159" s="933"/>
      <c r="B159" s="60" t="s">
        <v>377</v>
      </c>
      <c r="C159" s="41">
        <v>1</v>
      </c>
      <c r="D159" s="89" t="s">
        <v>102</v>
      </c>
      <c r="E159" s="59">
        <v>90000</v>
      </c>
      <c r="F159" s="932">
        <f>E159*C159</f>
        <v>90000</v>
      </c>
      <c r="G159" s="32"/>
      <c r="H159" s="451"/>
    </row>
    <row r="160" spans="1:8" ht="24.75" x14ac:dyDescent="0.25">
      <c r="A160" s="930" t="s">
        <v>2055</v>
      </c>
      <c r="B160" s="727" t="s">
        <v>319</v>
      </c>
      <c r="C160" s="397"/>
      <c r="D160" s="522"/>
      <c r="E160" s="399"/>
      <c r="F160" s="932"/>
      <c r="G160" s="32"/>
      <c r="H160" s="451"/>
    </row>
    <row r="161" spans="1:10" x14ac:dyDescent="0.25">
      <c r="A161" s="933"/>
      <c r="B161" s="396" t="s">
        <v>496</v>
      </c>
      <c r="C161" s="397">
        <v>1</v>
      </c>
      <c r="D161" s="935" t="s">
        <v>102</v>
      </c>
      <c r="E161" s="399">
        <v>50000</v>
      </c>
      <c r="F161" s="932">
        <f>E161*C161</f>
        <v>50000</v>
      </c>
      <c r="G161" s="32"/>
      <c r="H161" s="451"/>
    </row>
    <row r="162" spans="1:10" x14ac:dyDescent="0.25">
      <c r="A162" s="933"/>
      <c r="B162" s="396" t="s">
        <v>321</v>
      </c>
      <c r="C162" s="397">
        <v>5</v>
      </c>
      <c r="D162" s="935" t="s">
        <v>186</v>
      </c>
      <c r="E162" s="399">
        <v>3000</v>
      </c>
      <c r="F162" s="932">
        <f>E162*C162</f>
        <v>15000</v>
      </c>
      <c r="G162" s="32"/>
      <c r="H162" s="451"/>
    </row>
    <row r="163" spans="1:10" x14ac:dyDescent="0.25">
      <c r="A163" s="933"/>
      <c r="B163" s="396" t="s">
        <v>335</v>
      </c>
      <c r="C163" s="397">
        <v>1</v>
      </c>
      <c r="D163" s="935" t="s">
        <v>336</v>
      </c>
      <c r="E163" s="399">
        <v>10000</v>
      </c>
      <c r="F163" s="932">
        <f>E163*C163</f>
        <v>10000</v>
      </c>
      <c r="G163" s="32"/>
      <c r="H163" s="451"/>
    </row>
    <row r="164" spans="1:10" x14ac:dyDescent="0.25">
      <c r="A164" s="930" t="s">
        <v>2056</v>
      </c>
      <c r="B164" s="734" t="s">
        <v>340</v>
      </c>
      <c r="C164" s="41"/>
      <c r="D164" s="89"/>
      <c r="E164" s="739"/>
      <c r="F164" s="932"/>
      <c r="G164" s="32"/>
      <c r="H164" s="451"/>
    </row>
    <row r="165" spans="1:10" s="86" customFormat="1" ht="24.75" customHeight="1" x14ac:dyDescent="0.25">
      <c r="A165" s="930" t="s">
        <v>2057</v>
      </c>
      <c r="B165" s="936" t="s">
        <v>484</v>
      </c>
      <c r="C165" s="937"/>
      <c r="D165" s="938"/>
      <c r="E165" s="939"/>
      <c r="F165" s="940"/>
      <c r="G165" s="66"/>
      <c r="H165" s="941"/>
    </row>
    <row r="166" spans="1:10" ht="24.75" x14ac:dyDescent="0.25">
      <c r="A166" s="40"/>
      <c r="B166" s="60" t="s">
        <v>2058</v>
      </c>
      <c r="C166" s="41">
        <v>1</v>
      </c>
      <c r="D166" s="89" t="s">
        <v>461</v>
      </c>
      <c r="E166" s="739">
        <v>300000</v>
      </c>
      <c r="F166" s="932">
        <f>E166*C166</f>
        <v>300000</v>
      </c>
      <c r="G166" s="32"/>
      <c r="H166" s="451"/>
    </row>
    <row r="167" spans="1:10" x14ac:dyDescent="0.25">
      <c r="A167" s="40"/>
      <c r="B167" s="60"/>
      <c r="C167" s="41"/>
      <c r="D167" s="89"/>
      <c r="E167" s="739"/>
      <c r="F167" s="932"/>
      <c r="G167" s="32"/>
      <c r="H167" s="451"/>
    </row>
    <row r="168" spans="1:10" x14ac:dyDescent="0.25">
      <c r="A168" s="40"/>
      <c r="B168" s="60"/>
      <c r="C168" s="41"/>
      <c r="D168" s="89"/>
      <c r="E168" s="739"/>
      <c r="F168" s="932"/>
      <c r="G168" s="32"/>
      <c r="H168" s="451"/>
    </row>
    <row r="169" spans="1:10" x14ac:dyDescent="0.25">
      <c r="A169" s="40"/>
      <c r="B169" s="60"/>
      <c r="C169" s="41"/>
      <c r="D169" s="89"/>
      <c r="E169" s="739"/>
      <c r="F169" s="932"/>
      <c r="G169" s="32"/>
    </row>
    <row r="170" spans="1:10" x14ac:dyDescent="0.25">
      <c r="A170" s="40"/>
      <c r="B170" s="1984" t="s">
        <v>27</v>
      </c>
      <c r="C170" s="1984"/>
      <c r="D170" s="1984"/>
      <c r="E170" s="1984"/>
      <c r="F170" s="942">
        <f>SUM(F149:F166)</f>
        <v>8578000</v>
      </c>
      <c r="G170" s="32" t="s">
        <v>1682</v>
      </c>
      <c r="J170" s="175">
        <f>F170</f>
        <v>8578000</v>
      </c>
    </row>
    <row r="171" spans="1:10" x14ac:dyDescent="0.25">
      <c r="A171" s="1807" t="s">
        <v>614</v>
      </c>
      <c r="B171" s="1807"/>
      <c r="C171" s="5" t="s">
        <v>28</v>
      </c>
      <c r="D171" s="1808" t="s">
        <v>1698</v>
      </c>
      <c r="E171" s="1808"/>
      <c r="F171" s="1808"/>
      <c r="G171" s="5"/>
    </row>
    <row r="172" spans="1:10" x14ac:dyDescent="0.25">
      <c r="A172" s="1807" t="s">
        <v>29</v>
      </c>
      <c r="B172" s="1807"/>
      <c r="C172" s="5"/>
      <c r="D172" s="1809" t="s">
        <v>2992</v>
      </c>
      <c r="E172" s="1809"/>
      <c r="F172" s="1809"/>
      <c r="G172" s="5"/>
    </row>
    <row r="173" spans="1:10" x14ac:dyDescent="0.25">
      <c r="A173" s="1"/>
      <c r="B173" s="3"/>
      <c r="C173" s="5"/>
      <c r="D173" s="7"/>
      <c r="E173" s="17"/>
      <c r="F173" s="17"/>
      <c r="G173" s="5"/>
    </row>
    <row r="174" spans="1:10" x14ac:dyDescent="0.25">
      <c r="A174" s="1"/>
      <c r="B174" s="3"/>
      <c r="C174" s="5"/>
      <c r="D174" s="7"/>
      <c r="E174" s="17"/>
      <c r="F174" s="17"/>
      <c r="G174" s="5"/>
    </row>
    <row r="175" spans="1:10" x14ac:dyDescent="0.25">
      <c r="A175" s="1807"/>
      <c r="B175" s="1807"/>
      <c r="C175" s="5"/>
      <c r="D175" s="7"/>
      <c r="E175" s="1807"/>
      <c r="F175" s="1807"/>
      <c r="G175" s="5"/>
    </row>
    <row r="176" spans="1:10" x14ac:dyDescent="0.25">
      <c r="A176" s="1807" t="s">
        <v>30</v>
      </c>
      <c r="B176" s="1807"/>
      <c r="C176" s="5"/>
      <c r="D176" s="1807" t="s">
        <v>2993</v>
      </c>
      <c r="E176" s="1807"/>
      <c r="F176" s="1807"/>
      <c r="G176" s="5"/>
    </row>
    <row r="177" spans="1:7" x14ac:dyDescent="0.25">
      <c r="A177" s="1870" t="s">
        <v>0</v>
      </c>
      <c r="B177" s="1870"/>
      <c r="C177" s="1870"/>
      <c r="D177" s="1870"/>
      <c r="E177" s="1870"/>
      <c r="F177" s="1870"/>
      <c r="G177" s="1870"/>
    </row>
    <row r="178" spans="1:7" x14ac:dyDescent="0.25">
      <c r="A178" s="1870" t="s">
        <v>1</v>
      </c>
      <c r="B178" s="1870"/>
      <c r="C178" s="1870"/>
      <c r="D178" s="1870"/>
      <c r="E178" s="1870"/>
      <c r="F178" s="1870"/>
      <c r="G178" s="1870"/>
    </row>
    <row r="179" spans="1:7" x14ac:dyDescent="0.25">
      <c r="A179" s="1870" t="s">
        <v>1697</v>
      </c>
      <c r="B179" s="1870"/>
      <c r="C179" s="1870"/>
      <c r="D179" s="1870"/>
      <c r="E179" s="1870"/>
      <c r="F179" s="1870"/>
      <c r="G179" s="1870"/>
    </row>
    <row r="180" spans="1:7" x14ac:dyDescent="0.25">
      <c r="A180" s="534"/>
      <c r="B180" s="534"/>
      <c r="C180" s="534"/>
      <c r="D180" s="534"/>
      <c r="E180" s="534"/>
      <c r="F180" s="534"/>
      <c r="G180" s="534"/>
    </row>
    <row r="181" spans="1:7" x14ac:dyDescent="0.25">
      <c r="A181" s="1503" t="s">
        <v>296</v>
      </c>
      <c r="B181" s="703" t="s">
        <v>1089</v>
      </c>
      <c r="C181" s="703"/>
      <c r="D181" s="703"/>
      <c r="E181" s="705" t="s">
        <v>6</v>
      </c>
      <c r="F181" s="705" t="s">
        <v>65</v>
      </c>
      <c r="G181" s="440"/>
    </row>
    <row r="182" spans="1:7" ht="25.5" x14ac:dyDescent="0.25">
      <c r="A182" s="1503" t="s">
        <v>297</v>
      </c>
      <c r="B182" s="707" t="s">
        <v>1945</v>
      </c>
      <c r="C182" s="703"/>
      <c r="D182" s="703"/>
      <c r="E182" s="708" t="s">
        <v>573</v>
      </c>
      <c r="F182" s="708" t="s">
        <v>65</v>
      </c>
      <c r="G182" s="440"/>
    </row>
    <row r="183" spans="1:7" ht="57.75" customHeight="1" x14ac:dyDescent="0.25">
      <c r="A183" s="799" t="s">
        <v>298</v>
      </c>
      <c r="B183" s="799" t="s">
        <v>2912</v>
      </c>
      <c r="C183" s="799"/>
      <c r="D183" s="704"/>
      <c r="E183" s="704"/>
      <c r="F183" s="704"/>
      <c r="G183" s="440"/>
    </row>
    <row r="184" spans="1:7" x14ac:dyDescent="0.25">
      <c r="A184" s="1504" t="s">
        <v>62</v>
      </c>
      <c r="B184" s="389" t="s">
        <v>63</v>
      </c>
      <c r="C184" s="389"/>
      <c r="D184" s="441"/>
      <c r="E184" s="441"/>
      <c r="F184" s="441"/>
      <c r="G184" s="440"/>
    </row>
    <row r="185" spans="1:7" x14ac:dyDescent="0.25">
      <c r="A185" s="1504" t="s">
        <v>64</v>
      </c>
      <c r="B185" s="389" t="s">
        <v>65</v>
      </c>
      <c r="C185" s="389"/>
      <c r="D185" s="1835"/>
      <c r="E185" s="1835"/>
      <c r="F185" s="441"/>
      <c r="G185" s="440"/>
    </row>
    <row r="186" spans="1:7" x14ac:dyDescent="0.25">
      <c r="A186" s="781"/>
      <c r="B186" s="781"/>
      <c r="C186" s="781"/>
      <c r="D186" s="781"/>
      <c r="E186" s="781"/>
      <c r="F186" s="781"/>
      <c r="G186" s="440"/>
    </row>
    <row r="187" spans="1:7" ht="24" x14ac:dyDescent="0.25">
      <c r="A187" s="443" t="s">
        <v>300</v>
      </c>
      <c r="B187" s="443" t="s">
        <v>12</v>
      </c>
      <c r="C187" s="1994" t="s">
        <v>13</v>
      </c>
      <c r="D187" s="1994"/>
      <c r="E187" s="709" t="s">
        <v>14</v>
      </c>
      <c r="F187" s="444" t="s">
        <v>15</v>
      </c>
      <c r="G187" s="718" t="s">
        <v>301</v>
      </c>
    </row>
    <row r="188" spans="1:7" x14ac:dyDescent="0.25">
      <c r="A188" s="443">
        <v>1</v>
      </c>
      <c r="B188" s="443">
        <v>2</v>
      </c>
      <c r="C188" s="1836">
        <v>3</v>
      </c>
      <c r="D188" s="1837"/>
      <c r="E188" s="782">
        <v>4</v>
      </c>
      <c r="F188" s="444">
        <v>5</v>
      </c>
      <c r="G188" s="1088">
        <v>6</v>
      </c>
    </row>
    <row r="189" spans="1:7" x14ac:dyDescent="0.25">
      <c r="A189" s="575" t="s">
        <v>1980</v>
      </c>
      <c r="B189" s="1505" t="s">
        <v>323</v>
      </c>
      <c r="C189" s="392"/>
      <c r="D189" s="393"/>
      <c r="E189" s="446"/>
      <c r="F189" s="446"/>
      <c r="G189" s="1506"/>
    </row>
    <row r="190" spans="1:7" x14ac:dyDescent="0.25">
      <c r="A190" s="575" t="s">
        <v>1981</v>
      </c>
      <c r="B190" s="1507" t="s">
        <v>88</v>
      </c>
      <c r="C190" s="392"/>
      <c r="D190" s="393"/>
      <c r="E190" s="446"/>
      <c r="F190" s="446"/>
      <c r="G190" s="1506"/>
    </row>
    <row r="191" spans="1:7" ht="24" x14ac:dyDescent="0.25">
      <c r="A191" s="575" t="s">
        <v>1982</v>
      </c>
      <c r="B191" s="663" t="s">
        <v>354</v>
      </c>
      <c r="C191" s="392"/>
      <c r="D191" s="393"/>
      <c r="E191" s="446"/>
      <c r="F191" s="731"/>
      <c r="G191" s="1506"/>
    </row>
    <row r="192" spans="1:7" ht="24" x14ac:dyDescent="0.25">
      <c r="A192" s="575"/>
      <c r="B192" s="391" t="s">
        <v>2907</v>
      </c>
      <c r="C192" s="392">
        <f>25*16</f>
        <v>400</v>
      </c>
      <c r="D192" s="393" t="s">
        <v>315</v>
      </c>
      <c r="E192" s="921">
        <v>15000</v>
      </c>
      <c r="F192" s="714">
        <f t="shared" ref="F192:F198" si="5">C192*E192</f>
        <v>6000000</v>
      </c>
      <c r="G192" s="1506"/>
    </row>
    <row r="193" spans="1:7" ht="24.75" x14ac:dyDescent="0.25">
      <c r="A193" s="575" t="s">
        <v>1983</v>
      </c>
      <c r="B193" s="1508" t="s">
        <v>1291</v>
      </c>
      <c r="C193" s="392"/>
      <c r="D193" s="393"/>
      <c r="E193" s="717"/>
      <c r="F193" s="714"/>
      <c r="G193" s="1506"/>
    </row>
    <row r="194" spans="1:7" x14ac:dyDescent="0.25">
      <c r="A194" s="549"/>
      <c r="B194" s="1509" t="s">
        <v>976</v>
      </c>
      <c r="C194" s="392">
        <v>1</v>
      </c>
      <c r="D194" s="393" t="s">
        <v>123</v>
      </c>
      <c r="E194" s="717">
        <v>90000</v>
      </c>
      <c r="F194" s="714">
        <f t="shared" si="5"/>
        <v>90000</v>
      </c>
      <c r="G194" s="1506"/>
    </row>
    <row r="195" spans="1:7" x14ac:dyDescent="0.25">
      <c r="A195" s="395" t="s">
        <v>1984</v>
      </c>
      <c r="B195" s="577" t="s">
        <v>319</v>
      </c>
      <c r="C195" s="392"/>
      <c r="D195" s="1510"/>
      <c r="E195" s="717"/>
      <c r="F195" s="714"/>
      <c r="G195" s="1506"/>
    </row>
    <row r="196" spans="1:7" x14ac:dyDescent="0.25">
      <c r="A196" s="395"/>
      <c r="B196" s="395" t="s">
        <v>496</v>
      </c>
      <c r="C196" s="392">
        <v>1</v>
      </c>
      <c r="D196" s="1510" t="s">
        <v>102</v>
      </c>
      <c r="E196" s="717">
        <v>50000</v>
      </c>
      <c r="F196" s="714">
        <f t="shared" si="5"/>
        <v>50000</v>
      </c>
      <c r="G196" s="1506"/>
    </row>
    <row r="197" spans="1:7" x14ac:dyDescent="0.25">
      <c r="A197" s="395"/>
      <c r="B197" s="395" t="s">
        <v>321</v>
      </c>
      <c r="C197" s="392">
        <v>5</v>
      </c>
      <c r="D197" s="1510" t="s">
        <v>186</v>
      </c>
      <c r="E197" s="717">
        <v>3000</v>
      </c>
      <c r="F197" s="714">
        <f t="shared" si="5"/>
        <v>15000</v>
      </c>
      <c r="G197" s="1506"/>
    </row>
    <row r="198" spans="1:7" x14ac:dyDescent="0.25">
      <c r="A198" s="395"/>
      <c r="B198" s="395" t="s">
        <v>335</v>
      </c>
      <c r="C198" s="392">
        <v>1</v>
      </c>
      <c r="D198" s="1510" t="s">
        <v>336</v>
      </c>
      <c r="E198" s="717">
        <v>10000</v>
      </c>
      <c r="F198" s="714">
        <f t="shared" si="5"/>
        <v>10000</v>
      </c>
      <c r="G198" s="1506"/>
    </row>
    <row r="199" spans="1:7" x14ac:dyDescent="0.25">
      <c r="A199" s="578"/>
      <c r="B199" s="395"/>
      <c r="C199" s="392"/>
      <c r="D199" s="1510"/>
      <c r="E199" s="717"/>
      <c r="F199" s="714"/>
      <c r="G199" s="1506"/>
    </row>
    <row r="200" spans="1:7" x14ac:dyDescent="0.25">
      <c r="A200" s="575" t="s">
        <v>1985</v>
      </c>
      <c r="B200" s="1505" t="s">
        <v>340</v>
      </c>
      <c r="C200" s="392"/>
      <c r="D200" s="393"/>
      <c r="E200" s="717"/>
      <c r="F200" s="714"/>
      <c r="G200" s="1506"/>
    </row>
    <row r="201" spans="1:7" ht="48.75" x14ac:dyDescent="0.25">
      <c r="A201" s="575" t="s">
        <v>1986</v>
      </c>
      <c r="B201" s="1508" t="s">
        <v>1290</v>
      </c>
      <c r="C201" s="392"/>
      <c r="D201" s="393"/>
      <c r="E201" s="717"/>
      <c r="F201" s="714"/>
      <c r="G201" s="1506"/>
    </row>
    <row r="202" spans="1:7" ht="24" x14ac:dyDescent="0.25">
      <c r="A202" s="541"/>
      <c r="B202" s="719" t="s">
        <v>2909</v>
      </c>
      <c r="C202" s="392">
        <v>16</v>
      </c>
      <c r="D202" s="393" t="s">
        <v>461</v>
      </c>
      <c r="E202" s="717">
        <v>150000</v>
      </c>
      <c r="F202" s="714">
        <f>C202*E202</f>
        <v>2400000</v>
      </c>
      <c r="G202" s="1506"/>
    </row>
    <row r="203" spans="1:7" ht="24" x14ac:dyDescent="0.25">
      <c r="A203" s="720"/>
      <c r="B203" s="719" t="s">
        <v>2910</v>
      </c>
      <c r="C203" s="392">
        <v>16</v>
      </c>
      <c r="D203" s="393" t="s">
        <v>461</v>
      </c>
      <c r="E203" s="717">
        <v>150000</v>
      </c>
      <c r="F203" s="714">
        <f>E203*C203</f>
        <v>2400000</v>
      </c>
      <c r="G203" s="1506"/>
    </row>
    <row r="204" spans="1:7" ht="24" x14ac:dyDescent="0.25">
      <c r="A204" s="575" t="s">
        <v>2150</v>
      </c>
      <c r="B204" s="724" t="s">
        <v>2948</v>
      </c>
      <c r="C204" s="392"/>
      <c r="D204" s="393"/>
      <c r="E204" s="717"/>
      <c r="F204" s="714"/>
      <c r="G204" s="1506"/>
    </row>
    <row r="205" spans="1:7" ht="36" x14ac:dyDescent="0.25">
      <c r="A205" s="575" t="s">
        <v>2950</v>
      </c>
      <c r="B205" s="724" t="s">
        <v>2949</v>
      </c>
      <c r="C205" s="392"/>
      <c r="D205" s="393"/>
      <c r="E205" s="717"/>
      <c r="F205" s="714"/>
      <c r="G205" s="1506"/>
    </row>
    <row r="206" spans="1:7" x14ac:dyDescent="0.25">
      <c r="A206" s="720"/>
      <c r="B206" s="719"/>
      <c r="C206" s="392"/>
      <c r="D206" s="393"/>
      <c r="E206" s="717"/>
      <c r="F206" s="714"/>
      <c r="G206" s="1506"/>
    </row>
    <row r="207" spans="1:7" x14ac:dyDescent="0.25">
      <c r="A207" s="575"/>
      <c r="B207" s="390" t="s">
        <v>2827</v>
      </c>
      <c r="C207" s="392">
        <v>4</v>
      </c>
      <c r="D207" s="393" t="s">
        <v>200</v>
      </c>
      <c r="E207" s="924">
        <v>2500000</v>
      </c>
      <c r="F207" s="924">
        <f>E207*C207</f>
        <v>10000000</v>
      </c>
      <c r="G207" s="1506"/>
    </row>
    <row r="208" spans="1:7" x14ac:dyDescent="0.25">
      <c r="A208" s="575"/>
      <c r="B208" s="1502" t="s">
        <v>2911</v>
      </c>
      <c r="C208" s="392">
        <v>18</v>
      </c>
      <c r="D208" s="393" t="s">
        <v>200</v>
      </c>
      <c r="E208" s="924">
        <v>700000</v>
      </c>
      <c r="F208" s="924">
        <f>E208*C208</f>
        <v>12600000</v>
      </c>
      <c r="G208" s="1506"/>
    </row>
    <row r="209" spans="1:10" x14ac:dyDescent="0.25">
      <c r="A209" s="575"/>
      <c r="B209" s="390" t="s">
        <v>2908</v>
      </c>
      <c r="C209" s="392">
        <v>6</v>
      </c>
      <c r="D209" s="393" t="s">
        <v>204</v>
      </c>
      <c r="E209" s="924">
        <v>700000</v>
      </c>
      <c r="F209" s="924">
        <f>E209*C209</f>
        <v>4200000</v>
      </c>
      <c r="G209" s="1506"/>
    </row>
    <row r="210" spans="1:10" x14ac:dyDescent="0.25">
      <c r="A210" s="544"/>
      <c r="B210" s="1509"/>
      <c r="C210" s="397"/>
      <c r="D210" s="398"/>
      <c r="E210" s="399"/>
      <c r="F210" s="731"/>
      <c r="G210" s="1506"/>
    </row>
    <row r="211" spans="1:10" x14ac:dyDescent="0.25">
      <c r="A211" s="542"/>
      <c r="B211" s="1995" t="s">
        <v>27</v>
      </c>
      <c r="C211" s="1996"/>
      <c r="D211" s="1996"/>
      <c r="E211" s="1997"/>
      <c r="F211" s="732">
        <f>SUM(F189:F210)</f>
        <v>37765000</v>
      </c>
      <c r="G211" s="1506" t="s">
        <v>1682</v>
      </c>
      <c r="J211" s="175">
        <f>F211</f>
        <v>37765000</v>
      </c>
    </row>
    <row r="212" spans="1:10" x14ac:dyDescent="0.25">
      <c r="A212" s="1807" t="s">
        <v>614</v>
      </c>
      <c r="B212" s="1807"/>
      <c r="C212" s="5" t="s">
        <v>28</v>
      </c>
      <c r="D212" s="1808" t="s">
        <v>1700</v>
      </c>
      <c r="E212" s="1808"/>
      <c r="F212" s="1808"/>
      <c r="G212" s="5"/>
    </row>
    <row r="213" spans="1:10" x14ac:dyDescent="0.25">
      <c r="A213" s="1807" t="s">
        <v>29</v>
      </c>
      <c r="B213" s="1807"/>
      <c r="C213" s="5"/>
      <c r="D213" s="1809" t="s">
        <v>2996</v>
      </c>
      <c r="E213" s="1809"/>
      <c r="F213" s="1809"/>
      <c r="G213" s="5"/>
    </row>
    <row r="214" spans="1:10" x14ac:dyDescent="0.25">
      <c r="A214" s="1"/>
      <c r="B214" s="3"/>
      <c r="C214" s="5"/>
      <c r="D214" s="7"/>
      <c r="E214" s="17"/>
      <c r="F214" s="17"/>
      <c r="G214" s="5"/>
    </row>
    <row r="215" spans="1:10" x14ac:dyDescent="0.25">
      <c r="A215" s="1"/>
      <c r="B215" s="3"/>
      <c r="C215" s="5"/>
      <c r="D215" s="7"/>
      <c r="E215" s="17"/>
      <c r="F215" s="17"/>
      <c r="G215" s="5"/>
    </row>
    <row r="216" spans="1:10" x14ac:dyDescent="0.25">
      <c r="A216" s="1807"/>
      <c r="B216" s="1807"/>
      <c r="C216" s="5"/>
      <c r="D216" s="7"/>
      <c r="E216" s="1807"/>
      <c r="F216" s="1807"/>
      <c r="G216" s="5"/>
    </row>
    <row r="217" spans="1:10" x14ac:dyDescent="0.25">
      <c r="A217" s="1807" t="s">
        <v>30</v>
      </c>
      <c r="B217" s="1807"/>
      <c r="C217" s="5"/>
      <c r="D217" s="1807" t="s">
        <v>2993</v>
      </c>
      <c r="E217" s="1807"/>
      <c r="F217" s="1807"/>
      <c r="G217" s="5"/>
    </row>
    <row r="218" spans="1:10" x14ac:dyDescent="0.25">
      <c r="A218" s="1870" t="s">
        <v>0</v>
      </c>
      <c r="B218" s="1870"/>
      <c r="C218" s="1870"/>
      <c r="D218" s="1870"/>
      <c r="E218" s="1870"/>
      <c r="F218" s="1870"/>
      <c r="G218" s="534"/>
    </row>
    <row r="219" spans="1:10" x14ac:dyDescent="0.25">
      <c r="A219" s="1870" t="s">
        <v>1</v>
      </c>
      <c r="B219" s="1870"/>
      <c r="C219" s="1870"/>
      <c r="D219" s="1870"/>
      <c r="E219" s="1870"/>
      <c r="F219" s="1870"/>
      <c r="G219" s="534"/>
    </row>
    <row r="220" spans="1:10" x14ac:dyDescent="0.25">
      <c r="A220" s="1870" t="s">
        <v>1697</v>
      </c>
      <c r="B220" s="1870"/>
      <c r="C220" s="1870"/>
      <c r="D220" s="1870"/>
      <c r="E220" s="1870"/>
      <c r="F220" s="1870"/>
      <c r="G220" s="534"/>
    </row>
    <row r="221" spans="1:10" x14ac:dyDescent="0.25">
      <c r="A221" s="534"/>
      <c r="B221" s="702"/>
      <c r="C221" s="534"/>
      <c r="D221" s="534"/>
      <c r="E221" s="534"/>
      <c r="F221" s="534"/>
      <c r="G221" s="702"/>
    </row>
    <row r="222" spans="1:10" ht="25.5" x14ac:dyDescent="0.25">
      <c r="A222" s="703" t="s">
        <v>296</v>
      </c>
      <c r="B222" s="704" t="s">
        <v>1298</v>
      </c>
      <c r="C222" s="703"/>
      <c r="D222" s="703"/>
      <c r="E222" s="705" t="s">
        <v>6</v>
      </c>
      <c r="F222" s="705"/>
      <c r="G222" s="706"/>
    </row>
    <row r="223" spans="1:10" ht="25.5" x14ac:dyDescent="0.25">
      <c r="A223" s="703" t="s">
        <v>297</v>
      </c>
      <c r="B223" s="707" t="s">
        <v>1297</v>
      </c>
      <c r="C223" s="703"/>
      <c r="D223" s="703"/>
      <c r="E223" s="708" t="s">
        <v>9</v>
      </c>
      <c r="F223" s="708"/>
      <c r="G223" s="706"/>
    </row>
    <row r="224" spans="1:10" ht="140.25" x14ac:dyDescent="0.25">
      <c r="A224" s="704" t="s">
        <v>298</v>
      </c>
      <c r="B224" s="704" t="s">
        <v>1784</v>
      </c>
      <c r="C224" s="704"/>
      <c r="D224" s="704"/>
      <c r="E224" s="704"/>
      <c r="F224" s="704"/>
      <c r="G224" s="706"/>
    </row>
    <row r="225" spans="1:7" x14ac:dyDescent="0.25">
      <c r="A225" s="389" t="s">
        <v>62</v>
      </c>
      <c r="B225" s="661" t="s">
        <v>63</v>
      </c>
      <c r="C225" s="389"/>
      <c r="D225" s="441"/>
      <c r="E225" s="441"/>
      <c r="F225" s="441"/>
      <c r="G225" s="706"/>
    </row>
    <row r="226" spans="1:7" x14ac:dyDescent="0.25">
      <c r="A226" s="389" t="s">
        <v>64</v>
      </c>
      <c r="B226" s="661" t="s">
        <v>65</v>
      </c>
      <c r="C226" s="389"/>
      <c r="D226" s="1835"/>
      <c r="E226" s="1835"/>
      <c r="F226" s="441"/>
      <c r="G226" s="706"/>
    </row>
    <row r="227" spans="1:7" ht="24" x14ac:dyDescent="0.25">
      <c r="A227" s="443" t="s">
        <v>1295</v>
      </c>
      <c r="B227" s="443" t="s">
        <v>1294</v>
      </c>
      <c r="C227" s="1994" t="s">
        <v>13</v>
      </c>
      <c r="D227" s="1994"/>
      <c r="E227" s="709" t="s">
        <v>14</v>
      </c>
      <c r="F227" s="443" t="s">
        <v>15</v>
      </c>
      <c r="G227" s="445" t="s">
        <v>301</v>
      </c>
    </row>
    <row r="228" spans="1:7" x14ac:dyDescent="0.25">
      <c r="A228" s="446">
        <v>1</v>
      </c>
      <c r="B228" s="443">
        <v>2</v>
      </c>
      <c r="C228" s="1838">
        <v>3</v>
      </c>
      <c r="D228" s="1839"/>
      <c r="E228" s="710">
        <v>4</v>
      </c>
      <c r="F228" s="392">
        <v>5</v>
      </c>
      <c r="G228" s="447">
        <v>11</v>
      </c>
    </row>
    <row r="229" spans="1:7" x14ac:dyDescent="0.25">
      <c r="A229" s="541" t="s">
        <v>1980</v>
      </c>
      <c r="B229" s="711" t="s">
        <v>323</v>
      </c>
      <c r="C229" s="392"/>
      <c r="D229" s="393"/>
      <c r="E229" s="446"/>
      <c r="F229" s="446"/>
      <c r="G229" s="665"/>
    </row>
    <row r="230" spans="1:7" x14ac:dyDescent="0.25">
      <c r="A230" s="541" t="s">
        <v>1981</v>
      </c>
      <c r="B230" s="712" t="s">
        <v>88</v>
      </c>
      <c r="C230" s="392"/>
      <c r="D230" s="393"/>
      <c r="E230" s="446"/>
      <c r="F230" s="446"/>
      <c r="G230" s="665"/>
    </row>
    <row r="231" spans="1:7" ht="24" x14ac:dyDescent="0.25">
      <c r="A231" s="541" t="s">
        <v>1982</v>
      </c>
      <c r="B231" s="663" t="s">
        <v>354</v>
      </c>
      <c r="C231" s="392"/>
      <c r="D231" s="393"/>
      <c r="E231" s="713"/>
      <c r="F231" s="714"/>
      <c r="G231" s="715"/>
    </row>
    <row r="232" spans="1:7" ht="24" x14ac:dyDescent="0.25">
      <c r="A232" s="575"/>
      <c r="B232" s="663" t="s">
        <v>1785</v>
      </c>
      <c r="C232" s="392"/>
      <c r="D232" s="393"/>
      <c r="E232" s="713"/>
      <c r="F232" s="714"/>
      <c r="G232" s="715"/>
    </row>
    <row r="233" spans="1:7" x14ac:dyDescent="0.25">
      <c r="A233" s="549"/>
      <c r="B233" s="716" t="s">
        <v>843</v>
      </c>
      <c r="C233" s="392">
        <v>35</v>
      </c>
      <c r="D233" s="393" t="s">
        <v>315</v>
      </c>
      <c r="E233" s="717">
        <v>15000</v>
      </c>
      <c r="F233" s="714">
        <f t="shared" ref="F233:F284" si="6">C233*E233</f>
        <v>525000</v>
      </c>
      <c r="G233" s="715"/>
    </row>
    <row r="234" spans="1:7" ht="24" x14ac:dyDescent="0.25">
      <c r="A234" s="549"/>
      <c r="B234" s="711" t="s">
        <v>1293</v>
      </c>
      <c r="C234" s="392"/>
      <c r="D234" s="393"/>
      <c r="E234" s="717"/>
      <c r="F234" s="714">
        <f t="shared" si="6"/>
        <v>0</v>
      </c>
      <c r="G234" s="715"/>
    </row>
    <row r="235" spans="1:7" ht="36" x14ac:dyDescent="0.25">
      <c r="A235" s="549"/>
      <c r="B235" s="716" t="s">
        <v>2963</v>
      </c>
      <c r="C235" s="392">
        <v>350</v>
      </c>
      <c r="D235" s="393" t="s">
        <v>315</v>
      </c>
      <c r="E235" s="717">
        <v>15000</v>
      </c>
      <c r="F235" s="714">
        <f t="shared" si="6"/>
        <v>5250000</v>
      </c>
      <c r="G235" s="715"/>
    </row>
    <row r="236" spans="1:7" ht="36" x14ac:dyDescent="0.25">
      <c r="A236" s="549"/>
      <c r="B236" s="663" t="s">
        <v>1786</v>
      </c>
      <c r="C236" s="392"/>
      <c r="D236" s="393"/>
      <c r="E236" s="717"/>
      <c r="F236" s="714">
        <f t="shared" si="6"/>
        <v>0</v>
      </c>
      <c r="G236" s="715"/>
    </row>
    <row r="237" spans="1:7" ht="26.25" customHeight="1" x14ac:dyDescent="0.25">
      <c r="A237" s="549"/>
      <c r="B237" s="391" t="s">
        <v>1787</v>
      </c>
      <c r="C237" s="392">
        <v>50</v>
      </c>
      <c r="D237" s="393" t="s">
        <v>315</v>
      </c>
      <c r="E237" s="717">
        <v>15000</v>
      </c>
      <c r="F237" s="714">
        <f t="shared" si="6"/>
        <v>750000</v>
      </c>
      <c r="G237" s="718"/>
    </row>
    <row r="238" spans="1:7" ht="18" customHeight="1" x14ac:dyDescent="0.25">
      <c r="A238" s="549"/>
      <c r="B238" s="663" t="s">
        <v>1292</v>
      </c>
      <c r="C238" s="392"/>
      <c r="D238" s="393"/>
      <c r="E238" s="717"/>
      <c r="F238" s="714">
        <f t="shared" si="6"/>
        <v>0</v>
      </c>
      <c r="G238" s="715"/>
    </row>
    <row r="239" spans="1:7" ht="48" x14ac:dyDescent="0.25">
      <c r="A239" s="549"/>
      <c r="B239" s="391" t="s">
        <v>1788</v>
      </c>
      <c r="C239" s="392">
        <v>95</v>
      </c>
      <c r="D239" s="393" t="s">
        <v>315</v>
      </c>
      <c r="E239" s="717">
        <v>15000</v>
      </c>
      <c r="F239" s="714">
        <f t="shared" si="6"/>
        <v>1425000</v>
      </c>
      <c r="G239" s="715"/>
    </row>
    <row r="240" spans="1:7" ht="24" x14ac:dyDescent="0.25">
      <c r="A240" s="541" t="s">
        <v>1983</v>
      </c>
      <c r="B240" s="711" t="s">
        <v>1789</v>
      </c>
      <c r="C240" s="392"/>
      <c r="D240" s="393"/>
      <c r="E240" s="717"/>
      <c r="F240" s="714">
        <f t="shared" si="6"/>
        <v>0</v>
      </c>
      <c r="G240" s="715"/>
    </row>
    <row r="241" spans="1:7" x14ac:dyDescent="0.25">
      <c r="A241" s="549"/>
      <c r="B241" s="716" t="s">
        <v>976</v>
      </c>
      <c r="C241" s="392">
        <v>3</v>
      </c>
      <c r="D241" s="393" t="s">
        <v>123</v>
      </c>
      <c r="E241" s="717">
        <v>90000</v>
      </c>
      <c r="F241" s="714">
        <f t="shared" si="6"/>
        <v>270000</v>
      </c>
      <c r="G241" s="715"/>
    </row>
    <row r="242" spans="1:7" ht="15" customHeight="1" x14ac:dyDescent="0.25">
      <c r="A242" s="541" t="s">
        <v>1984</v>
      </c>
      <c r="B242" s="663" t="s">
        <v>319</v>
      </c>
      <c r="C242" s="392"/>
      <c r="D242" s="393"/>
      <c r="E242" s="717"/>
      <c r="F242" s="714">
        <f t="shared" si="6"/>
        <v>0</v>
      </c>
      <c r="G242" s="715"/>
    </row>
    <row r="243" spans="1:7" x14ac:dyDescent="0.25">
      <c r="A243" s="395"/>
      <c r="B243" s="391" t="s">
        <v>496</v>
      </c>
      <c r="C243" s="392">
        <v>2</v>
      </c>
      <c r="D243" s="393" t="s">
        <v>102</v>
      </c>
      <c r="E243" s="717">
        <v>50000</v>
      </c>
      <c r="F243" s="714">
        <f t="shared" si="6"/>
        <v>100000</v>
      </c>
      <c r="G243" s="715"/>
    </row>
    <row r="244" spans="1:7" x14ac:dyDescent="0.25">
      <c r="A244" s="395"/>
      <c r="B244" s="391" t="s">
        <v>321</v>
      </c>
      <c r="C244" s="392">
        <v>10</v>
      </c>
      <c r="D244" s="393" t="s">
        <v>186</v>
      </c>
      <c r="E244" s="717">
        <v>1000</v>
      </c>
      <c r="F244" s="714">
        <f t="shared" si="6"/>
        <v>10000</v>
      </c>
      <c r="G244" s="715"/>
    </row>
    <row r="245" spans="1:7" x14ac:dyDescent="0.25">
      <c r="A245" s="395"/>
      <c r="B245" s="391" t="s">
        <v>335</v>
      </c>
      <c r="C245" s="392">
        <v>1</v>
      </c>
      <c r="D245" s="393" t="s">
        <v>336</v>
      </c>
      <c r="E245" s="717">
        <v>10000</v>
      </c>
      <c r="F245" s="714">
        <f t="shared" si="6"/>
        <v>10000</v>
      </c>
      <c r="G245" s="715"/>
    </row>
    <row r="246" spans="1:7" x14ac:dyDescent="0.25">
      <c r="A246" s="578"/>
      <c r="B246" s="391" t="s">
        <v>413</v>
      </c>
      <c r="C246" s="392">
        <v>3</v>
      </c>
      <c r="D246" s="393" t="s">
        <v>123</v>
      </c>
      <c r="E246" s="717">
        <v>15000</v>
      </c>
      <c r="F246" s="714">
        <f t="shared" si="6"/>
        <v>45000</v>
      </c>
      <c r="G246" s="715"/>
    </row>
    <row r="247" spans="1:7" x14ac:dyDescent="0.25">
      <c r="A247" s="541" t="s">
        <v>1985</v>
      </c>
      <c r="B247" s="711" t="s">
        <v>340</v>
      </c>
      <c r="C247" s="392"/>
      <c r="D247" s="393"/>
      <c r="E247" s="717"/>
      <c r="F247" s="714">
        <f t="shared" si="6"/>
        <v>0</v>
      </c>
      <c r="G247" s="715"/>
    </row>
    <row r="248" spans="1:7" ht="48" x14ac:dyDescent="0.25">
      <c r="A248" s="541" t="s">
        <v>1986</v>
      </c>
      <c r="B248" s="711" t="s">
        <v>1290</v>
      </c>
      <c r="C248" s="392"/>
      <c r="D248" s="393"/>
      <c r="E248" s="717"/>
      <c r="F248" s="714">
        <f t="shared" si="6"/>
        <v>0</v>
      </c>
      <c r="G248" s="715"/>
    </row>
    <row r="249" spans="1:7" x14ac:dyDescent="0.25">
      <c r="A249" s="541"/>
      <c r="B249" s="719" t="s">
        <v>1790</v>
      </c>
      <c r="C249" s="392">
        <v>30</v>
      </c>
      <c r="D249" s="393" t="s">
        <v>461</v>
      </c>
      <c r="E249" s="717">
        <v>300000</v>
      </c>
      <c r="F249" s="714">
        <f t="shared" si="6"/>
        <v>9000000</v>
      </c>
      <c r="G249" s="715"/>
    </row>
    <row r="250" spans="1:7" x14ac:dyDescent="0.25">
      <c r="A250" s="541"/>
      <c r="B250" s="719" t="s">
        <v>1289</v>
      </c>
      <c r="C250" s="392">
        <v>9</v>
      </c>
      <c r="D250" s="393" t="s">
        <v>461</v>
      </c>
      <c r="E250" s="717">
        <v>300000</v>
      </c>
      <c r="F250" s="714">
        <f t="shared" si="6"/>
        <v>2700000</v>
      </c>
      <c r="G250" s="715"/>
    </row>
    <row r="251" spans="1:7" x14ac:dyDescent="0.25">
      <c r="A251" s="720"/>
      <c r="B251" s="719" t="s">
        <v>1288</v>
      </c>
      <c r="C251" s="392">
        <v>1</v>
      </c>
      <c r="D251" s="393" t="s">
        <v>315</v>
      </c>
      <c r="E251" s="717">
        <v>250000</v>
      </c>
      <c r="F251" s="714">
        <f t="shared" si="6"/>
        <v>250000</v>
      </c>
      <c r="G251" s="715"/>
    </row>
    <row r="252" spans="1:7" x14ac:dyDescent="0.25">
      <c r="A252" s="541" t="s">
        <v>2148</v>
      </c>
      <c r="B252" s="663" t="s">
        <v>516</v>
      </c>
      <c r="C252" s="392"/>
      <c r="D252" s="393"/>
      <c r="E252" s="717"/>
      <c r="F252" s="714">
        <f t="shared" si="6"/>
        <v>0</v>
      </c>
      <c r="G252" s="721"/>
    </row>
    <row r="253" spans="1:7" ht="15" customHeight="1" x14ac:dyDescent="0.25">
      <c r="A253" s="541" t="s">
        <v>2149</v>
      </c>
      <c r="B253" s="663" t="s">
        <v>1287</v>
      </c>
      <c r="C253" s="392"/>
      <c r="D253" s="393"/>
      <c r="E253" s="717"/>
      <c r="F253" s="714">
        <f t="shared" si="6"/>
        <v>0</v>
      </c>
      <c r="G253" s="721"/>
    </row>
    <row r="254" spans="1:7" x14ac:dyDescent="0.25">
      <c r="A254" s="576"/>
      <c r="B254" s="391" t="s">
        <v>1285</v>
      </c>
      <c r="C254" s="397">
        <v>1</v>
      </c>
      <c r="D254" s="398" t="s">
        <v>1030</v>
      </c>
      <c r="E254" s="722">
        <v>1000000</v>
      </c>
      <c r="F254" s="714">
        <f t="shared" si="6"/>
        <v>1000000</v>
      </c>
      <c r="G254" s="721"/>
    </row>
    <row r="255" spans="1:7" ht="28.5" customHeight="1" x14ac:dyDescent="0.25">
      <c r="A255" s="541" t="s">
        <v>2150</v>
      </c>
      <c r="B255" s="663" t="s">
        <v>532</v>
      </c>
      <c r="C255" s="444"/>
      <c r="D255" s="517"/>
      <c r="E255" s="723"/>
      <c r="F255" s="714">
        <f t="shared" si="6"/>
        <v>0</v>
      </c>
      <c r="G255" s="715"/>
    </row>
    <row r="256" spans="1:7" ht="24" x14ac:dyDescent="0.25">
      <c r="A256" s="541" t="s">
        <v>2151</v>
      </c>
      <c r="B256" s="663" t="s">
        <v>1201</v>
      </c>
      <c r="C256" s="392"/>
      <c r="D256" s="393"/>
      <c r="E256" s="717"/>
      <c r="F256" s="714">
        <f t="shared" si="6"/>
        <v>0</v>
      </c>
      <c r="G256" s="715"/>
    </row>
    <row r="257" spans="1:7" ht="15" customHeight="1" x14ac:dyDescent="0.25">
      <c r="A257" s="549"/>
      <c r="B257" s="711" t="s">
        <v>1283</v>
      </c>
      <c r="C257" s="392"/>
      <c r="D257" s="393"/>
      <c r="E257" s="717"/>
      <c r="F257" s="714">
        <f t="shared" si="6"/>
        <v>0</v>
      </c>
      <c r="G257" s="715"/>
    </row>
    <row r="258" spans="1:7" x14ac:dyDescent="0.25">
      <c r="A258" s="549"/>
      <c r="B258" s="711" t="s">
        <v>932</v>
      </c>
      <c r="C258" s="392"/>
      <c r="D258" s="393"/>
      <c r="E258" s="717"/>
      <c r="F258" s="714">
        <f t="shared" si="6"/>
        <v>0</v>
      </c>
      <c r="G258" s="715"/>
    </row>
    <row r="259" spans="1:7" x14ac:dyDescent="0.25">
      <c r="A259" s="549"/>
      <c r="B259" s="716" t="s">
        <v>1282</v>
      </c>
      <c r="C259" s="392">
        <v>3</v>
      </c>
      <c r="D259" s="393" t="s">
        <v>315</v>
      </c>
      <c r="E259" s="717">
        <v>1000000</v>
      </c>
      <c r="F259" s="714">
        <f t="shared" si="6"/>
        <v>3000000</v>
      </c>
      <c r="G259" s="715"/>
    </row>
    <row r="260" spans="1:7" x14ac:dyDescent="0.25">
      <c r="A260" s="575"/>
      <c r="B260" s="716" t="s">
        <v>1281</v>
      </c>
      <c r="C260" s="392">
        <v>3</v>
      </c>
      <c r="D260" s="393" t="s">
        <v>315</v>
      </c>
      <c r="E260" s="717">
        <v>750000</v>
      </c>
      <c r="F260" s="714">
        <f t="shared" si="6"/>
        <v>2250000</v>
      </c>
      <c r="G260" s="715"/>
    </row>
    <row r="261" spans="1:7" x14ac:dyDescent="0.25">
      <c r="A261" s="549"/>
      <c r="B261" s="716" t="s">
        <v>1280</v>
      </c>
      <c r="C261" s="392">
        <v>3</v>
      </c>
      <c r="D261" s="393" t="s">
        <v>315</v>
      </c>
      <c r="E261" s="717">
        <v>500000</v>
      </c>
      <c r="F261" s="714">
        <f t="shared" si="6"/>
        <v>1500000</v>
      </c>
      <c r="G261" s="715"/>
    </row>
    <row r="262" spans="1:7" x14ac:dyDescent="0.25">
      <c r="A262" s="549"/>
      <c r="B262" s="711" t="s">
        <v>1279</v>
      </c>
      <c r="C262" s="392"/>
      <c r="D262" s="393"/>
      <c r="E262" s="717"/>
      <c r="F262" s="714">
        <f t="shared" si="6"/>
        <v>0</v>
      </c>
      <c r="G262" s="715"/>
    </row>
    <row r="263" spans="1:7" x14ac:dyDescent="0.25">
      <c r="A263" s="549"/>
      <c r="B263" s="716" t="s">
        <v>1791</v>
      </c>
      <c r="C263" s="392">
        <v>3</v>
      </c>
      <c r="D263" s="393" t="s">
        <v>159</v>
      </c>
      <c r="E263" s="717">
        <v>1200000</v>
      </c>
      <c r="F263" s="714">
        <f t="shared" si="6"/>
        <v>3600000</v>
      </c>
      <c r="G263" s="715"/>
    </row>
    <row r="264" spans="1:7" x14ac:dyDescent="0.25">
      <c r="A264" s="541"/>
      <c r="B264" s="724" t="s">
        <v>1277</v>
      </c>
      <c r="C264" s="392"/>
      <c r="D264" s="393"/>
      <c r="E264" s="717"/>
      <c r="F264" s="714">
        <f t="shared" si="6"/>
        <v>0</v>
      </c>
      <c r="G264" s="715"/>
    </row>
    <row r="265" spans="1:7" ht="15" customHeight="1" x14ac:dyDescent="0.25">
      <c r="A265" s="544"/>
      <c r="B265" s="391" t="s">
        <v>1276</v>
      </c>
      <c r="C265" s="392">
        <v>39</v>
      </c>
      <c r="D265" s="393" t="s">
        <v>123</v>
      </c>
      <c r="E265" s="717">
        <v>6000</v>
      </c>
      <c r="F265" s="714">
        <f t="shared" si="6"/>
        <v>234000</v>
      </c>
      <c r="G265" s="715"/>
    </row>
    <row r="266" spans="1:7" ht="15" customHeight="1" x14ac:dyDescent="0.25">
      <c r="A266" s="549"/>
      <c r="B266" s="716" t="s">
        <v>1275</v>
      </c>
      <c r="C266" s="392">
        <v>9</v>
      </c>
      <c r="D266" s="393" t="s">
        <v>123</v>
      </c>
      <c r="E266" s="717">
        <v>6000</v>
      </c>
      <c r="F266" s="714">
        <f t="shared" si="6"/>
        <v>54000</v>
      </c>
      <c r="G266" s="715"/>
    </row>
    <row r="267" spans="1:7" ht="15" customHeight="1" x14ac:dyDescent="0.25">
      <c r="A267" s="549"/>
      <c r="B267" s="716" t="s">
        <v>1274</v>
      </c>
      <c r="C267" s="392">
        <v>9</v>
      </c>
      <c r="D267" s="393" t="s">
        <v>123</v>
      </c>
      <c r="E267" s="717">
        <v>6000</v>
      </c>
      <c r="F267" s="714">
        <f t="shared" si="6"/>
        <v>54000</v>
      </c>
      <c r="G267" s="715"/>
    </row>
    <row r="268" spans="1:7" ht="25.5" x14ac:dyDescent="0.25">
      <c r="A268" s="576"/>
      <c r="B268" s="725" t="s">
        <v>1273</v>
      </c>
      <c r="C268" s="392"/>
      <c r="D268" s="393"/>
      <c r="E268" s="717"/>
      <c r="F268" s="714">
        <f t="shared" si="6"/>
        <v>0</v>
      </c>
      <c r="G268" s="721"/>
    </row>
    <row r="269" spans="1:7" x14ac:dyDescent="0.25">
      <c r="A269" s="541" t="s">
        <v>1980</v>
      </c>
      <c r="B269" s="711" t="s">
        <v>323</v>
      </c>
      <c r="C269" s="392"/>
      <c r="D269" s="393"/>
      <c r="E269" s="717"/>
      <c r="F269" s="714">
        <f t="shared" si="6"/>
        <v>0</v>
      </c>
      <c r="G269" s="721"/>
    </row>
    <row r="270" spans="1:7" x14ac:dyDescent="0.25">
      <c r="A270" s="541" t="s">
        <v>1981</v>
      </c>
      <c r="B270" s="711" t="s">
        <v>88</v>
      </c>
      <c r="C270" s="392"/>
      <c r="D270" s="393"/>
      <c r="E270" s="717"/>
      <c r="F270" s="714">
        <f t="shared" si="6"/>
        <v>0</v>
      </c>
      <c r="G270" s="721"/>
    </row>
    <row r="271" spans="1:7" ht="24" x14ac:dyDescent="0.25">
      <c r="A271" s="541" t="s">
        <v>1982</v>
      </c>
      <c r="B271" s="711" t="s">
        <v>1272</v>
      </c>
      <c r="C271" s="392"/>
      <c r="D271" s="393"/>
      <c r="E271" s="717"/>
      <c r="F271" s="714">
        <f t="shared" si="6"/>
        <v>0</v>
      </c>
      <c r="G271" s="721"/>
    </row>
    <row r="272" spans="1:7" x14ac:dyDescent="0.25">
      <c r="A272" s="576"/>
      <c r="B272" s="716" t="s">
        <v>1792</v>
      </c>
      <c r="C272" s="392">
        <v>15</v>
      </c>
      <c r="D272" s="393" t="s">
        <v>315</v>
      </c>
      <c r="E272" s="717">
        <v>15000</v>
      </c>
      <c r="F272" s="714">
        <f t="shared" si="6"/>
        <v>225000</v>
      </c>
      <c r="G272" s="721"/>
    </row>
    <row r="273" spans="1:20" x14ac:dyDescent="0.25">
      <c r="A273" s="576"/>
      <c r="B273" s="716" t="s">
        <v>775</v>
      </c>
      <c r="C273" s="392">
        <v>20</v>
      </c>
      <c r="D273" s="393" t="s">
        <v>315</v>
      </c>
      <c r="E273" s="717">
        <v>15000</v>
      </c>
      <c r="F273" s="714">
        <f t="shared" si="6"/>
        <v>300000</v>
      </c>
      <c r="G273" s="721"/>
    </row>
    <row r="274" spans="1:20" x14ac:dyDescent="0.25">
      <c r="A274" s="726" t="s">
        <v>2152</v>
      </c>
      <c r="B274" s="711" t="s">
        <v>1271</v>
      </c>
      <c r="C274" s="392"/>
      <c r="D274" s="393"/>
      <c r="E274" s="717"/>
      <c r="F274" s="714">
        <f t="shared" si="6"/>
        <v>0</v>
      </c>
      <c r="G274" s="721"/>
    </row>
    <row r="275" spans="1:20" x14ac:dyDescent="0.25">
      <c r="A275" s="576"/>
      <c r="B275" s="716" t="s">
        <v>1793</v>
      </c>
      <c r="C275" s="392">
        <v>3</v>
      </c>
      <c r="D275" s="393" t="s">
        <v>159</v>
      </c>
      <c r="E275" s="717">
        <v>350000</v>
      </c>
      <c r="F275" s="714">
        <f t="shared" si="6"/>
        <v>1050000</v>
      </c>
      <c r="G275" s="721"/>
    </row>
    <row r="276" spans="1:20" x14ac:dyDescent="0.25">
      <c r="A276" s="576"/>
      <c r="B276" s="391" t="s">
        <v>1270</v>
      </c>
      <c r="C276" s="392">
        <v>3</v>
      </c>
      <c r="D276" s="393" t="s">
        <v>315</v>
      </c>
      <c r="E276" s="717">
        <v>250000</v>
      </c>
      <c r="F276" s="714">
        <f t="shared" si="6"/>
        <v>750000</v>
      </c>
      <c r="G276" s="721"/>
    </row>
    <row r="277" spans="1:20" x14ac:dyDescent="0.25">
      <c r="A277" s="541" t="s">
        <v>1985</v>
      </c>
      <c r="B277" s="727" t="s">
        <v>340</v>
      </c>
      <c r="C277" s="392"/>
      <c r="D277" s="393"/>
      <c r="E277" s="717"/>
      <c r="F277" s="714">
        <f t="shared" si="6"/>
        <v>0</v>
      </c>
      <c r="G277" s="721"/>
    </row>
    <row r="278" spans="1:20" ht="15" customHeight="1" x14ac:dyDescent="0.25">
      <c r="A278" s="541" t="s">
        <v>1981</v>
      </c>
      <c r="B278" s="728" t="s">
        <v>1269</v>
      </c>
      <c r="C278" s="392"/>
      <c r="D278" s="393"/>
      <c r="E278" s="717"/>
      <c r="F278" s="714">
        <f t="shared" si="6"/>
        <v>0</v>
      </c>
      <c r="G278" s="721"/>
    </row>
    <row r="279" spans="1:20" x14ac:dyDescent="0.25">
      <c r="A279" s="541"/>
      <c r="B279" s="396" t="s">
        <v>214</v>
      </c>
      <c r="C279" s="392">
        <v>1</v>
      </c>
      <c r="D279" s="393" t="s">
        <v>520</v>
      </c>
      <c r="E279" s="399">
        <v>300000</v>
      </c>
      <c r="F279" s="714">
        <f t="shared" si="6"/>
        <v>300000</v>
      </c>
      <c r="G279" s="721"/>
    </row>
    <row r="280" spans="1:20" x14ac:dyDescent="0.25">
      <c r="A280" s="541"/>
      <c r="B280" s="396" t="s">
        <v>391</v>
      </c>
      <c r="C280" s="392">
        <v>2</v>
      </c>
      <c r="D280" s="393" t="s">
        <v>520</v>
      </c>
      <c r="E280" s="399">
        <v>200000</v>
      </c>
      <c r="F280" s="714">
        <f t="shared" si="6"/>
        <v>400000</v>
      </c>
      <c r="G280" s="721"/>
    </row>
    <row r="281" spans="1:20" ht="48.75" x14ac:dyDescent="0.25">
      <c r="A281" s="541" t="s">
        <v>1986</v>
      </c>
      <c r="B281" s="727" t="s">
        <v>809</v>
      </c>
      <c r="C281" s="444"/>
      <c r="D281" s="393"/>
      <c r="E281" s="717"/>
      <c r="F281" s="714">
        <f t="shared" si="6"/>
        <v>0</v>
      </c>
      <c r="G281" s="721"/>
    </row>
    <row r="282" spans="1:20" x14ac:dyDescent="0.25">
      <c r="A282" s="576"/>
      <c r="B282" s="716" t="s">
        <v>1794</v>
      </c>
      <c r="C282" s="392">
        <v>3</v>
      </c>
      <c r="D282" s="393" t="s">
        <v>315</v>
      </c>
      <c r="E282" s="717">
        <v>100000</v>
      </c>
      <c r="F282" s="714">
        <f t="shared" si="6"/>
        <v>300000</v>
      </c>
      <c r="G282" s="721"/>
    </row>
    <row r="283" spans="1:20" ht="25.5" customHeight="1" x14ac:dyDescent="0.25">
      <c r="A283" s="541" t="s">
        <v>2150</v>
      </c>
      <c r="B283" s="711" t="s">
        <v>532</v>
      </c>
      <c r="C283" s="392"/>
      <c r="D283" s="393"/>
      <c r="E283" s="717"/>
      <c r="F283" s="714">
        <f t="shared" si="6"/>
        <v>0</v>
      </c>
      <c r="G283" s="721"/>
    </row>
    <row r="284" spans="1:20" x14ac:dyDescent="0.25">
      <c r="A284" s="541" t="s">
        <v>2153</v>
      </c>
      <c r="B284" s="716" t="s">
        <v>1795</v>
      </c>
      <c r="C284" s="392">
        <v>3</v>
      </c>
      <c r="D284" s="393" t="s">
        <v>315</v>
      </c>
      <c r="E284" s="717">
        <v>50000</v>
      </c>
      <c r="F284" s="714">
        <f t="shared" si="6"/>
        <v>150000</v>
      </c>
      <c r="G284" s="721"/>
    </row>
    <row r="285" spans="1:20" x14ac:dyDescent="0.25">
      <c r="A285" s="544"/>
      <c r="B285" s="729"/>
      <c r="C285" s="392"/>
      <c r="D285" s="393"/>
      <c r="E285" s="730"/>
      <c r="F285" s="731"/>
      <c r="G285" s="715"/>
    </row>
    <row r="286" spans="1:20" ht="30" x14ac:dyDescent="0.25">
      <c r="A286" s="542"/>
      <c r="B286" s="1995" t="s">
        <v>27</v>
      </c>
      <c r="C286" s="1996"/>
      <c r="D286" s="1996"/>
      <c r="E286" s="1997"/>
      <c r="F286" s="732">
        <f>SUM(F233:F285)</f>
        <v>35502000</v>
      </c>
      <c r="G286" s="665" t="s">
        <v>2626</v>
      </c>
      <c r="J286" s="175"/>
      <c r="S286" s="175">
        <f>F286</f>
        <v>35502000</v>
      </c>
      <c r="T286" s="175"/>
    </row>
    <row r="287" spans="1:20" x14ac:dyDescent="0.25">
      <c r="A287" s="1807" t="s">
        <v>614</v>
      </c>
      <c r="B287" s="1807"/>
      <c r="C287" s="5" t="s">
        <v>28</v>
      </c>
      <c r="D287" s="1808" t="s">
        <v>1700</v>
      </c>
      <c r="E287" s="1808"/>
      <c r="F287" s="1808"/>
      <c r="G287" s="5"/>
    </row>
    <row r="288" spans="1:20" x14ac:dyDescent="0.25">
      <c r="A288" s="1807" t="s">
        <v>29</v>
      </c>
      <c r="B288" s="1807"/>
      <c r="C288" s="5"/>
      <c r="D288" s="1809" t="s">
        <v>2996</v>
      </c>
      <c r="E288" s="1809"/>
      <c r="F288" s="1809"/>
      <c r="G288" s="5"/>
    </row>
    <row r="289" spans="1:7" x14ac:dyDescent="0.25">
      <c r="A289" s="1"/>
      <c r="B289" s="3"/>
      <c r="C289" s="5"/>
      <c r="D289" s="7"/>
      <c r="E289" s="17"/>
      <c r="F289" s="17"/>
      <c r="G289" s="5"/>
    </row>
    <row r="290" spans="1:7" x14ac:dyDescent="0.25">
      <c r="A290" s="1"/>
      <c r="B290" s="3"/>
      <c r="C290" s="5"/>
      <c r="D290" s="7"/>
      <c r="E290" s="17"/>
      <c r="F290" s="17"/>
      <c r="G290" s="5"/>
    </row>
    <row r="291" spans="1:7" x14ac:dyDescent="0.25">
      <c r="A291" s="1807"/>
      <c r="B291" s="1807"/>
      <c r="C291" s="5"/>
      <c r="D291" s="7"/>
      <c r="E291" s="1807"/>
      <c r="F291" s="1807"/>
      <c r="G291" s="5"/>
    </row>
    <row r="292" spans="1:7" x14ac:dyDescent="0.25">
      <c r="A292" s="1807" t="s">
        <v>30</v>
      </c>
      <c r="B292" s="1807"/>
      <c r="C292" s="5"/>
      <c r="D292" s="1807" t="s">
        <v>2993</v>
      </c>
      <c r="E292" s="1807"/>
      <c r="F292" s="1807"/>
      <c r="G292" s="5"/>
    </row>
    <row r="293" spans="1:7" x14ac:dyDescent="0.25">
      <c r="A293" s="1911" t="s">
        <v>1247</v>
      </c>
      <c r="B293" s="1911"/>
      <c r="C293" s="1911"/>
      <c r="D293" s="1911"/>
      <c r="E293" s="1911"/>
      <c r="F293" s="1911"/>
      <c r="G293" s="1911"/>
    </row>
    <row r="294" spans="1:7" x14ac:dyDescent="0.25">
      <c r="A294" s="1911" t="s">
        <v>1</v>
      </c>
      <c r="B294" s="1911"/>
      <c r="C294" s="1911"/>
      <c r="D294" s="1911"/>
      <c r="E294" s="1911"/>
      <c r="F294" s="1911"/>
      <c r="G294" s="1911"/>
    </row>
    <row r="295" spans="1:7" x14ac:dyDescent="0.25">
      <c r="A295" s="1911" t="s">
        <v>1697</v>
      </c>
      <c r="B295" s="1911"/>
      <c r="C295" s="1911"/>
      <c r="D295" s="1911"/>
      <c r="E295" s="1911"/>
      <c r="F295" s="1911"/>
      <c r="G295" s="1911"/>
    </row>
    <row r="296" spans="1:7" x14ac:dyDescent="0.25">
      <c r="A296" s="1441"/>
      <c r="B296" s="1442"/>
      <c r="C296" s="1443"/>
      <c r="D296" s="1443"/>
      <c r="E296" s="1444"/>
      <c r="F296" s="1444"/>
      <c r="G296" s="1444"/>
    </row>
    <row r="297" spans="1:7" x14ac:dyDescent="0.25">
      <c r="A297" s="1444" t="s">
        <v>1913</v>
      </c>
      <c r="B297" s="1445"/>
      <c r="C297" s="1446"/>
      <c r="D297" s="1446"/>
      <c r="E297" s="1447"/>
      <c r="F297" s="1447"/>
      <c r="G297" s="1444"/>
    </row>
    <row r="298" spans="1:7" ht="24.75" x14ac:dyDescent="0.25">
      <c r="A298" s="1511" t="s">
        <v>814</v>
      </c>
      <c r="B298" s="1512" t="s">
        <v>1945</v>
      </c>
      <c r="C298" s="1446"/>
      <c r="D298" s="1446"/>
      <c r="E298" s="1447" t="s">
        <v>1915</v>
      </c>
      <c r="F298" s="1447"/>
      <c r="G298" s="1444"/>
    </row>
    <row r="299" spans="1:7" ht="75" x14ac:dyDescent="0.25">
      <c r="A299" s="1513" t="s">
        <v>858</v>
      </c>
      <c r="B299" s="1514" t="s">
        <v>1946</v>
      </c>
      <c r="C299" s="1446"/>
      <c r="D299" s="1446"/>
      <c r="E299" s="1447" t="s">
        <v>1917</v>
      </c>
      <c r="F299" s="1447"/>
      <c r="G299" s="1511"/>
    </row>
    <row r="300" spans="1:7" ht="45" x14ac:dyDescent="0.25">
      <c r="A300" s="1513" t="s">
        <v>1918</v>
      </c>
      <c r="B300" s="1514" t="s">
        <v>1948</v>
      </c>
      <c r="C300" s="1446"/>
      <c r="D300" s="1446"/>
      <c r="E300" s="1447"/>
      <c r="F300" s="1447"/>
      <c r="G300" s="1511"/>
    </row>
    <row r="301" spans="1:7" x14ac:dyDescent="0.25">
      <c r="A301" s="1444" t="s">
        <v>1920</v>
      </c>
      <c r="B301" s="1445" t="s">
        <v>63</v>
      </c>
      <c r="C301" s="1446"/>
      <c r="D301" s="1446"/>
      <c r="E301" s="1444"/>
      <c r="F301" s="1444"/>
      <c r="G301" s="1444"/>
    </row>
    <row r="302" spans="1:7" x14ac:dyDescent="0.25">
      <c r="A302" s="1511" t="s">
        <v>64</v>
      </c>
      <c r="B302" s="1512" t="s">
        <v>65</v>
      </c>
      <c r="C302" s="1446"/>
      <c r="D302" s="1446"/>
      <c r="E302" s="1511"/>
      <c r="F302" s="1511"/>
      <c r="G302" s="1511"/>
    </row>
    <row r="303" spans="1:7" x14ac:dyDescent="0.25">
      <c r="A303" s="536"/>
      <c r="B303" s="538"/>
      <c r="C303" s="1515"/>
      <c r="D303" s="1515"/>
      <c r="E303" s="536"/>
      <c r="F303" s="536"/>
      <c r="G303" s="536"/>
    </row>
    <row r="304" spans="1:7" ht="36" x14ac:dyDescent="0.25">
      <c r="A304" s="802" t="s">
        <v>31</v>
      </c>
      <c r="B304" s="802" t="s">
        <v>12</v>
      </c>
      <c r="C304" s="1960" t="s">
        <v>13</v>
      </c>
      <c r="D304" s="1961"/>
      <c r="E304" s="1516" t="s">
        <v>14</v>
      </c>
      <c r="F304" s="786" t="s">
        <v>15</v>
      </c>
      <c r="G304" s="1517" t="s">
        <v>301</v>
      </c>
    </row>
    <row r="305" spans="1:8" x14ac:dyDescent="0.25">
      <c r="A305" s="446">
        <v>1</v>
      </c>
      <c r="B305" s="443">
        <v>2</v>
      </c>
      <c r="C305" s="1838">
        <v>3</v>
      </c>
      <c r="D305" s="1839"/>
      <c r="E305" s="710">
        <v>4</v>
      </c>
      <c r="F305" s="392">
        <v>5</v>
      </c>
      <c r="G305" s="447">
        <v>7</v>
      </c>
    </row>
    <row r="306" spans="1:8" ht="36" x14ac:dyDescent="0.25">
      <c r="A306" s="541" t="s">
        <v>1949</v>
      </c>
      <c r="B306" s="1518" t="s">
        <v>532</v>
      </c>
      <c r="C306" s="1519"/>
      <c r="D306" s="1520"/>
      <c r="E306" s="1521"/>
      <c r="F306" s="1522"/>
      <c r="G306" s="447"/>
    </row>
    <row r="307" spans="1:8" ht="36" x14ac:dyDescent="0.25">
      <c r="A307" s="541" t="s">
        <v>1950</v>
      </c>
      <c r="B307" s="1518" t="s">
        <v>1951</v>
      </c>
      <c r="C307" s="1519"/>
      <c r="D307" s="1520"/>
      <c r="E307" s="1521"/>
      <c r="F307" s="1522"/>
      <c r="G307" s="447"/>
    </row>
    <row r="308" spans="1:8" ht="24" x14ac:dyDescent="0.25">
      <c r="A308" s="541"/>
      <c r="B308" s="1518" t="s">
        <v>1952</v>
      </c>
      <c r="C308" s="559"/>
      <c r="D308" s="1520"/>
      <c r="E308" s="1521"/>
      <c r="F308" s="1522"/>
      <c r="G308" s="447"/>
    </row>
    <row r="309" spans="1:8" ht="15.75" thickBot="1" x14ac:dyDescent="0.3">
      <c r="A309" s="544"/>
      <c r="B309" s="1523" t="s">
        <v>2815</v>
      </c>
      <c r="C309" s="559">
        <v>1</v>
      </c>
      <c r="D309" s="1520" t="s">
        <v>520</v>
      </c>
      <c r="E309" s="1521">
        <v>1800000</v>
      </c>
      <c r="F309" s="1522">
        <f>E309*C309</f>
        <v>1800000</v>
      </c>
      <c r="G309" s="447"/>
    </row>
    <row r="310" spans="1:8" ht="15.75" thickBot="1" x14ac:dyDescent="0.3">
      <c r="A310" s="1524"/>
      <c r="B310" s="1912" t="s">
        <v>613</v>
      </c>
      <c r="C310" s="1913"/>
      <c r="D310" s="1913"/>
      <c r="E310" s="1914"/>
      <c r="F310" s="1525">
        <f>SUM(F309:F309)</f>
        <v>1800000</v>
      </c>
      <c r="G310" s="1526"/>
    </row>
    <row r="311" spans="1:8" x14ac:dyDescent="0.25">
      <c r="A311" s="576"/>
      <c r="B311" s="1527" t="s">
        <v>1927</v>
      </c>
      <c r="C311" s="1524"/>
      <c r="D311" s="1528"/>
      <c r="E311" s="576"/>
      <c r="F311" s="1529"/>
      <c r="G311" s="447"/>
    </row>
    <row r="312" spans="1:8" x14ac:dyDescent="0.25">
      <c r="A312" s="541"/>
      <c r="B312" s="719" t="s">
        <v>1928</v>
      </c>
      <c r="C312" s="392">
        <v>25</v>
      </c>
      <c r="D312" s="393" t="s">
        <v>461</v>
      </c>
      <c r="E312" s="446">
        <v>143000</v>
      </c>
      <c r="F312" s="1522">
        <f>E312*C312</f>
        <v>3575000</v>
      </c>
      <c r="G312" s="447"/>
    </row>
    <row r="313" spans="1:8" ht="15.75" thickBot="1" x14ac:dyDescent="0.3">
      <c r="A313" s="541"/>
      <c r="B313" s="1530" t="s">
        <v>1929</v>
      </c>
      <c r="C313" s="1531">
        <v>50</v>
      </c>
      <c r="D313" s="1064" t="s">
        <v>461</v>
      </c>
      <c r="E313" s="1532">
        <v>130000</v>
      </c>
      <c r="F313" s="1533">
        <f>E313*C313</f>
        <v>6500000</v>
      </c>
      <c r="G313" s="447"/>
    </row>
    <row r="314" spans="1:8" ht="15.75" thickBot="1" x14ac:dyDescent="0.3">
      <c r="A314" s="1534"/>
      <c r="B314" s="1915" t="s">
        <v>613</v>
      </c>
      <c r="C314" s="1916"/>
      <c r="D314" s="1916"/>
      <c r="E314" s="1917"/>
      <c r="F314" s="1525">
        <f>SUM(F312:F313)</f>
        <v>10075000</v>
      </c>
      <c r="G314" s="1526"/>
    </row>
    <row r="315" spans="1:8" x14ac:dyDescent="0.25">
      <c r="A315" s="544"/>
      <c r="B315" s="1535" t="s">
        <v>1955</v>
      </c>
      <c r="C315" s="1524"/>
      <c r="D315" s="1528"/>
      <c r="E315" s="576"/>
      <c r="F315" s="1529"/>
      <c r="G315" s="447"/>
      <c r="H315" s="451"/>
    </row>
    <row r="316" spans="1:8" x14ac:dyDescent="0.25">
      <c r="A316" s="576"/>
      <c r="B316" s="396" t="s">
        <v>1956</v>
      </c>
      <c r="C316" s="392">
        <v>330</v>
      </c>
      <c r="D316" s="393" t="s">
        <v>1940</v>
      </c>
      <c r="E316" s="399">
        <v>159000</v>
      </c>
      <c r="F316" s="1522">
        <f>E316*C316</f>
        <v>52470000</v>
      </c>
      <c r="G316" s="447"/>
    </row>
    <row r="317" spans="1:8" x14ac:dyDescent="0.25">
      <c r="A317" s="576"/>
      <c r="B317" s="396" t="s">
        <v>1954</v>
      </c>
      <c r="C317" s="392">
        <v>40</v>
      </c>
      <c r="D317" s="393" t="s">
        <v>984</v>
      </c>
      <c r="E317" s="399">
        <v>534000</v>
      </c>
      <c r="F317" s="1522">
        <f t="shared" ref="F317:F322" si="7">E317*C317</f>
        <v>21360000</v>
      </c>
      <c r="G317" s="447"/>
    </row>
    <row r="318" spans="1:8" x14ac:dyDescent="0.25">
      <c r="A318" s="576"/>
      <c r="B318" s="1523" t="s">
        <v>1937</v>
      </c>
      <c r="C318" s="559">
        <v>263</v>
      </c>
      <c r="D318" s="1520" t="s">
        <v>180</v>
      </c>
      <c r="E318" s="1521">
        <v>3000</v>
      </c>
      <c r="F318" s="1522">
        <f t="shared" si="7"/>
        <v>789000</v>
      </c>
      <c r="G318" s="447"/>
    </row>
    <row r="319" spans="1:8" x14ac:dyDescent="0.25">
      <c r="A319" s="541"/>
      <c r="B319" s="1523" t="s">
        <v>1957</v>
      </c>
      <c r="C319" s="559">
        <v>246</v>
      </c>
      <c r="D319" s="1520" t="s">
        <v>123</v>
      </c>
      <c r="E319" s="1521">
        <v>29000</v>
      </c>
      <c r="F319" s="1522">
        <f t="shared" si="7"/>
        <v>7134000</v>
      </c>
      <c r="G319" s="447"/>
      <c r="H319" s="451"/>
    </row>
    <row r="320" spans="1:8" x14ac:dyDescent="0.25">
      <c r="A320" s="541"/>
      <c r="B320" s="1523" t="s">
        <v>1958</v>
      </c>
      <c r="C320" s="559">
        <v>3</v>
      </c>
      <c r="D320" s="1520" t="s">
        <v>123</v>
      </c>
      <c r="E320" s="1521">
        <v>105000</v>
      </c>
      <c r="F320" s="1522">
        <f t="shared" si="7"/>
        <v>315000</v>
      </c>
      <c r="G320" s="447"/>
    </row>
    <row r="321" spans="1:20" x14ac:dyDescent="0.25">
      <c r="A321" s="720"/>
      <c r="B321" s="1536" t="s">
        <v>1943</v>
      </c>
      <c r="C321" s="1537">
        <v>1</v>
      </c>
      <c r="D321" s="1538" t="s">
        <v>123</v>
      </c>
      <c r="E321" s="1539">
        <v>250000</v>
      </c>
      <c r="F321" s="1533">
        <f t="shared" si="7"/>
        <v>250000</v>
      </c>
      <c r="G321" s="447"/>
    </row>
    <row r="322" spans="1:20" ht="15.75" thickBot="1" x14ac:dyDescent="0.3">
      <c r="A322" s="544"/>
      <c r="B322" s="1536" t="s">
        <v>1944</v>
      </c>
      <c r="C322" s="1537">
        <v>1</v>
      </c>
      <c r="D322" s="1538" t="s">
        <v>123</v>
      </c>
      <c r="E322" s="1539">
        <v>500000</v>
      </c>
      <c r="F322" s="1533">
        <f t="shared" si="7"/>
        <v>500000</v>
      </c>
      <c r="G322" s="447"/>
    </row>
    <row r="323" spans="1:20" ht="15.75" thickBot="1" x14ac:dyDescent="0.3">
      <c r="A323" s="1524"/>
      <c r="B323" s="1912" t="s">
        <v>613</v>
      </c>
      <c r="C323" s="1913"/>
      <c r="D323" s="1913"/>
      <c r="E323" s="1914"/>
      <c r="F323" s="1525">
        <f>SUM(F316:F322)</f>
        <v>82818000</v>
      </c>
      <c r="G323" s="1526"/>
      <c r="H323" s="175"/>
    </row>
    <row r="324" spans="1:20" ht="15.75" thickBot="1" x14ac:dyDescent="0.3">
      <c r="A324" s="1524"/>
      <c r="B324" s="1912" t="s">
        <v>27</v>
      </c>
      <c r="C324" s="1913"/>
      <c r="D324" s="1913"/>
      <c r="E324" s="1914"/>
      <c r="F324" s="1525">
        <f>F323+F314+F310</f>
        <v>94693000</v>
      </c>
      <c r="G324" s="1540" t="s">
        <v>2620</v>
      </c>
      <c r="H324" s="175"/>
      <c r="J324" s="1190"/>
      <c r="K324" s="1190">
        <f>F324</f>
        <v>94693000</v>
      </c>
      <c r="T324" s="1190"/>
    </row>
    <row r="325" spans="1:20" x14ac:dyDescent="0.25">
      <c r="A325" s="1807" t="s">
        <v>614</v>
      </c>
      <c r="B325" s="1807"/>
      <c r="C325" s="5" t="s">
        <v>28</v>
      </c>
      <c r="D325" s="1808" t="s">
        <v>1698</v>
      </c>
      <c r="E325" s="1808"/>
      <c r="F325" s="1808"/>
      <c r="G325" s="5"/>
    </row>
    <row r="326" spans="1:20" x14ac:dyDescent="0.25">
      <c r="A326" s="1807" t="s">
        <v>29</v>
      </c>
      <c r="B326" s="1807"/>
      <c r="C326" s="5"/>
      <c r="D326" s="1809" t="s">
        <v>2990</v>
      </c>
      <c r="E326" s="1809"/>
      <c r="F326" s="1809"/>
      <c r="G326" s="5"/>
    </row>
    <row r="327" spans="1:20" x14ac:dyDescent="0.25">
      <c r="A327" s="1"/>
      <c r="B327" s="3"/>
      <c r="C327" s="5"/>
      <c r="D327" s="7"/>
      <c r="E327" s="17"/>
      <c r="F327" s="17"/>
      <c r="G327" s="5"/>
    </row>
    <row r="328" spans="1:20" x14ac:dyDescent="0.25">
      <c r="A328" s="1"/>
      <c r="B328" s="3"/>
      <c r="C328" s="5"/>
      <c r="D328" s="7"/>
      <c r="E328" s="17"/>
      <c r="F328" s="17"/>
      <c r="G328" s="5"/>
    </row>
    <row r="329" spans="1:20" x14ac:dyDescent="0.25">
      <c r="A329" s="1807"/>
      <c r="B329" s="1807"/>
      <c r="C329" s="5"/>
      <c r="D329" s="7"/>
      <c r="E329" s="1807"/>
      <c r="F329" s="1807"/>
      <c r="G329" s="5"/>
    </row>
    <row r="330" spans="1:20" x14ac:dyDescent="0.25">
      <c r="A330" s="1807" t="s">
        <v>30</v>
      </c>
      <c r="B330" s="1807"/>
      <c r="C330" s="5"/>
      <c r="D330" s="1807" t="s">
        <v>2991</v>
      </c>
      <c r="E330" s="1807"/>
      <c r="F330" s="1807"/>
      <c r="G330" s="5"/>
    </row>
    <row r="331" spans="1:20" x14ac:dyDescent="0.25">
      <c r="A331" s="1541"/>
      <c r="B331" s="1541"/>
      <c r="C331" s="1541"/>
      <c r="D331" s="1541"/>
      <c r="E331" s="1541"/>
      <c r="F331" s="1541"/>
      <c r="G331" s="1541"/>
    </row>
    <row r="332" spans="1:20" x14ac:dyDescent="0.25">
      <c r="A332" s="1911" t="s">
        <v>0</v>
      </c>
      <c r="B332" s="1911"/>
      <c r="C332" s="1911"/>
      <c r="D332" s="1911"/>
      <c r="E332" s="1911"/>
      <c r="F332" s="1911"/>
      <c r="G332" s="1911"/>
    </row>
    <row r="333" spans="1:20" x14ac:dyDescent="0.25">
      <c r="A333" s="1911" t="s">
        <v>1</v>
      </c>
      <c r="B333" s="1911"/>
      <c r="C333" s="1911"/>
      <c r="D333" s="1911"/>
      <c r="E333" s="1911"/>
      <c r="F333" s="1911"/>
      <c r="G333" s="1911"/>
    </row>
    <row r="334" spans="1:20" x14ac:dyDescent="0.25">
      <c r="A334" s="1911" t="s">
        <v>1697</v>
      </c>
      <c r="B334" s="1911"/>
      <c r="C334" s="1911"/>
      <c r="D334" s="1911"/>
      <c r="E334" s="1911"/>
      <c r="F334" s="1911"/>
      <c r="G334" s="1911"/>
    </row>
    <row r="335" spans="1:20" x14ac:dyDescent="0.25">
      <c r="A335" s="1441"/>
      <c r="B335" s="1442"/>
      <c r="C335" s="1443"/>
      <c r="D335" s="1443"/>
      <c r="E335" s="1444"/>
      <c r="F335" s="1444"/>
      <c r="G335" s="1444"/>
    </row>
    <row r="336" spans="1:20" ht="24.75" x14ac:dyDescent="0.25">
      <c r="A336" s="1444" t="s">
        <v>1913</v>
      </c>
      <c r="B336" s="1445" t="s">
        <v>1089</v>
      </c>
      <c r="C336" s="1446"/>
      <c r="D336" s="1446"/>
      <c r="E336" s="1447"/>
      <c r="F336" s="1447"/>
      <c r="G336" s="1444"/>
    </row>
    <row r="337" spans="1:7" x14ac:dyDescent="0.25">
      <c r="A337" s="1511" t="s">
        <v>814</v>
      </c>
      <c r="B337" s="1512" t="s">
        <v>1914</v>
      </c>
      <c r="C337" s="1446"/>
      <c r="D337" s="1446"/>
      <c r="E337" s="1447" t="s">
        <v>1915</v>
      </c>
      <c r="F337" s="1447"/>
      <c r="G337" s="1444"/>
    </row>
    <row r="338" spans="1:7" ht="60" x14ac:dyDescent="0.25">
      <c r="A338" s="1513" t="s">
        <v>858</v>
      </c>
      <c r="B338" s="1514" t="s">
        <v>1916</v>
      </c>
      <c r="C338" s="1446"/>
      <c r="D338" s="1446"/>
      <c r="E338" s="1447" t="s">
        <v>1917</v>
      </c>
      <c r="F338" s="1447"/>
      <c r="G338" s="1511"/>
    </row>
    <row r="339" spans="1:7" ht="30" x14ac:dyDescent="0.25">
      <c r="A339" s="1513" t="s">
        <v>1918</v>
      </c>
      <c r="B339" s="1514" t="s">
        <v>1969</v>
      </c>
      <c r="C339" s="1446"/>
      <c r="D339" s="1446"/>
      <c r="E339" s="1447"/>
      <c r="F339" s="1447"/>
      <c r="G339" s="1511"/>
    </row>
    <row r="340" spans="1:7" x14ac:dyDescent="0.25">
      <c r="A340" s="1444" t="s">
        <v>1920</v>
      </c>
      <c r="B340" s="1445" t="s">
        <v>63</v>
      </c>
      <c r="C340" s="1446"/>
      <c r="D340" s="1446"/>
      <c r="E340" s="1444"/>
      <c r="F340" s="1444"/>
      <c r="G340" s="1444"/>
    </row>
    <row r="341" spans="1:7" x14ac:dyDescent="0.25">
      <c r="A341" s="1511" t="s">
        <v>64</v>
      </c>
      <c r="B341" s="1512" t="s">
        <v>65</v>
      </c>
      <c r="C341" s="1446"/>
      <c r="D341" s="1446"/>
      <c r="E341" s="1511"/>
      <c r="F341" s="1511"/>
      <c r="G341" s="1511"/>
    </row>
    <row r="342" spans="1:7" x14ac:dyDescent="0.25">
      <c r="A342" s="536"/>
      <c r="B342" s="538"/>
      <c r="C342" s="1515"/>
      <c r="D342" s="1515"/>
      <c r="E342" s="536"/>
      <c r="F342" s="536"/>
      <c r="G342" s="536"/>
    </row>
    <row r="343" spans="1:7" ht="36" x14ac:dyDescent="0.25">
      <c r="A343" s="802" t="s">
        <v>31</v>
      </c>
      <c r="B343" s="802" t="s">
        <v>12</v>
      </c>
      <c r="C343" s="1960" t="s">
        <v>13</v>
      </c>
      <c r="D343" s="1961"/>
      <c r="E343" s="1516" t="s">
        <v>14</v>
      </c>
      <c r="F343" s="786" t="s">
        <v>15</v>
      </c>
      <c r="G343" s="1517" t="s">
        <v>301</v>
      </c>
    </row>
    <row r="344" spans="1:7" x14ac:dyDescent="0.25">
      <c r="A344" s="446">
        <v>1</v>
      </c>
      <c r="B344" s="443">
        <v>2</v>
      </c>
      <c r="C344" s="1838">
        <v>3</v>
      </c>
      <c r="D344" s="1839"/>
      <c r="E344" s="710">
        <v>4</v>
      </c>
      <c r="F344" s="392">
        <v>5</v>
      </c>
      <c r="G344" s="447">
        <v>7</v>
      </c>
    </row>
    <row r="345" spans="1:7" x14ac:dyDescent="0.25">
      <c r="A345" s="541" t="s">
        <v>1921</v>
      </c>
      <c r="B345" s="1518" t="s">
        <v>323</v>
      </c>
      <c r="C345" s="1519"/>
      <c r="D345" s="1520"/>
      <c r="E345" s="1521"/>
      <c r="F345" s="1522"/>
      <c r="G345" s="447"/>
    </row>
    <row r="346" spans="1:7" ht="36" x14ac:dyDescent="0.25">
      <c r="A346" s="541" t="s">
        <v>1922</v>
      </c>
      <c r="B346" s="1518" t="s">
        <v>1923</v>
      </c>
      <c r="C346" s="1519"/>
      <c r="D346" s="1520"/>
      <c r="E346" s="1521"/>
      <c r="F346" s="1522"/>
      <c r="G346" s="447"/>
    </row>
    <row r="347" spans="1:7" ht="36" x14ac:dyDescent="0.25">
      <c r="A347" s="541" t="s">
        <v>1924</v>
      </c>
      <c r="B347" s="1518" t="s">
        <v>1925</v>
      </c>
      <c r="C347" s="1519"/>
      <c r="D347" s="1520"/>
      <c r="E347" s="1521"/>
      <c r="F347" s="1522"/>
      <c r="G347" s="447"/>
    </row>
    <row r="348" spans="1:7" ht="24" x14ac:dyDescent="0.25">
      <c r="A348" s="541"/>
      <c r="B348" s="1518" t="s">
        <v>1926</v>
      </c>
      <c r="C348" s="559"/>
      <c r="D348" s="1520"/>
      <c r="E348" s="1521"/>
      <c r="F348" s="1522"/>
      <c r="G348" s="447"/>
    </row>
    <row r="349" spans="1:7" ht="15.75" thickBot="1" x14ac:dyDescent="0.3">
      <c r="A349" s="544"/>
      <c r="B349" s="1523" t="s">
        <v>2815</v>
      </c>
      <c r="C349" s="559">
        <v>1</v>
      </c>
      <c r="D349" s="1520" t="s">
        <v>520</v>
      </c>
      <c r="E349" s="1521">
        <v>1500000</v>
      </c>
      <c r="F349" s="1522">
        <f>E349*C349</f>
        <v>1500000</v>
      </c>
      <c r="G349" s="447"/>
    </row>
    <row r="350" spans="1:7" ht="15.75" thickBot="1" x14ac:dyDescent="0.3">
      <c r="A350" s="576"/>
      <c r="B350" s="1912" t="s">
        <v>613</v>
      </c>
      <c r="C350" s="1913"/>
      <c r="D350" s="1913"/>
      <c r="E350" s="1914"/>
      <c r="F350" s="1525">
        <f>SUM(F349:F349)</f>
        <v>1500000</v>
      </c>
      <c r="G350" s="447"/>
    </row>
    <row r="351" spans="1:7" x14ac:dyDescent="0.25">
      <c r="A351" s="541"/>
      <c r="B351" s="1527" t="s">
        <v>1927</v>
      </c>
      <c r="C351" s="1524"/>
      <c r="D351" s="1528"/>
      <c r="E351" s="576"/>
      <c r="F351" s="1529"/>
      <c r="G351" s="447"/>
    </row>
    <row r="352" spans="1:7" x14ac:dyDescent="0.25">
      <c r="A352" s="541"/>
      <c r="B352" s="719" t="s">
        <v>1928</v>
      </c>
      <c r="C352" s="392">
        <v>70</v>
      </c>
      <c r="D352" s="393" t="s">
        <v>461</v>
      </c>
      <c r="E352" s="924">
        <v>143000</v>
      </c>
      <c r="F352" s="1522">
        <f>E352*C352</f>
        <v>10010000</v>
      </c>
      <c r="G352" s="447"/>
    </row>
    <row r="353" spans="1:20" ht="15.75" thickBot="1" x14ac:dyDescent="0.3">
      <c r="A353" s="541"/>
      <c r="B353" s="1530" t="s">
        <v>1929</v>
      </c>
      <c r="C353" s="1531">
        <v>140</v>
      </c>
      <c r="D353" s="1064" t="s">
        <v>461</v>
      </c>
      <c r="E353" s="1542">
        <v>130000</v>
      </c>
      <c r="F353" s="1533">
        <f>E353*C353</f>
        <v>18200000</v>
      </c>
      <c r="G353" s="447"/>
      <c r="H353" s="451"/>
    </row>
    <row r="354" spans="1:20" ht="15.75" thickBot="1" x14ac:dyDescent="0.3">
      <c r="A354" s="1534"/>
      <c r="B354" s="1915" t="s">
        <v>613</v>
      </c>
      <c r="C354" s="1916"/>
      <c r="D354" s="1916"/>
      <c r="E354" s="1917"/>
      <c r="F354" s="1525">
        <f>SUM(F352:F353)</f>
        <v>28210000</v>
      </c>
      <c r="G354" s="1526"/>
      <c r="H354" s="175"/>
    </row>
    <row r="355" spans="1:20" x14ac:dyDescent="0.25">
      <c r="A355" s="541"/>
      <c r="B355" s="1535" t="s">
        <v>1930</v>
      </c>
      <c r="C355" s="1524"/>
      <c r="D355" s="1528"/>
      <c r="E355" s="576"/>
      <c r="F355" s="1529"/>
      <c r="G355" s="447"/>
      <c r="H355" s="175"/>
    </row>
    <row r="356" spans="1:20" x14ac:dyDescent="0.25">
      <c r="A356" s="576"/>
      <c r="B356" s="396" t="s">
        <v>1931</v>
      </c>
      <c r="C356" s="392">
        <v>4500</v>
      </c>
      <c r="D356" s="393" t="s">
        <v>123</v>
      </c>
      <c r="E356" s="399">
        <v>6000</v>
      </c>
      <c r="F356" s="1522">
        <f>E356*C356</f>
        <v>27000000</v>
      </c>
      <c r="G356" s="447"/>
      <c r="H356" s="175"/>
    </row>
    <row r="357" spans="1:20" x14ac:dyDescent="0.25">
      <c r="A357" s="576"/>
      <c r="B357" s="396" t="s">
        <v>1932</v>
      </c>
      <c r="C357" s="392">
        <v>9</v>
      </c>
      <c r="D357" s="393" t="s">
        <v>984</v>
      </c>
      <c r="E357" s="399">
        <v>626000</v>
      </c>
      <c r="F357" s="1522">
        <f t="shared" ref="F357:F366" si="8">E357*C357</f>
        <v>5634000</v>
      </c>
      <c r="G357" s="447"/>
    </row>
    <row r="358" spans="1:20" x14ac:dyDescent="0.25">
      <c r="A358" s="576"/>
      <c r="B358" s="1523" t="s">
        <v>1933</v>
      </c>
      <c r="C358" s="559">
        <v>3</v>
      </c>
      <c r="D358" s="1520" t="s">
        <v>984</v>
      </c>
      <c r="E358" s="1521">
        <v>991000</v>
      </c>
      <c r="F358" s="1522">
        <f t="shared" si="8"/>
        <v>2973000</v>
      </c>
      <c r="G358" s="447"/>
    </row>
    <row r="359" spans="1:20" x14ac:dyDescent="0.25">
      <c r="A359" s="576"/>
      <c r="B359" s="1523" t="s">
        <v>1934</v>
      </c>
      <c r="C359" s="559">
        <v>8</v>
      </c>
      <c r="D359" s="1520" t="s">
        <v>1935</v>
      </c>
      <c r="E359" s="1521">
        <v>78000</v>
      </c>
      <c r="F359" s="1522">
        <f t="shared" si="8"/>
        <v>624000</v>
      </c>
      <c r="G359" s="447"/>
    </row>
    <row r="360" spans="1:20" x14ac:dyDescent="0.25">
      <c r="A360" s="576"/>
      <c r="B360" s="1523" t="s">
        <v>1936</v>
      </c>
      <c r="C360" s="559">
        <v>6</v>
      </c>
      <c r="D360" s="1520" t="s">
        <v>1935</v>
      </c>
      <c r="E360" s="1521">
        <v>74000</v>
      </c>
      <c r="F360" s="1522">
        <f t="shared" si="8"/>
        <v>444000</v>
      </c>
      <c r="G360" s="447"/>
    </row>
    <row r="361" spans="1:20" x14ac:dyDescent="0.25">
      <c r="A361" s="576"/>
      <c r="B361" s="1523" t="s">
        <v>1937</v>
      </c>
      <c r="C361" s="559">
        <v>1500</v>
      </c>
      <c r="D361" s="1520" t="s">
        <v>1938</v>
      </c>
      <c r="E361" s="1521">
        <v>3000</v>
      </c>
      <c r="F361" s="1522">
        <f t="shared" si="8"/>
        <v>4500000</v>
      </c>
      <c r="G361" s="447"/>
    </row>
    <row r="362" spans="1:20" x14ac:dyDescent="0.25">
      <c r="A362" s="576"/>
      <c r="B362" s="1523" t="s">
        <v>1939</v>
      </c>
      <c r="C362" s="559">
        <v>10</v>
      </c>
      <c r="D362" s="1520" t="s">
        <v>1940</v>
      </c>
      <c r="E362" s="1521">
        <v>164000</v>
      </c>
      <c r="F362" s="1522">
        <f t="shared" si="8"/>
        <v>1640000</v>
      </c>
      <c r="G362" s="447"/>
    </row>
    <row r="363" spans="1:20" x14ac:dyDescent="0.25">
      <c r="A363" s="576"/>
      <c r="B363" s="1523" t="s">
        <v>1941</v>
      </c>
      <c r="C363" s="559">
        <v>6</v>
      </c>
      <c r="D363" s="1520" t="s">
        <v>1940</v>
      </c>
      <c r="E363" s="1521">
        <v>348000</v>
      </c>
      <c r="F363" s="1522">
        <f t="shared" si="8"/>
        <v>2088000</v>
      </c>
      <c r="G363" s="447"/>
    </row>
    <row r="364" spans="1:20" x14ac:dyDescent="0.25">
      <c r="A364" s="541"/>
      <c r="B364" s="1523" t="s">
        <v>1942</v>
      </c>
      <c r="C364" s="559">
        <v>300</v>
      </c>
      <c r="D364" s="1520" t="s">
        <v>123</v>
      </c>
      <c r="E364" s="1521">
        <v>6000</v>
      </c>
      <c r="F364" s="1522">
        <f t="shared" si="8"/>
        <v>1800000</v>
      </c>
      <c r="G364" s="447"/>
    </row>
    <row r="365" spans="1:20" x14ac:dyDescent="0.25">
      <c r="A365" s="720"/>
      <c r="B365" s="1536" t="s">
        <v>1943</v>
      </c>
      <c r="C365" s="1537">
        <v>1</v>
      </c>
      <c r="D365" s="1538" t="s">
        <v>123</v>
      </c>
      <c r="E365" s="1539">
        <v>250000</v>
      </c>
      <c r="F365" s="1533">
        <f t="shared" si="8"/>
        <v>250000</v>
      </c>
      <c r="G365" s="447"/>
    </row>
    <row r="366" spans="1:20" ht="15.75" thickBot="1" x14ac:dyDescent="0.3">
      <c r="A366" s="544"/>
      <c r="B366" s="1536" t="s">
        <v>1944</v>
      </c>
      <c r="C366" s="1537">
        <v>1</v>
      </c>
      <c r="D366" s="1538" t="s">
        <v>123</v>
      </c>
      <c r="E366" s="1539">
        <v>500000</v>
      </c>
      <c r="F366" s="1533">
        <f t="shared" si="8"/>
        <v>500000</v>
      </c>
      <c r="G366" s="447"/>
    </row>
    <row r="367" spans="1:20" ht="15.75" thickBot="1" x14ac:dyDescent="0.3">
      <c r="A367" s="1524"/>
      <c r="B367" s="1912" t="s">
        <v>613</v>
      </c>
      <c r="C367" s="1913"/>
      <c r="D367" s="1913"/>
      <c r="E367" s="1914"/>
      <c r="F367" s="1525">
        <f>SUM(F356:F366)</f>
        <v>47453000</v>
      </c>
      <c r="G367" s="1526"/>
    </row>
    <row r="368" spans="1:20" ht="15.75" thickBot="1" x14ac:dyDescent="0.3">
      <c r="A368" s="1524"/>
      <c r="B368" s="1912" t="s">
        <v>27</v>
      </c>
      <c r="C368" s="1913"/>
      <c r="D368" s="1913"/>
      <c r="E368" s="1914"/>
      <c r="F368" s="1525">
        <f>F367+F354+F350</f>
        <v>77163000</v>
      </c>
      <c r="G368" s="1540" t="s">
        <v>2620</v>
      </c>
      <c r="K368" s="1190">
        <f>F368</f>
        <v>77163000</v>
      </c>
      <c r="T368" s="1190"/>
    </row>
    <row r="369" spans="1:7" x14ac:dyDescent="0.25">
      <c r="A369" s="1807" t="s">
        <v>614</v>
      </c>
      <c r="B369" s="1807"/>
      <c r="C369" s="5" t="s">
        <v>28</v>
      </c>
      <c r="D369" s="1808" t="s">
        <v>1698</v>
      </c>
      <c r="E369" s="1808"/>
      <c r="F369" s="1808"/>
      <c r="G369" s="5"/>
    </row>
    <row r="370" spans="1:7" x14ac:dyDescent="0.25">
      <c r="A370" s="1807" t="s">
        <v>29</v>
      </c>
      <c r="B370" s="1807"/>
      <c r="C370" s="5"/>
      <c r="D370" s="1809" t="s">
        <v>2990</v>
      </c>
      <c r="E370" s="1809"/>
      <c r="F370" s="1809"/>
      <c r="G370" s="5"/>
    </row>
    <row r="371" spans="1:7" x14ac:dyDescent="0.25">
      <c r="A371" s="1"/>
      <c r="B371" s="3"/>
      <c r="C371" s="5"/>
      <c r="D371" s="7"/>
      <c r="E371" s="17"/>
      <c r="F371" s="17"/>
      <c r="G371" s="5"/>
    </row>
    <row r="372" spans="1:7" x14ac:dyDescent="0.25">
      <c r="A372" s="1"/>
      <c r="B372" s="3"/>
      <c r="C372" s="5"/>
      <c r="D372" s="7"/>
      <c r="E372" s="17"/>
      <c r="F372" s="17"/>
      <c r="G372" s="5"/>
    </row>
    <row r="373" spans="1:7" x14ac:dyDescent="0.25">
      <c r="A373" s="1807"/>
      <c r="B373" s="1807"/>
      <c r="C373" s="5"/>
      <c r="D373" s="7"/>
      <c r="E373" s="1807"/>
      <c r="F373" s="1807"/>
      <c r="G373" s="5"/>
    </row>
    <row r="374" spans="1:7" x14ac:dyDescent="0.25">
      <c r="A374" s="1807" t="s">
        <v>30</v>
      </c>
      <c r="B374" s="1807"/>
      <c r="C374" s="5"/>
      <c r="D374" s="1807" t="s">
        <v>2991</v>
      </c>
      <c r="E374" s="1807"/>
      <c r="F374" s="1807"/>
      <c r="G374" s="5"/>
    </row>
    <row r="375" spans="1:7" x14ac:dyDescent="0.25">
      <c r="A375" s="136"/>
      <c r="B375" s="136"/>
      <c r="C375" s="5"/>
      <c r="D375" s="136"/>
      <c r="E375" s="136"/>
      <c r="F375" s="136"/>
      <c r="G375" s="5"/>
    </row>
    <row r="376" spans="1:7" x14ac:dyDescent="0.25">
      <c r="A376" s="1965" t="s">
        <v>0</v>
      </c>
      <c r="B376" s="1965"/>
      <c r="C376" s="1965"/>
      <c r="D376" s="1965"/>
      <c r="E376" s="1965"/>
      <c r="F376" s="1965"/>
      <c r="G376" s="1965"/>
    </row>
    <row r="377" spans="1:7" x14ac:dyDescent="0.25">
      <c r="A377" s="1965" t="s">
        <v>1</v>
      </c>
      <c r="B377" s="1965"/>
      <c r="C377" s="1965"/>
      <c r="D377" s="1965"/>
      <c r="E377" s="1965"/>
      <c r="F377" s="1965"/>
      <c r="G377" s="1965"/>
    </row>
    <row r="378" spans="1:7" x14ac:dyDescent="0.25">
      <c r="A378" s="1965" t="s">
        <v>1697</v>
      </c>
      <c r="B378" s="1965"/>
      <c r="C378" s="1965"/>
      <c r="D378" s="1965"/>
      <c r="E378" s="1965"/>
      <c r="F378" s="1965"/>
      <c r="G378" s="1965"/>
    </row>
    <row r="379" spans="1:7" x14ac:dyDescent="0.25">
      <c r="A379" s="39"/>
      <c r="B379" s="39"/>
      <c r="C379" s="39"/>
      <c r="D379" s="39"/>
      <c r="E379" s="39"/>
      <c r="F379" s="39"/>
      <c r="G379" s="526"/>
    </row>
    <row r="380" spans="1:7" x14ac:dyDescent="0.25">
      <c r="A380" s="385" t="s">
        <v>296</v>
      </c>
      <c r="B380" s="385" t="s">
        <v>1141</v>
      </c>
      <c r="C380" s="385"/>
      <c r="D380" s="385"/>
      <c r="E380" s="658"/>
      <c r="F380" s="658"/>
      <c r="G380" s="86"/>
    </row>
    <row r="381" spans="1:7" ht="25.5" x14ac:dyDescent="0.25">
      <c r="A381" s="385" t="s">
        <v>297</v>
      </c>
      <c r="B381" s="386" t="s">
        <v>1140</v>
      </c>
      <c r="C381" s="385"/>
      <c r="D381" s="385"/>
      <c r="E381" s="8" t="s">
        <v>6</v>
      </c>
      <c r="F381" s="8"/>
      <c r="G381" s="86"/>
    </row>
    <row r="382" spans="1:7" ht="38.25" x14ac:dyDescent="0.25">
      <c r="A382" s="386" t="s">
        <v>298</v>
      </c>
      <c r="B382" s="386" t="s">
        <v>1139</v>
      </c>
      <c r="C382" s="386"/>
      <c r="D382" s="386"/>
      <c r="E382" s="67" t="s">
        <v>9</v>
      </c>
      <c r="F382" s="67"/>
      <c r="G382" s="86"/>
    </row>
    <row r="383" spans="1:7" x14ac:dyDescent="0.25">
      <c r="A383" s="387" t="s">
        <v>62</v>
      </c>
      <c r="B383" s="387" t="s">
        <v>63</v>
      </c>
      <c r="C383" s="387"/>
      <c r="D383" s="388"/>
      <c r="E383" s="388"/>
      <c r="F383" s="388"/>
      <c r="G383" s="86"/>
    </row>
    <row r="384" spans="1:7" x14ac:dyDescent="0.25">
      <c r="A384" s="389" t="s">
        <v>64</v>
      </c>
      <c r="B384" s="389" t="s">
        <v>65</v>
      </c>
      <c r="C384" s="387"/>
      <c r="D384" s="1835"/>
      <c r="E384" s="1835"/>
      <c r="F384" s="388"/>
      <c r="G384" s="86"/>
    </row>
    <row r="385" spans="1:7" x14ac:dyDescent="0.25">
      <c r="A385" s="3"/>
      <c r="B385" s="3"/>
      <c r="C385" s="3"/>
      <c r="D385" s="3"/>
      <c r="E385" s="3"/>
      <c r="F385" s="3"/>
      <c r="G385" s="86"/>
    </row>
    <row r="386" spans="1:7" ht="36" x14ac:dyDescent="0.25">
      <c r="A386" s="343" t="s">
        <v>300</v>
      </c>
      <c r="B386" s="343" t="s">
        <v>12</v>
      </c>
      <c r="C386" s="1978" t="s">
        <v>13</v>
      </c>
      <c r="D386" s="1978"/>
      <c r="E386" s="107" t="s">
        <v>14</v>
      </c>
      <c r="F386" s="344" t="s">
        <v>15</v>
      </c>
      <c r="G386" s="354" t="s">
        <v>301</v>
      </c>
    </row>
    <row r="387" spans="1:7" x14ac:dyDescent="0.25">
      <c r="A387" s="144">
        <v>1</v>
      </c>
      <c r="B387" s="144">
        <v>2</v>
      </c>
      <c r="C387" s="1811">
        <v>3</v>
      </c>
      <c r="D387" s="1812"/>
      <c r="E387" s="33">
        <v>4</v>
      </c>
      <c r="F387" s="165">
        <v>5</v>
      </c>
      <c r="G387" s="355">
        <v>6</v>
      </c>
    </row>
    <row r="388" spans="1:7" x14ac:dyDescent="0.25">
      <c r="A388" s="48" t="s">
        <v>1138</v>
      </c>
      <c r="B388" s="584" t="s">
        <v>855</v>
      </c>
      <c r="C388" s="42"/>
      <c r="D388" s="43"/>
      <c r="E388" s="733"/>
      <c r="F388" s="64"/>
      <c r="G388" s="401"/>
    </row>
    <row r="389" spans="1:7" x14ac:dyDescent="0.25">
      <c r="A389" s="48" t="s">
        <v>1137</v>
      </c>
      <c r="B389" s="584" t="s">
        <v>88</v>
      </c>
      <c r="C389" s="42"/>
      <c r="D389" s="43"/>
      <c r="E389" s="733"/>
      <c r="F389" s="64"/>
      <c r="G389" s="401"/>
    </row>
    <row r="390" spans="1:7" ht="24.75" x14ac:dyDescent="0.25">
      <c r="A390" s="48" t="s">
        <v>1136</v>
      </c>
      <c r="B390" s="734" t="s">
        <v>354</v>
      </c>
      <c r="C390" s="41"/>
      <c r="D390" s="89"/>
      <c r="E390" s="59"/>
      <c r="F390" s="50"/>
      <c r="G390" s="401"/>
    </row>
    <row r="391" spans="1:7" x14ac:dyDescent="0.25">
      <c r="A391" s="735"/>
      <c r="B391" s="40" t="s">
        <v>1796</v>
      </c>
      <c r="C391" s="57">
        <v>100</v>
      </c>
      <c r="D391" s="58" t="s">
        <v>315</v>
      </c>
      <c r="E391" s="59">
        <v>75000</v>
      </c>
      <c r="F391" s="50">
        <f>E391*C391</f>
        <v>7500000</v>
      </c>
      <c r="G391" s="401"/>
    </row>
    <row r="392" spans="1:7" x14ac:dyDescent="0.25">
      <c r="A392" s="48" t="s">
        <v>1135</v>
      </c>
      <c r="B392" s="736" t="s">
        <v>1134</v>
      </c>
      <c r="C392" s="57"/>
      <c r="D392" s="58"/>
      <c r="E392" s="59"/>
      <c r="F392" s="50"/>
      <c r="G392" s="401"/>
    </row>
    <row r="393" spans="1:7" x14ac:dyDescent="0.25">
      <c r="A393" s="65"/>
      <c r="B393" s="737" t="s">
        <v>1133</v>
      </c>
      <c r="C393" s="57">
        <v>15</v>
      </c>
      <c r="D393" s="58" t="s">
        <v>1112</v>
      </c>
      <c r="E393" s="738">
        <v>50000</v>
      </c>
      <c r="F393" s="739">
        <f t="shared" ref="F393:F399" si="9">C393*E393</f>
        <v>750000</v>
      </c>
      <c r="G393" s="401"/>
    </row>
    <row r="394" spans="1:7" x14ac:dyDescent="0.25">
      <c r="A394" s="65"/>
      <c r="B394" s="737" t="s">
        <v>321</v>
      </c>
      <c r="C394" s="57">
        <v>100</v>
      </c>
      <c r="D394" s="58" t="s">
        <v>186</v>
      </c>
      <c r="E394" s="738">
        <v>1000</v>
      </c>
      <c r="F394" s="739">
        <f t="shared" si="9"/>
        <v>100000</v>
      </c>
      <c r="G394" s="401"/>
    </row>
    <row r="395" spans="1:7" x14ac:dyDescent="0.25">
      <c r="A395" s="65"/>
      <c r="B395" s="737" t="s">
        <v>335</v>
      </c>
      <c r="C395" s="57">
        <v>4</v>
      </c>
      <c r="D395" s="58" t="s">
        <v>336</v>
      </c>
      <c r="E395" s="738">
        <v>10000</v>
      </c>
      <c r="F395" s="739">
        <f t="shared" si="9"/>
        <v>40000</v>
      </c>
      <c r="G395" s="401"/>
    </row>
    <row r="396" spans="1:7" x14ac:dyDescent="0.25">
      <c r="A396" s="65"/>
      <c r="B396" s="737" t="s">
        <v>1132</v>
      </c>
      <c r="C396" s="57">
        <v>1</v>
      </c>
      <c r="D396" s="58" t="s">
        <v>1112</v>
      </c>
      <c r="E396" s="738">
        <v>125000</v>
      </c>
      <c r="F396" s="739">
        <f t="shared" si="9"/>
        <v>125000</v>
      </c>
      <c r="G396" s="401"/>
    </row>
    <row r="397" spans="1:7" x14ac:dyDescent="0.25">
      <c r="A397" s="65"/>
      <c r="B397" s="737" t="s">
        <v>1131</v>
      </c>
      <c r="C397" s="57">
        <v>1</v>
      </c>
      <c r="D397" s="58" t="s">
        <v>1112</v>
      </c>
      <c r="E397" s="738">
        <v>125000</v>
      </c>
      <c r="F397" s="739">
        <f t="shared" si="9"/>
        <v>125000</v>
      </c>
      <c r="G397" s="401"/>
    </row>
    <row r="398" spans="1:7" x14ac:dyDescent="0.25">
      <c r="A398" s="65"/>
      <c r="B398" s="737" t="s">
        <v>1130</v>
      </c>
      <c r="C398" s="57">
        <v>1</v>
      </c>
      <c r="D398" s="58" t="s">
        <v>1112</v>
      </c>
      <c r="E398" s="738">
        <v>150000</v>
      </c>
      <c r="F398" s="739">
        <f t="shared" si="9"/>
        <v>150000</v>
      </c>
      <c r="G398" s="401"/>
    </row>
    <row r="399" spans="1:7" x14ac:dyDescent="0.25">
      <c r="A399" s="65"/>
      <c r="B399" s="737" t="s">
        <v>1129</v>
      </c>
      <c r="C399" s="57">
        <v>1</v>
      </c>
      <c r="D399" s="58" t="s">
        <v>1112</v>
      </c>
      <c r="E399" s="738">
        <v>150000</v>
      </c>
      <c r="F399" s="739">
        <f t="shared" si="9"/>
        <v>150000</v>
      </c>
      <c r="G399" s="401"/>
    </row>
    <row r="400" spans="1:7" x14ac:dyDescent="0.25">
      <c r="A400" s="65"/>
      <c r="B400" s="737" t="s">
        <v>1128</v>
      </c>
      <c r="C400" s="57">
        <v>1</v>
      </c>
      <c r="D400" s="58" t="s">
        <v>1112</v>
      </c>
      <c r="E400" s="738">
        <v>3500000</v>
      </c>
      <c r="F400" s="224">
        <f>C400*E400</f>
        <v>3500000</v>
      </c>
      <c r="G400" s="401"/>
    </row>
    <row r="401" spans="1:12" x14ac:dyDescent="0.25">
      <c r="A401" s="65"/>
      <c r="B401" s="737" t="s">
        <v>1127</v>
      </c>
      <c r="C401" s="57">
        <v>2</v>
      </c>
      <c r="D401" s="58" t="s">
        <v>1112</v>
      </c>
      <c r="E401" s="738">
        <v>250000</v>
      </c>
      <c r="F401" s="739">
        <f>C401*E401</f>
        <v>500000</v>
      </c>
      <c r="G401" s="401"/>
    </row>
    <row r="402" spans="1:12" x14ac:dyDescent="0.25">
      <c r="A402" s="65"/>
      <c r="B402" s="737" t="s">
        <v>1126</v>
      </c>
      <c r="C402" s="57">
        <v>2</v>
      </c>
      <c r="D402" s="58" t="s">
        <v>1125</v>
      </c>
      <c r="E402" s="738">
        <v>50000</v>
      </c>
      <c r="F402" s="739">
        <f>C402*E402</f>
        <v>100000</v>
      </c>
      <c r="G402" s="401"/>
    </row>
    <row r="403" spans="1:12" x14ac:dyDescent="0.25">
      <c r="A403" s="65"/>
      <c r="B403" s="737" t="s">
        <v>1124</v>
      </c>
      <c r="C403" s="57">
        <v>10</v>
      </c>
      <c r="D403" s="58" t="s">
        <v>1112</v>
      </c>
      <c r="E403" s="739">
        <v>25000</v>
      </c>
      <c r="F403" s="739">
        <f>C403*E403</f>
        <v>250000</v>
      </c>
      <c r="G403" s="66"/>
    </row>
    <row r="404" spans="1:12" x14ac:dyDescent="0.25">
      <c r="A404" s="65"/>
      <c r="B404" s="737" t="s">
        <v>1123</v>
      </c>
      <c r="C404" s="57">
        <v>1</v>
      </c>
      <c r="D404" s="58" t="s">
        <v>95</v>
      </c>
      <c r="E404" s="739">
        <v>250000</v>
      </c>
      <c r="F404" s="739">
        <f>C404*E404</f>
        <v>250000</v>
      </c>
      <c r="G404" s="66"/>
    </row>
    <row r="405" spans="1:12" x14ac:dyDescent="0.25">
      <c r="A405" s="65"/>
      <c r="B405" s="737" t="s">
        <v>1122</v>
      </c>
      <c r="C405" s="57">
        <v>1</v>
      </c>
      <c r="D405" s="58" t="s">
        <v>1112</v>
      </c>
      <c r="E405" s="739">
        <v>1050000</v>
      </c>
      <c r="F405" s="739">
        <f>E405*C405</f>
        <v>1050000</v>
      </c>
      <c r="G405" s="66"/>
    </row>
    <row r="406" spans="1:12" s="473" customFormat="1" ht="24" x14ac:dyDescent="0.25">
      <c r="A406" s="356"/>
      <c r="B406" s="740" t="s">
        <v>1121</v>
      </c>
      <c r="C406" s="57">
        <v>1</v>
      </c>
      <c r="D406" s="58" t="s">
        <v>204</v>
      </c>
      <c r="E406" s="741">
        <v>884698</v>
      </c>
      <c r="F406" s="742">
        <f>E406*C406</f>
        <v>884698</v>
      </c>
      <c r="G406" s="357"/>
    </row>
    <row r="407" spans="1:12" x14ac:dyDescent="0.25">
      <c r="A407" s="32"/>
      <c r="B407" s="743"/>
      <c r="C407" s="744"/>
      <c r="D407" s="744"/>
      <c r="E407" s="745"/>
      <c r="F407" s="50"/>
      <c r="G407" s="66"/>
    </row>
    <row r="408" spans="1:12" x14ac:dyDescent="0.25">
      <c r="A408" s="32"/>
      <c r="B408" s="2004" t="s">
        <v>27</v>
      </c>
      <c r="C408" s="2004"/>
      <c r="D408" s="2004"/>
      <c r="E408" s="2004"/>
      <c r="F408" s="746">
        <f>SUM(F391:F406)</f>
        <v>15474698</v>
      </c>
      <c r="G408" s="66" t="s">
        <v>2621</v>
      </c>
      <c r="L408" s="175">
        <f>F408</f>
        <v>15474698</v>
      </c>
    </row>
    <row r="409" spans="1:12" x14ac:dyDescent="0.25">
      <c r="A409" s="1807" t="s">
        <v>614</v>
      </c>
      <c r="B409" s="1807"/>
      <c r="C409" s="5" t="s">
        <v>28</v>
      </c>
      <c r="D409" s="1808" t="s">
        <v>1700</v>
      </c>
      <c r="E409" s="1808"/>
      <c r="F409" s="1808"/>
      <c r="G409" s="5"/>
    </row>
    <row r="410" spans="1:12" x14ac:dyDescent="0.25">
      <c r="A410" s="1807" t="s">
        <v>29</v>
      </c>
      <c r="B410" s="1807"/>
      <c r="C410" s="5"/>
      <c r="D410" s="1809" t="s">
        <v>2996</v>
      </c>
      <c r="E410" s="1809"/>
      <c r="F410" s="1809"/>
      <c r="G410" s="5"/>
    </row>
    <row r="411" spans="1:12" x14ac:dyDescent="0.25">
      <c r="A411" s="1"/>
      <c r="B411" s="3"/>
      <c r="C411" s="5"/>
      <c r="D411" s="7"/>
      <c r="E411" s="17"/>
      <c r="F411" s="17"/>
      <c r="G411" s="5"/>
    </row>
    <row r="412" spans="1:12" x14ac:dyDescent="0.25">
      <c r="A412" s="1"/>
      <c r="B412" s="3"/>
      <c r="C412" s="5"/>
      <c r="D412" s="7"/>
      <c r="E412" s="17"/>
      <c r="F412" s="17"/>
      <c r="G412" s="5"/>
    </row>
    <row r="413" spans="1:12" x14ac:dyDescent="0.25">
      <c r="A413" s="1807"/>
      <c r="B413" s="1807"/>
      <c r="C413" s="5"/>
      <c r="D413" s="7"/>
      <c r="E413" s="1807"/>
      <c r="F413" s="1807"/>
      <c r="G413" s="5"/>
    </row>
    <row r="414" spans="1:12" x14ac:dyDescent="0.25">
      <c r="A414" s="1807" t="s">
        <v>30</v>
      </c>
      <c r="B414" s="1807"/>
      <c r="C414" s="5"/>
      <c r="D414" s="1807" t="s">
        <v>2993</v>
      </c>
      <c r="E414" s="1807"/>
      <c r="F414" s="1807"/>
      <c r="G414" s="5"/>
    </row>
    <row r="415" spans="1:12" x14ac:dyDescent="0.25">
      <c r="A415" s="1987" t="s">
        <v>0</v>
      </c>
      <c r="B415" s="1987"/>
      <c r="C415" s="1987"/>
      <c r="D415" s="1987"/>
      <c r="E415" s="1987"/>
      <c r="F415" s="1987"/>
      <c r="G415" s="1987"/>
    </row>
    <row r="416" spans="1:12" x14ac:dyDescent="0.25">
      <c r="A416" s="1987" t="s">
        <v>1</v>
      </c>
      <c r="B416" s="1987"/>
      <c r="C416" s="1987"/>
      <c r="D416" s="1987"/>
      <c r="E416" s="1987"/>
      <c r="F416" s="1987"/>
      <c r="G416" s="1987"/>
    </row>
    <row r="417" spans="1:7" x14ac:dyDescent="0.25">
      <c r="A417" s="1987" t="s">
        <v>1697</v>
      </c>
      <c r="B417" s="1987"/>
      <c r="C417" s="1987"/>
      <c r="D417" s="1987"/>
      <c r="E417" s="1987"/>
      <c r="F417" s="1987"/>
      <c r="G417" s="1987"/>
    </row>
    <row r="418" spans="1:7" x14ac:dyDescent="0.25">
      <c r="A418" s="747"/>
      <c r="B418" s="747"/>
      <c r="C418" s="747"/>
      <c r="D418" s="747"/>
      <c r="E418" s="747"/>
      <c r="F418" s="747"/>
      <c r="G418" s="747"/>
    </row>
    <row r="419" spans="1:7" x14ac:dyDescent="0.25">
      <c r="A419" s="748" t="s">
        <v>296</v>
      </c>
      <c r="B419" s="748" t="s">
        <v>1154</v>
      </c>
      <c r="C419" s="748"/>
      <c r="D419" s="748"/>
      <c r="E419" s="749"/>
      <c r="F419" s="749"/>
      <c r="G419" s="358"/>
    </row>
    <row r="420" spans="1:7" x14ac:dyDescent="0.25">
      <c r="A420" s="748" t="s">
        <v>297</v>
      </c>
      <c r="B420" s="750" t="s">
        <v>1153</v>
      </c>
      <c r="C420" s="748"/>
      <c r="D420" s="748"/>
      <c r="E420" s="109" t="s">
        <v>6</v>
      </c>
      <c r="F420" s="109" t="s">
        <v>65</v>
      </c>
      <c r="G420" s="358"/>
    </row>
    <row r="421" spans="1:7" ht="38.25" x14ac:dyDescent="0.25">
      <c r="A421" s="750" t="s">
        <v>298</v>
      </c>
      <c r="B421" s="750" t="s">
        <v>1152</v>
      </c>
      <c r="C421" s="750"/>
      <c r="D421" s="750"/>
      <c r="E421" s="108" t="s">
        <v>573</v>
      </c>
      <c r="F421" s="108" t="s">
        <v>65</v>
      </c>
      <c r="G421" s="358"/>
    </row>
    <row r="422" spans="1:7" x14ac:dyDescent="0.25">
      <c r="A422" s="751" t="s">
        <v>62</v>
      </c>
      <c r="B422" s="751" t="s">
        <v>63</v>
      </c>
      <c r="C422" s="751"/>
      <c r="D422" s="752"/>
      <c r="E422" s="752"/>
      <c r="F422" s="752"/>
      <c r="G422" s="358"/>
    </row>
    <row r="423" spans="1:7" x14ac:dyDescent="0.25">
      <c r="A423" s="753" t="s">
        <v>64</v>
      </c>
      <c r="B423" s="753" t="s">
        <v>65</v>
      </c>
      <c r="C423" s="751"/>
      <c r="D423" s="1988"/>
      <c r="E423" s="1988"/>
      <c r="F423" s="752"/>
      <c r="G423" s="358"/>
    </row>
    <row r="424" spans="1:7" x14ac:dyDescent="0.25">
      <c r="A424" s="3"/>
      <c r="B424" s="3"/>
      <c r="C424" s="3"/>
      <c r="D424" s="3"/>
      <c r="E424" s="3"/>
      <c r="F424" s="3"/>
    </row>
    <row r="425" spans="1:7" ht="36" x14ac:dyDescent="0.25">
      <c r="A425" s="343" t="s">
        <v>300</v>
      </c>
      <c r="B425" s="343" t="s">
        <v>12</v>
      </c>
      <c r="C425" s="1978" t="s">
        <v>13</v>
      </c>
      <c r="D425" s="1978"/>
      <c r="E425" s="107" t="s">
        <v>14</v>
      </c>
      <c r="F425" s="344" t="s">
        <v>15</v>
      </c>
      <c r="G425" s="359" t="s">
        <v>301</v>
      </c>
    </row>
    <row r="426" spans="1:7" x14ac:dyDescent="0.25">
      <c r="A426" s="144">
        <v>1</v>
      </c>
      <c r="B426" s="144">
        <v>2</v>
      </c>
      <c r="C426" s="1811">
        <v>3</v>
      </c>
      <c r="D426" s="1812"/>
      <c r="E426" s="33">
        <v>4</v>
      </c>
      <c r="F426" s="165">
        <v>5</v>
      </c>
      <c r="G426" s="268">
        <v>6</v>
      </c>
    </row>
    <row r="427" spans="1:7" x14ac:dyDescent="0.25">
      <c r="A427" s="2"/>
      <c r="B427" s="584" t="s">
        <v>1151</v>
      </c>
      <c r="C427" s="42"/>
      <c r="D427" s="43"/>
      <c r="E427" s="754"/>
      <c r="F427" s="64"/>
      <c r="G427" s="394"/>
    </row>
    <row r="428" spans="1:7" x14ac:dyDescent="0.25">
      <c r="A428" s="48" t="s">
        <v>1138</v>
      </c>
      <c r="B428" s="584" t="s">
        <v>855</v>
      </c>
      <c r="C428" s="42"/>
      <c r="D428" s="43"/>
      <c r="E428" s="754"/>
      <c r="F428" s="64"/>
      <c r="G428" s="394"/>
    </row>
    <row r="429" spans="1:7" x14ac:dyDescent="0.25">
      <c r="A429" s="65" t="s">
        <v>1137</v>
      </c>
      <c r="B429" s="584" t="s">
        <v>88</v>
      </c>
      <c r="C429" s="41"/>
      <c r="D429" s="89"/>
      <c r="E429" s="59"/>
      <c r="F429" s="50"/>
      <c r="G429" s="394"/>
    </row>
    <row r="430" spans="1:7" x14ac:dyDescent="0.25">
      <c r="A430" s="65" t="s">
        <v>1135</v>
      </c>
      <c r="B430" s="736" t="s">
        <v>1134</v>
      </c>
      <c r="C430" s="41"/>
      <c r="D430" s="89"/>
      <c r="E430" s="59"/>
      <c r="F430" s="50"/>
      <c r="G430" s="394"/>
    </row>
    <row r="431" spans="1:7" ht="24.75" x14ac:dyDescent="0.25">
      <c r="A431" s="16"/>
      <c r="B431" s="60" t="s">
        <v>1150</v>
      </c>
      <c r="C431" s="57">
        <v>46</v>
      </c>
      <c r="D431" s="58" t="s">
        <v>1112</v>
      </c>
      <c r="E431" s="755">
        <v>50000</v>
      </c>
      <c r="F431" s="755">
        <f>C431*E431</f>
        <v>2300000</v>
      </c>
      <c r="G431" s="394"/>
    </row>
    <row r="432" spans="1:7" x14ac:dyDescent="0.25">
      <c r="A432" s="16"/>
      <c r="B432" s="60" t="s">
        <v>1149</v>
      </c>
      <c r="C432" s="57">
        <v>12</v>
      </c>
      <c r="D432" s="58" t="s">
        <v>1112</v>
      </c>
      <c r="E432" s="755">
        <v>50000</v>
      </c>
      <c r="F432" s="755">
        <f t="shared" ref="F432:F440" si="10">C432*E432</f>
        <v>600000</v>
      </c>
      <c r="G432" s="394"/>
    </row>
    <row r="433" spans="1:12" x14ac:dyDescent="0.25">
      <c r="A433" s="16"/>
      <c r="B433" s="60" t="s">
        <v>321</v>
      </c>
      <c r="C433" s="57">
        <v>360</v>
      </c>
      <c r="D433" s="58" t="s">
        <v>186</v>
      </c>
      <c r="E433" s="755">
        <v>1000</v>
      </c>
      <c r="F433" s="755">
        <f t="shared" si="10"/>
        <v>360000</v>
      </c>
      <c r="G433" s="394"/>
    </row>
    <row r="434" spans="1:12" x14ac:dyDescent="0.25">
      <c r="A434" s="16"/>
      <c r="B434" s="40" t="s">
        <v>335</v>
      </c>
      <c r="C434" s="57">
        <v>12</v>
      </c>
      <c r="D434" s="58" t="s">
        <v>336</v>
      </c>
      <c r="E434" s="755">
        <v>10000</v>
      </c>
      <c r="F434" s="755">
        <f t="shared" si="10"/>
        <v>120000</v>
      </c>
      <c r="G434" s="394"/>
    </row>
    <row r="435" spans="1:12" x14ac:dyDescent="0.25">
      <c r="A435" s="16"/>
      <c r="B435" s="40" t="s">
        <v>1148</v>
      </c>
      <c r="C435" s="57">
        <v>2</v>
      </c>
      <c r="D435" s="58" t="s">
        <v>1112</v>
      </c>
      <c r="E435" s="755">
        <v>500000</v>
      </c>
      <c r="F435" s="755">
        <f t="shared" si="10"/>
        <v>1000000</v>
      </c>
      <c r="G435" s="394"/>
    </row>
    <row r="436" spans="1:12" x14ac:dyDescent="0.25">
      <c r="A436" s="16"/>
      <c r="B436" s="40" t="s">
        <v>1147</v>
      </c>
      <c r="C436" s="57">
        <v>2</v>
      </c>
      <c r="D436" s="58" t="s">
        <v>1112</v>
      </c>
      <c r="E436" s="755">
        <v>500000</v>
      </c>
      <c r="F436" s="755">
        <f t="shared" si="10"/>
        <v>1000000</v>
      </c>
      <c r="G436" s="394"/>
    </row>
    <row r="437" spans="1:12" x14ac:dyDescent="0.25">
      <c r="A437" s="16"/>
      <c r="B437" s="40" t="s">
        <v>1146</v>
      </c>
      <c r="C437" s="57">
        <v>2</v>
      </c>
      <c r="D437" s="58" t="s">
        <v>1112</v>
      </c>
      <c r="E437" s="755">
        <v>500000</v>
      </c>
      <c r="F437" s="755">
        <f t="shared" si="10"/>
        <v>1000000</v>
      </c>
      <c r="G437" s="394"/>
    </row>
    <row r="438" spans="1:12" x14ac:dyDescent="0.25">
      <c r="A438" s="16"/>
      <c r="B438" s="40" t="s">
        <v>1145</v>
      </c>
      <c r="C438" s="57">
        <v>1</v>
      </c>
      <c r="D438" s="58" t="s">
        <v>1112</v>
      </c>
      <c r="E438" s="755">
        <v>800000</v>
      </c>
      <c r="F438" s="755">
        <f t="shared" si="10"/>
        <v>800000</v>
      </c>
      <c r="G438" s="394"/>
    </row>
    <row r="439" spans="1:12" x14ac:dyDescent="0.25">
      <c r="A439" s="16"/>
      <c r="B439" s="40" t="s">
        <v>1144</v>
      </c>
      <c r="C439" s="57">
        <v>1</v>
      </c>
      <c r="D439" s="58" t="s">
        <v>1112</v>
      </c>
      <c r="E439" s="755">
        <v>800000</v>
      </c>
      <c r="F439" s="755">
        <f t="shared" si="10"/>
        <v>800000</v>
      </c>
      <c r="G439" s="394"/>
    </row>
    <row r="440" spans="1:12" x14ac:dyDescent="0.25">
      <c r="A440" s="16"/>
      <c r="B440" s="40" t="s">
        <v>1142</v>
      </c>
      <c r="C440" s="41">
        <v>2</v>
      </c>
      <c r="D440" s="679" t="s">
        <v>1112</v>
      </c>
      <c r="E440" s="756">
        <v>250000</v>
      </c>
      <c r="F440" s="755">
        <f t="shared" si="10"/>
        <v>500000</v>
      </c>
      <c r="G440" s="394"/>
    </row>
    <row r="441" spans="1:12" x14ac:dyDescent="0.25">
      <c r="A441" s="16"/>
      <c r="B441" s="40"/>
      <c r="C441" s="757"/>
      <c r="D441" s="758"/>
      <c r="E441" s="759"/>
      <c r="F441" s="756"/>
      <c r="G441" s="394"/>
    </row>
    <row r="442" spans="1:12" x14ac:dyDescent="0.25">
      <c r="A442" s="16"/>
      <c r="B442" s="1989" t="s">
        <v>27</v>
      </c>
      <c r="C442" s="1990"/>
      <c r="D442" s="1990"/>
      <c r="E442" s="1990"/>
      <c r="F442" s="680">
        <f>SUM(F431:F440)</f>
        <v>8480000</v>
      </c>
      <c r="G442" s="394" t="s">
        <v>2621</v>
      </c>
      <c r="L442" s="175">
        <f>F442</f>
        <v>8480000</v>
      </c>
    </row>
    <row r="443" spans="1:12" x14ac:dyDescent="0.25">
      <c r="A443" s="1807" t="s">
        <v>614</v>
      </c>
      <c r="B443" s="1807"/>
      <c r="C443" s="5" t="s">
        <v>28</v>
      </c>
      <c r="D443" s="1808" t="s">
        <v>1700</v>
      </c>
      <c r="E443" s="1808"/>
      <c r="F443" s="1808"/>
      <c r="G443" s="5"/>
    </row>
    <row r="444" spans="1:12" x14ac:dyDescent="0.25">
      <c r="A444" s="1807" t="s">
        <v>29</v>
      </c>
      <c r="B444" s="1807"/>
      <c r="C444" s="5"/>
      <c r="D444" s="1809" t="s">
        <v>2996</v>
      </c>
      <c r="E444" s="1809"/>
      <c r="F444" s="1809"/>
      <c r="G444" s="5"/>
    </row>
    <row r="445" spans="1:12" x14ac:dyDescent="0.25">
      <c r="A445" s="1"/>
      <c r="B445" s="3"/>
      <c r="C445" s="5"/>
      <c r="D445" s="7"/>
      <c r="E445" s="17"/>
      <c r="F445" s="17"/>
      <c r="G445" s="5"/>
    </row>
    <row r="446" spans="1:12" x14ac:dyDescent="0.25">
      <c r="A446" s="1"/>
      <c r="B446" s="3"/>
      <c r="C446" s="5"/>
      <c r="D446" s="7"/>
      <c r="E446" s="17"/>
      <c r="F446" s="17"/>
      <c r="G446" s="5"/>
    </row>
    <row r="447" spans="1:12" x14ac:dyDescent="0.25">
      <c r="A447" s="1807"/>
      <c r="B447" s="1807"/>
      <c r="C447" s="5"/>
      <c r="D447" s="7"/>
      <c r="E447" s="1807"/>
      <c r="F447" s="1807"/>
      <c r="G447" s="5"/>
    </row>
    <row r="448" spans="1:12" x14ac:dyDescent="0.25">
      <c r="A448" s="1807" t="s">
        <v>30</v>
      </c>
      <c r="B448" s="1807"/>
      <c r="C448" s="5"/>
      <c r="D448" s="1807" t="s">
        <v>2993</v>
      </c>
      <c r="E448" s="1807"/>
      <c r="F448" s="1807"/>
      <c r="G448" s="5"/>
    </row>
    <row r="449" spans="1:7" x14ac:dyDescent="0.25">
      <c r="A449" s="1987" t="s">
        <v>0</v>
      </c>
      <c r="B449" s="1987"/>
      <c r="C449" s="1987"/>
      <c r="D449" s="1987"/>
      <c r="E449" s="1987"/>
      <c r="F449" s="1987"/>
      <c r="G449" s="1987"/>
    </row>
    <row r="450" spans="1:7" x14ac:dyDescent="0.25">
      <c r="A450" s="1987" t="s">
        <v>1</v>
      </c>
      <c r="B450" s="1987"/>
      <c r="C450" s="1987"/>
      <c r="D450" s="1987"/>
      <c r="E450" s="1987"/>
      <c r="F450" s="1987"/>
      <c r="G450" s="1987"/>
    </row>
    <row r="451" spans="1:7" x14ac:dyDescent="0.25">
      <c r="A451" s="1987" t="s">
        <v>1697</v>
      </c>
      <c r="B451" s="1987"/>
      <c r="C451" s="1987"/>
      <c r="D451" s="1987"/>
      <c r="E451" s="1987"/>
      <c r="F451" s="1987"/>
      <c r="G451" s="1987"/>
    </row>
    <row r="452" spans="1:7" x14ac:dyDescent="0.25">
      <c r="A452" s="747"/>
      <c r="B452" s="747"/>
      <c r="C452" s="747"/>
      <c r="D452" s="747"/>
      <c r="E452" s="747"/>
      <c r="F452" s="747"/>
      <c r="G452" s="747"/>
    </row>
    <row r="453" spans="1:7" x14ac:dyDescent="0.25">
      <c r="A453" s="748" t="s">
        <v>296</v>
      </c>
      <c r="B453" s="748" t="s">
        <v>1154</v>
      </c>
      <c r="C453" s="748"/>
      <c r="D453" s="748"/>
      <c r="E453" s="749"/>
      <c r="F453" s="749"/>
      <c r="G453" s="358"/>
    </row>
    <row r="454" spans="1:7" x14ac:dyDescent="0.25">
      <c r="A454" s="748" t="s">
        <v>297</v>
      </c>
      <c r="B454" s="750" t="s">
        <v>1153</v>
      </c>
      <c r="C454" s="748"/>
      <c r="D454" s="748"/>
      <c r="E454" s="109" t="s">
        <v>6</v>
      </c>
      <c r="F454" s="109" t="s">
        <v>65</v>
      </c>
      <c r="G454" s="358"/>
    </row>
    <row r="455" spans="1:7" ht="38.25" x14ac:dyDescent="0.25">
      <c r="A455" s="750" t="s">
        <v>298</v>
      </c>
      <c r="B455" s="750" t="s">
        <v>2858</v>
      </c>
      <c r="C455" s="750"/>
      <c r="D455" s="750"/>
      <c r="E455" s="108" t="s">
        <v>573</v>
      </c>
      <c r="F455" s="108" t="s">
        <v>65</v>
      </c>
      <c r="G455" s="358"/>
    </row>
    <row r="456" spans="1:7" x14ac:dyDescent="0.25">
      <c r="A456" s="751" t="s">
        <v>62</v>
      </c>
      <c r="B456" s="751" t="s">
        <v>63</v>
      </c>
      <c r="C456" s="751"/>
      <c r="D456" s="752"/>
      <c r="E456" s="752"/>
      <c r="F456" s="752"/>
      <c r="G456" s="358"/>
    </row>
    <row r="457" spans="1:7" x14ac:dyDescent="0.25">
      <c r="A457" s="753" t="s">
        <v>64</v>
      </c>
      <c r="B457" s="753" t="s">
        <v>65</v>
      </c>
      <c r="C457" s="751"/>
      <c r="D457" s="1988"/>
      <c r="E457" s="1988"/>
      <c r="F457" s="752"/>
      <c r="G457" s="358"/>
    </row>
    <row r="458" spans="1:7" x14ac:dyDescent="0.25">
      <c r="A458" s="3"/>
      <c r="B458" s="3"/>
      <c r="C458" s="3"/>
      <c r="D458" s="3"/>
      <c r="E458" s="3"/>
      <c r="F458" s="3"/>
    </row>
    <row r="459" spans="1:7" ht="36" x14ac:dyDescent="0.25">
      <c r="A459" s="343" t="s">
        <v>300</v>
      </c>
      <c r="B459" s="343" t="s">
        <v>12</v>
      </c>
      <c r="C459" s="1978" t="s">
        <v>13</v>
      </c>
      <c r="D459" s="1978"/>
      <c r="E459" s="107" t="s">
        <v>14</v>
      </c>
      <c r="F459" s="344" t="s">
        <v>15</v>
      </c>
      <c r="G459" s="359" t="s">
        <v>301</v>
      </c>
    </row>
    <row r="460" spans="1:7" x14ac:dyDescent="0.25">
      <c r="A460" s="144">
        <v>1</v>
      </c>
      <c r="B460" s="144">
        <v>2</v>
      </c>
      <c r="C460" s="1811">
        <v>3</v>
      </c>
      <c r="D460" s="1812"/>
      <c r="E460" s="33">
        <v>4</v>
      </c>
      <c r="F460" s="165">
        <v>5</v>
      </c>
      <c r="G460" s="268">
        <v>6</v>
      </c>
    </row>
    <row r="461" spans="1:7" x14ac:dyDescent="0.25">
      <c r="A461" s="2"/>
      <c r="B461" s="584" t="s">
        <v>1151</v>
      </c>
      <c r="C461" s="42"/>
      <c r="D461" s="43"/>
      <c r="E461" s="754"/>
      <c r="F461" s="64"/>
      <c r="G461" s="394"/>
    </row>
    <row r="462" spans="1:7" x14ac:dyDescent="0.25">
      <c r="A462" s="48" t="s">
        <v>1138</v>
      </c>
      <c r="B462" s="584" t="s">
        <v>855</v>
      </c>
      <c r="C462" s="42"/>
      <c r="D462" s="43"/>
      <c r="E462" s="754"/>
      <c r="F462" s="64"/>
      <c r="G462" s="394"/>
    </row>
    <row r="463" spans="1:7" x14ac:dyDescent="0.25">
      <c r="A463" s="65" t="s">
        <v>1137</v>
      </c>
      <c r="B463" s="584" t="s">
        <v>88</v>
      </c>
      <c r="C463" s="41"/>
      <c r="D463" s="89"/>
      <c r="E463" s="59"/>
      <c r="F463" s="50"/>
      <c r="G463" s="394"/>
    </row>
    <row r="464" spans="1:7" x14ac:dyDescent="0.25">
      <c r="A464" s="65" t="s">
        <v>1136</v>
      </c>
      <c r="B464" s="584" t="s">
        <v>865</v>
      </c>
      <c r="C464" s="41"/>
      <c r="D464" s="89"/>
      <c r="E464" s="59"/>
      <c r="F464" s="50"/>
      <c r="G464" s="394"/>
    </row>
    <row r="465" spans="1:12" x14ac:dyDescent="0.25">
      <c r="A465" s="65"/>
      <c r="B465" s="584" t="s">
        <v>2893</v>
      </c>
      <c r="C465" s="41">
        <v>200</v>
      </c>
      <c r="D465" s="89" t="s">
        <v>315</v>
      </c>
      <c r="E465" s="59">
        <v>75000</v>
      </c>
      <c r="F465" s="50">
        <f>E465*C465</f>
        <v>15000000</v>
      </c>
      <c r="G465" s="394"/>
    </row>
    <row r="466" spans="1:12" x14ac:dyDescent="0.25">
      <c r="A466" s="65" t="s">
        <v>1135</v>
      </c>
      <c r="B466" s="736" t="s">
        <v>1134</v>
      </c>
      <c r="C466" s="41"/>
      <c r="D466" s="89"/>
      <c r="E466" s="59"/>
      <c r="F466" s="50"/>
      <c r="G466" s="394"/>
    </row>
    <row r="467" spans="1:12" x14ac:dyDescent="0.25">
      <c r="A467" s="16"/>
      <c r="B467" s="16" t="s">
        <v>1143</v>
      </c>
      <c r="C467" s="167">
        <v>2</v>
      </c>
      <c r="D467" s="168" t="s">
        <v>1112</v>
      </c>
      <c r="E467" s="1553">
        <v>5000000</v>
      </c>
      <c r="F467" s="1553">
        <f t="shared" ref="F467" si="11">C467*E467</f>
        <v>10000000</v>
      </c>
      <c r="G467" s="20"/>
    </row>
    <row r="468" spans="1:12" x14ac:dyDescent="0.25">
      <c r="A468" s="65" t="s">
        <v>2859</v>
      </c>
      <c r="B468" s="247" t="s">
        <v>516</v>
      </c>
      <c r="C468" s="293"/>
      <c r="D468" s="294"/>
      <c r="E468" s="1554"/>
      <c r="F468" s="1553"/>
      <c r="G468" s="20"/>
    </row>
    <row r="469" spans="1:12" ht="24.75" x14ac:dyDescent="0.25">
      <c r="A469" s="65" t="s">
        <v>2951</v>
      </c>
      <c r="B469" s="150" t="s">
        <v>2033</v>
      </c>
      <c r="C469" s="293"/>
      <c r="D469" s="294"/>
      <c r="E469" s="1554"/>
      <c r="F469" s="1553"/>
      <c r="G469" s="20"/>
    </row>
    <row r="470" spans="1:12" x14ac:dyDescent="0.25">
      <c r="A470" s="16"/>
      <c r="B470" s="16" t="s">
        <v>2860</v>
      </c>
      <c r="C470" s="293">
        <v>2</v>
      </c>
      <c r="D470" s="294" t="s">
        <v>259</v>
      </c>
      <c r="E470" s="1554">
        <v>400000</v>
      </c>
      <c r="F470" s="1553">
        <f>E470*C470</f>
        <v>800000</v>
      </c>
      <c r="G470" s="20"/>
    </row>
    <row r="471" spans="1:12" x14ac:dyDescent="0.25">
      <c r="A471" s="16"/>
      <c r="B471" s="16" t="s">
        <v>2861</v>
      </c>
      <c r="C471" s="293">
        <v>60</v>
      </c>
      <c r="D471" s="294" t="s">
        <v>259</v>
      </c>
      <c r="E471" s="1554">
        <v>10000</v>
      </c>
      <c r="F471" s="1553">
        <f>E471*C471</f>
        <v>600000</v>
      </c>
      <c r="G471" s="20"/>
    </row>
    <row r="472" spans="1:12" x14ac:dyDescent="0.25">
      <c r="A472" s="16"/>
      <c r="B472" s="1989" t="s">
        <v>27</v>
      </c>
      <c r="C472" s="1990"/>
      <c r="D472" s="1990"/>
      <c r="E472" s="1990"/>
      <c r="F472" s="680">
        <f>SUM(F465:F471)</f>
        <v>26400000</v>
      </c>
      <c r="G472" s="394" t="s">
        <v>2620</v>
      </c>
      <c r="K472" s="175">
        <f>F472</f>
        <v>26400000</v>
      </c>
      <c r="L472" s="175"/>
    </row>
    <row r="473" spans="1:12" x14ac:dyDescent="0.25">
      <c r="A473" s="1807" t="s">
        <v>614</v>
      </c>
      <c r="B473" s="1807"/>
      <c r="C473" s="5" t="s">
        <v>28</v>
      </c>
      <c r="D473" s="1808" t="s">
        <v>1700</v>
      </c>
      <c r="E473" s="1808"/>
      <c r="F473" s="1808"/>
      <c r="G473" s="5"/>
    </row>
    <row r="474" spans="1:12" x14ac:dyDescent="0.25">
      <c r="A474" s="1807" t="s">
        <v>29</v>
      </c>
      <c r="B474" s="1807"/>
      <c r="C474" s="5"/>
      <c r="D474" s="1809" t="s">
        <v>2996</v>
      </c>
      <c r="E474" s="1809"/>
      <c r="F474" s="1809"/>
      <c r="G474" s="5"/>
    </row>
    <row r="475" spans="1:12" x14ac:dyDescent="0.25">
      <c r="A475" s="1"/>
      <c r="B475" s="3"/>
      <c r="C475" s="5"/>
      <c r="D475" s="7"/>
      <c r="E475" s="17"/>
      <c r="F475" s="17"/>
      <c r="G475" s="5"/>
    </row>
    <row r="476" spans="1:12" x14ac:dyDescent="0.25">
      <c r="A476" s="1"/>
      <c r="B476" s="3"/>
      <c r="C476" s="5"/>
      <c r="D476" s="7"/>
      <c r="E476" s="17"/>
      <c r="F476" s="17"/>
      <c r="G476" s="5"/>
    </row>
    <row r="477" spans="1:12" x14ac:dyDescent="0.25">
      <c r="A477" s="1807"/>
      <c r="B477" s="1807"/>
      <c r="C477" s="5"/>
      <c r="D477" s="7"/>
      <c r="E477" s="1807"/>
      <c r="F477" s="1807"/>
      <c r="G477" s="5"/>
    </row>
    <row r="478" spans="1:12" x14ac:dyDescent="0.25">
      <c r="A478" s="1807" t="s">
        <v>30</v>
      </c>
      <c r="B478" s="1807"/>
      <c r="C478" s="5"/>
      <c r="D478" s="1807" t="s">
        <v>2993</v>
      </c>
      <c r="E478" s="1807"/>
      <c r="F478" s="1807"/>
      <c r="G478" s="5"/>
    </row>
    <row r="479" spans="1:12" x14ac:dyDescent="0.25">
      <c r="A479" s="1965" t="s">
        <v>0</v>
      </c>
      <c r="B479" s="1965"/>
      <c r="C479" s="1965"/>
      <c r="D479" s="1965"/>
      <c r="E479" s="1965"/>
      <c r="F479" s="1965"/>
      <c r="G479" s="526"/>
    </row>
    <row r="480" spans="1:12" x14ac:dyDescent="0.25">
      <c r="A480" s="1965" t="s">
        <v>1</v>
      </c>
      <c r="B480" s="1965"/>
      <c r="C480" s="1965"/>
      <c r="D480" s="1965"/>
      <c r="E480" s="1965"/>
      <c r="F480" s="1965"/>
      <c r="G480" s="526"/>
    </row>
    <row r="481" spans="1:24" x14ac:dyDescent="0.25">
      <c r="A481" s="1965" t="s">
        <v>1697</v>
      </c>
      <c r="B481" s="1965"/>
      <c r="C481" s="1965"/>
      <c r="D481" s="1965"/>
      <c r="E481" s="1965"/>
      <c r="F481" s="1965"/>
      <c r="G481" s="526"/>
    </row>
    <row r="482" spans="1:24" x14ac:dyDescent="0.25">
      <c r="A482" s="39"/>
      <c r="B482" s="39"/>
      <c r="C482" s="39"/>
      <c r="D482" s="39"/>
      <c r="E482" s="61"/>
      <c r="F482" s="61"/>
      <c r="G482" s="62"/>
    </row>
    <row r="483" spans="1:24" x14ac:dyDescent="0.25">
      <c r="A483" s="61" t="s">
        <v>549</v>
      </c>
      <c r="B483" s="61" t="s">
        <v>1141</v>
      </c>
      <c r="C483" s="61"/>
      <c r="D483" s="61"/>
      <c r="E483" s="760" t="s">
        <v>6</v>
      </c>
      <c r="F483" s="760"/>
      <c r="G483" s="761"/>
    </row>
    <row r="484" spans="1:24" x14ac:dyDescent="0.25">
      <c r="A484" s="762" t="s">
        <v>550</v>
      </c>
      <c r="B484" s="763" t="s">
        <v>1140</v>
      </c>
      <c r="C484" s="61"/>
      <c r="D484" s="61"/>
      <c r="E484" s="764" t="s">
        <v>1155</v>
      </c>
      <c r="F484" s="61"/>
      <c r="G484" s="62"/>
    </row>
    <row r="485" spans="1:24" ht="36" x14ac:dyDescent="0.25">
      <c r="A485" s="762" t="s">
        <v>551</v>
      </c>
      <c r="B485" s="763" t="s">
        <v>1156</v>
      </c>
      <c r="C485" s="61"/>
      <c r="D485" s="61"/>
      <c r="E485" s="61"/>
      <c r="F485" s="61"/>
      <c r="G485" s="62"/>
    </row>
    <row r="486" spans="1:24" x14ac:dyDescent="0.25">
      <c r="A486" s="61" t="s">
        <v>1157</v>
      </c>
      <c r="B486" s="61" t="s">
        <v>63</v>
      </c>
      <c r="C486" s="61"/>
      <c r="D486" s="61"/>
      <c r="E486" s="61"/>
      <c r="F486" s="61"/>
      <c r="G486" s="62"/>
    </row>
    <row r="487" spans="1:24" x14ac:dyDescent="0.25">
      <c r="A487" s="1966" t="s">
        <v>561</v>
      </c>
      <c r="B487" s="1966"/>
      <c r="C487" s="61"/>
      <c r="D487" s="63"/>
      <c r="E487" s="765"/>
      <c r="F487" s="61"/>
      <c r="G487" s="62"/>
    </row>
    <row r="488" spans="1:24" ht="36" x14ac:dyDescent="0.25">
      <c r="A488" s="766" t="s">
        <v>31</v>
      </c>
      <c r="B488" s="766" t="s">
        <v>12</v>
      </c>
      <c r="C488" s="1926" t="s">
        <v>13</v>
      </c>
      <c r="D488" s="1927"/>
      <c r="E488" s="769" t="s">
        <v>14</v>
      </c>
      <c r="F488" s="767" t="s">
        <v>15</v>
      </c>
      <c r="G488" s="91" t="s">
        <v>35</v>
      </c>
    </row>
    <row r="489" spans="1:24" x14ac:dyDescent="0.25">
      <c r="A489" s="770">
        <v>1</v>
      </c>
      <c r="B489" s="770">
        <v>2</v>
      </c>
      <c r="C489" s="1928">
        <v>3</v>
      </c>
      <c r="D489" s="1929"/>
      <c r="E489" s="771">
        <v>4</v>
      </c>
      <c r="F489" s="57">
        <v>5</v>
      </c>
      <c r="G489" s="515">
        <v>6</v>
      </c>
    </row>
    <row r="490" spans="1:24" x14ac:dyDescent="0.25">
      <c r="A490" s="48" t="s">
        <v>1158</v>
      </c>
      <c r="B490" s="772" t="s">
        <v>323</v>
      </c>
      <c r="C490" s="57"/>
      <c r="D490" s="58"/>
      <c r="E490" s="771"/>
      <c r="F490" s="57"/>
      <c r="G490" s="515"/>
    </row>
    <row r="491" spans="1:24" ht="36" x14ac:dyDescent="0.25">
      <c r="A491" s="48" t="s">
        <v>1159</v>
      </c>
      <c r="B491" s="352" t="s">
        <v>532</v>
      </c>
      <c r="C491" s="42"/>
      <c r="D491" s="43"/>
      <c r="E491" s="754"/>
      <c r="F491" s="64"/>
      <c r="G491" s="87"/>
    </row>
    <row r="492" spans="1:24" ht="24" x14ac:dyDescent="0.25">
      <c r="A492" s="48" t="s">
        <v>1160</v>
      </c>
      <c r="B492" s="773" t="s">
        <v>1161</v>
      </c>
      <c r="C492" s="42"/>
      <c r="D492" s="43"/>
      <c r="E492" s="754"/>
      <c r="F492" s="64"/>
      <c r="G492" s="87"/>
    </row>
    <row r="493" spans="1:24" x14ac:dyDescent="0.25">
      <c r="A493" s="774"/>
      <c r="B493" s="40" t="s">
        <v>1162</v>
      </c>
      <c r="C493" s="57">
        <v>3</v>
      </c>
      <c r="D493" s="58" t="s">
        <v>1163</v>
      </c>
      <c r="E493" s="775">
        <v>10000000</v>
      </c>
      <c r="F493" s="775">
        <f>E493*C493</f>
        <v>30000000</v>
      </c>
      <c r="G493" s="87"/>
    </row>
    <row r="494" spans="1:24" x14ac:dyDescent="0.25">
      <c r="A494" s="735"/>
      <c r="B494" s="40"/>
      <c r="C494" s="41"/>
      <c r="D494" s="89"/>
      <c r="E494" s="59"/>
      <c r="F494" s="50"/>
      <c r="G494" s="87"/>
    </row>
    <row r="495" spans="1:24" s="473" customFormat="1" ht="24" x14ac:dyDescent="0.25">
      <c r="A495" s="2001" t="s">
        <v>27</v>
      </c>
      <c r="B495" s="2002"/>
      <c r="C495" s="2002"/>
      <c r="D495" s="2002"/>
      <c r="E495" s="2003"/>
      <c r="F495" s="776">
        <f>SUM(F493:F494)</f>
        <v>30000000</v>
      </c>
      <c r="G495" s="1313" t="s">
        <v>2645</v>
      </c>
      <c r="X495" s="1314">
        <f>F495</f>
        <v>30000000</v>
      </c>
    </row>
    <row r="496" spans="1:24" x14ac:dyDescent="0.25">
      <c r="A496" s="1807" t="s">
        <v>614</v>
      </c>
      <c r="B496" s="1807"/>
      <c r="C496" s="5" t="s">
        <v>28</v>
      </c>
      <c r="D496" s="1808" t="s">
        <v>1700</v>
      </c>
      <c r="E496" s="1808"/>
      <c r="F496" s="1808"/>
      <c r="G496" s="5"/>
    </row>
    <row r="497" spans="1:7" x14ac:dyDescent="0.25">
      <c r="A497" s="1807" t="s">
        <v>29</v>
      </c>
      <c r="B497" s="1807"/>
      <c r="C497" s="5"/>
      <c r="D497" s="1809" t="s">
        <v>2996</v>
      </c>
      <c r="E497" s="1809"/>
      <c r="F497" s="1809"/>
      <c r="G497" s="5"/>
    </row>
    <row r="498" spans="1:7" x14ac:dyDescent="0.25">
      <c r="A498" s="1"/>
      <c r="B498" s="3"/>
      <c r="C498" s="5"/>
      <c r="D498" s="7"/>
      <c r="E498" s="17"/>
      <c r="F498" s="17"/>
      <c r="G498" s="5"/>
    </row>
    <row r="499" spans="1:7" x14ac:dyDescent="0.25">
      <c r="A499" s="1"/>
      <c r="B499" s="3"/>
      <c r="C499" s="5"/>
      <c r="D499" s="7"/>
      <c r="E499" s="17"/>
      <c r="F499" s="17"/>
      <c r="G499" s="5"/>
    </row>
    <row r="500" spans="1:7" x14ac:dyDescent="0.25">
      <c r="A500" s="1807"/>
      <c r="B500" s="1807"/>
      <c r="C500" s="5"/>
      <c r="D500" s="7"/>
      <c r="E500" s="1807"/>
      <c r="F500" s="1807"/>
      <c r="G500" s="5"/>
    </row>
    <row r="501" spans="1:7" x14ac:dyDescent="0.25">
      <c r="A501" s="1807" t="s">
        <v>30</v>
      </c>
      <c r="B501" s="1807"/>
      <c r="C501" s="5"/>
      <c r="D501" s="1807" t="s">
        <v>2993</v>
      </c>
      <c r="E501" s="1807"/>
      <c r="F501" s="1807"/>
      <c r="G501" s="5"/>
    </row>
    <row r="502" spans="1:7" x14ac:dyDescent="0.25">
      <c r="A502" s="1965" t="s">
        <v>0</v>
      </c>
      <c r="B502" s="1965"/>
      <c r="C502" s="1965"/>
      <c r="D502" s="1965"/>
      <c r="E502" s="1965"/>
      <c r="F502" s="1965"/>
      <c r="G502" s="526"/>
    </row>
    <row r="503" spans="1:7" x14ac:dyDescent="0.25">
      <c r="A503" s="1965" t="s">
        <v>1</v>
      </c>
      <c r="B503" s="1965"/>
      <c r="C503" s="1965"/>
      <c r="D503" s="1965"/>
      <c r="E503" s="1965"/>
      <c r="F503" s="1965"/>
      <c r="G503" s="526"/>
    </row>
    <row r="504" spans="1:7" x14ac:dyDescent="0.25">
      <c r="A504" s="1965" t="s">
        <v>1697</v>
      </c>
      <c r="B504" s="1965"/>
      <c r="C504" s="1965"/>
      <c r="D504" s="1965"/>
      <c r="E504" s="1965"/>
      <c r="F504" s="1965"/>
      <c r="G504" s="526"/>
    </row>
    <row r="505" spans="1:7" x14ac:dyDescent="0.25">
      <c r="A505" s="39"/>
      <c r="B505" s="39"/>
      <c r="C505" s="39"/>
      <c r="D505" s="39"/>
      <c r="E505" s="61"/>
      <c r="F505" s="61"/>
      <c r="G505" s="62"/>
    </row>
    <row r="506" spans="1:7" x14ac:dyDescent="0.25">
      <c r="A506" s="61" t="s">
        <v>549</v>
      </c>
      <c r="B506" s="61" t="s">
        <v>1141</v>
      </c>
      <c r="C506" s="61"/>
      <c r="D506" s="61"/>
      <c r="E506" s="760" t="s">
        <v>6</v>
      </c>
      <c r="F506" s="760"/>
      <c r="G506" s="761"/>
    </row>
    <row r="507" spans="1:7" x14ac:dyDescent="0.25">
      <c r="A507" s="762" t="s">
        <v>550</v>
      </c>
      <c r="B507" s="763" t="s">
        <v>1140</v>
      </c>
      <c r="C507" s="61"/>
      <c r="D507" s="61"/>
      <c r="E507" s="764" t="s">
        <v>1155</v>
      </c>
      <c r="F507" s="61"/>
      <c r="G507" s="62"/>
    </row>
    <row r="508" spans="1:7" x14ac:dyDescent="0.25">
      <c r="A508" s="762" t="s">
        <v>551</v>
      </c>
      <c r="B508" s="762" t="s">
        <v>1164</v>
      </c>
      <c r="C508" s="762"/>
      <c r="D508" s="762"/>
      <c r="E508" s="61"/>
      <c r="F508" s="61"/>
      <c r="G508" s="62"/>
    </row>
    <row r="509" spans="1:7" x14ac:dyDescent="0.25">
      <c r="A509" s="61" t="s">
        <v>1157</v>
      </c>
      <c r="B509" s="61" t="s">
        <v>63</v>
      </c>
      <c r="C509" s="61"/>
      <c r="D509" s="61"/>
      <c r="E509" s="61"/>
      <c r="F509" s="61"/>
      <c r="G509" s="62"/>
    </row>
    <row r="510" spans="1:7" x14ac:dyDescent="0.25">
      <c r="A510" s="61" t="s">
        <v>64</v>
      </c>
      <c r="B510" s="61" t="s">
        <v>65</v>
      </c>
      <c r="C510" s="61"/>
      <c r="D510" s="63"/>
      <c r="E510" s="765"/>
      <c r="F510" s="61"/>
      <c r="G510" s="62"/>
    </row>
    <row r="511" spans="1:7" ht="36" x14ac:dyDescent="0.25">
      <c r="A511" s="766" t="s">
        <v>31</v>
      </c>
      <c r="B511" s="766" t="s">
        <v>12</v>
      </c>
      <c r="C511" s="1926" t="s">
        <v>13</v>
      </c>
      <c r="D511" s="1927"/>
      <c r="E511" s="769" t="s">
        <v>14</v>
      </c>
      <c r="F511" s="767" t="s">
        <v>15</v>
      </c>
      <c r="G511" s="91" t="s">
        <v>35</v>
      </c>
    </row>
    <row r="512" spans="1:7" x14ac:dyDescent="0.25">
      <c r="A512" s="770">
        <v>1</v>
      </c>
      <c r="B512" s="770">
        <v>2</v>
      </c>
      <c r="C512" s="1928">
        <v>3</v>
      </c>
      <c r="D512" s="1929"/>
      <c r="E512" s="771">
        <v>4</v>
      </c>
      <c r="F512" s="57">
        <v>5</v>
      </c>
      <c r="G512" s="515">
        <v>6</v>
      </c>
    </row>
    <row r="513" spans="1:13" ht="36" x14ac:dyDescent="0.25">
      <c r="A513" s="48" t="s">
        <v>1165</v>
      </c>
      <c r="B513" s="352" t="s">
        <v>532</v>
      </c>
      <c r="C513" s="42"/>
      <c r="D513" s="43"/>
      <c r="E513" s="754"/>
      <c r="F513" s="64"/>
      <c r="G513" s="87"/>
    </row>
    <row r="514" spans="1:13" x14ac:dyDescent="0.25">
      <c r="A514" s="48" t="s">
        <v>1166</v>
      </c>
      <c r="B514" s="584" t="s">
        <v>1161</v>
      </c>
      <c r="C514" s="42"/>
      <c r="D514" s="43"/>
      <c r="E514" s="754"/>
      <c r="F514" s="64"/>
      <c r="G514" s="87"/>
    </row>
    <row r="515" spans="1:13" ht="24" x14ac:dyDescent="0.25">
      <c r="A515" s="774"/>
      <c r="B515" s="777" t="s">
        <v>1167</v>
      </c>
      <c r="C515" s="778">
        <v>7</v>
      </c>
      <c r="D515" s="768" t="s">
        <v>1168</v>
      </c>
      <c r="E515" s="755">
        <v>50000000</v>
      </c>
      <c r="F515" s="779">
        <f>C515*E515</f>
        <v>350000000</v>
      </c>
      <c r="G515" s="87"/>
    </row>
    <row r="516" spans="1:13" ht="24" x14ac:dyDescent="0.25">
      <c r="A516" s="774"/>
      <c r="B516" s="777" t="s">
        <v>1169</v>
      </c>
      <c r="C516" s="57">
        <v>21</v>
      </c>
      <c r="D516" s="768" t="s">
        <v>1170</v>
      </c>
      <c r="E516" s="755">
        <v>10000000</v>
      </c>
      <c r="F516" s="755">
        <f>C516*E516</f>
        <v>210000000</v>
      </c>
      <c r="G516" s="87"/>
    </row>
    <row r="517" spans="1:13" x14ac:dyDescent="0.25">
      <c r="A517" s="735"/>
      <c r="B517" s="40"/>
      <c r="C517" s="41"/>
      <c r="D517" s="89"/>
      <c r="E517" s="59"/>
      <c r="F517" s="50"/>
      <c r="G517" s="87"/>
    </row>
    <row r="518" spans="1:13" ht="24.75" x14ac:dyDescent="0.25">
      <c r="A518" s="2001" t="s">
        <v>27</v>
      </c>
      <c r="B518" s="2002"/>
      <c r="C518" s="2002"/>
      <c r="D518" s="2002"/>
      <c r="E518" s="2003"/>
      <c r="F518" s="780">
        <f>SUM(F515:F517)</f>
        <v>560000000</v>
      </c>
      <c r="G518" s="87" t="s">
        <v>2159</v>
      </c>
      <c r="M518" s="175">
        <f>F518</f>
        <v>560000000</v>
      </c>
    </row>
    <row r="519" spans="1:13" x14ac:dyDescent="0.25">
      <c r="A519" s="1807" t="s">
        <v>614</v>
      </c>
      <c r="B519" s="1807"/>
      <c r="C519" s="5" t="s">
        <v>28</v>
      </c>
      <c r="D519" s="1808" t="s">
        <v>1700</v>
      </c>
      <c r="E519" s="1808"/>
      <c r="F519" s="1808"/>
      <c r="G519" s="5"/>
    </row>
    <row r="520" spans="1:13" x14ac:dyDescent="0.25">
      <c r="A520" s="1807" t="s">
        <v>29</v>
      </c>
      <c r="B520" s="1807"/>
      <c r="C520" s="5"/>
      <c r="D520" s="1809" t="s">
        <v>2996</v>
      </c>
      <c r="E520" s="1809"/>
      <c r="F520" s="1809"/>
      <c r="G520" s="5"/>
    </row>
    <row r="521" spans="1:13" x14ac:dyDescent="0.25">
      <c r="A521" s="1"/>
      <c r="B521" s="3"/>
      <c r="C521" s="5"/>
      <c r="D521" s="7"/>
      <c r="E521" s="17"/>
      <c r="F521" s="17"/>
      <c r="G521" s="5"/>
    </row>
    <row r="522" spans="1:13" x14ac:dyDescent="0.25">
      <c r="A522" s="1"/>
      <c r="B522" s="3"/>
      <c r="C522" s="5"/>
      <c r="D522" s="7"/>
      <c r="E522" s="17"/>
      <c r="F522" s="17"/>
      <c r="G522" s="5"/>
    </row>
    <row r="523" spans="1:13" x14ac:dyDescent="0.25">
      <c r="A523" s="1807"/>
      <c r="B523" s="1807"/>
      <c r="C523" s="5"/>
      <c r="D523" s="7"/>
      <c r="E523" s="1807"/>
      <c r="F523" s="1807"/>
      <c r="G523" s="5"/>
    </row>
    <row r="524" spans="1:13" x14ac:dyDescent="0.25">
      <c r="A524" s="1807" t="s">
        <v>30</v>
      </c>
      <c r="B524" s="1807"/>
      <c r="C524" s="5"/>
      <c r="D524" s="1807" t="s">
        <v>2993</v>
      </c>
      <c r="E524" s="1807"/>
      <c r="F524" s="1807"/>
      <c r="G524" s="5"/>
    </row>
    <row r="525" spans="1:13" x14ac:dyDescent="0.25">
      <c r="A525" s="2000" t="s">
        <v>1968</v>
      </c>
      <c r="B525" s="2000"/>
      <c r="C525" s="2000"/>
      <c r="D525" s="2000"/>
      <c r="E525" s="2000"/>
      <c r="F525" s="2000"/>
      <c r="G525" s="2000"/>
    </row>
    <row r="526" spans="1:13" x14ac:dyDescent="0.25">
      <c r="A526" s="2000" t="s">
        <v>1</v>
      </c>
      <c r="B526" s="2000"/>
      <c r="C526" s="2000"/>
      <c r="D526" s="2000"/>
      <c r="E526" s="2000"/>
      <c r="F526" s="2000"/>
      <c r="G526" s="2000"/>
    </row>
    <row r="527" spans="1:13" x14ac:dyDescent="0.25">
      <c r="A527" s="2000" t="s">
        <v>1697</v>
      </c>
      <c r="B527" s="2000"/>
      <c r="C527" s="2000"/>
      <c r="D527" s="2000"/>
      <c r="E527" s="2000"/>
      <c r="F527" s="2000"/>
      <c r="G527" s="2000"/>
    </row>
    <row r="528" spans="1:13" x14ac:dyDescent="0.25">
      <c r="A528" s="863" t="s">
        <v>1913</v>
      </c>
      <c r="B528" s="2012" t="s">
        <v>1171</v>
      </c>
      <c r="C528" s="2012"/>
      <c r="D528" s="865"/>
      <c r="E528" s="240"/>
      <c r="F528" s="240"/>
      <c r="G528" s="866"/>
    </row>
    <row r="529" spans="1:7" ht="30" x14ac:dyDescent="0.25">
      <c r="A529" s="864" t="s">
        <v>814</v>
      </c>
      <c r="B529" s="867" t="s">
        <v>1945</v>
      </c>
      <c r="C529" s="865"/>
      <c r="D529" s="865"/>
      <c r="E529" s="240" t="s">
        <v>1915</v>
      </c>
      <c r="F529" s="240"/>
      <c r="G529" s="868"/>
    </row>
    <row r="530" spans="1:7" x14ac:dyDescent="0.25">
      <c r="A530" s="869" t="s">
        <v>858</v>
      </c>
      <c r="B530" s="869" t="s">
        <v>1970</v>
      </c>
      <c r="C530" s="865"/>
      <c r="D530" s="865"/>
      <c r="E530" s="240" t="s">
        <v>1917</v>
      </c>
      <c r="F530" s="240"/>
      <c r="G530" s="870"/>
    </row>
    <row r="531" spans="1:7" x14ac:dyDescent="0.25">
      <c r="A531" s="863" t="s">
        <v>1920</v>
      </c>
      <c r="B531" s="619" t="s">
        <v>63</v>
      </c>
      <c r="C531" s="865"/>
      <c r="D531" s="865"/>
      <c r="E531" s="863"/>
      <c r="F531" s="863"/>
      <c r="G531" s="868"/>
    </row>
    <row r="532" spans="1:7" x14ac:dyDescent="0.25">
      <c r="A532" s="864" t="s">
        <v>64</v>
      </c>
      <c r="B532" s="867" t="s">
        <v>65</v>
      </c>
      <c r="C532" s="865"/>
      <c r="D532" s="865"/>
      <c r="E532" s="864"/>
      <c r="F532" s="864"/>
      <c r="G532" s="871"/>
    </row>
    <row r="533" spans="1:7" x14ac:dyDescent="0.25">
      <c r="A533" s="864"/>
      <c r="B533" s="867"/>
      <c r="C533" s="865"/>
      <c r="D533" s="865"/>
      <c r="E533" s="864"/>
      <c r="F533" s="864"/>
      <c r="G533" s="867"/>
    </row>
    <row r="534" spans="1:7" ht="42.75" x14ac:dyDescent="0.25">
      <c r="A534" s="845" t="s">
        <v>31</v>
      </c>
      <c r="B534" s="845" t="s">
        <v>12</v>
      </c>
      <c r="C534" s="1998" t="s">
        <v>13</v>
      </c>
      <c r="D534" s="1999"/>
      <c r="E534" s="873" t="s">
        <v>14</v>
      </c>
      <c r="F534" s="872" t="s">
        <v>15</v>
      </c>
      <c r="G534" s="874" t="s">
        <v>301</v>
      </c>
    </row>
    <row r="535" spans="1:7" x14ac:dyDescent="0.25">
      <c r="A535" s="604">
        <v>1</v>
      </c>
      <c r="B535" s="601">
        <v>2</v>
      </c>
      <c r="C535" s="1820">
        <v>3</v>
      </c>
      <c r="D535" s="1821"/>
      <c r="E535" s="607">
        <v>4</v>
      </c>
      <c r="F535" s="605">
        <v>5</v>
      </c>
      <c r="G535" s="608">
        <v>7</v>
      </c>
    </row>
    <row r="536" spans="1:7" x14ac:dyDescent="0.25">
      <c r="A536" s="875"/>
      <c r="B536" s="876"/>
      <c r="C536" s="838"/>
      <c r="D536" s="877"/>
      <c r="E536" s="878"/>
      <c r="F536" s="879"/>
      <c r="G536" s="608"/>
    </row>
    <row r="537" spans="1:7" ht="28.5" x14ac:dyDescent="0.25">
      <c r="A537" s="875"/>
      <c r="B537" s="880" t="s">
        <v>1971</v>
      </c>
      <c r="C537" s="605"/>
      <c r="D537" s="606"/>
      <c r="E537" s="604"/>
      <c r="F537" s="879"/>
      <c r="G537" s="608"/>
    </row>
    <row r="538" spans="1:7" ht="28.5" x14ac:dyDescent="0.25">
      <c r="A538" s="609" t="s">
        <v>1972</v>
      </c>
      <c r="B538" s="881" t="s">
        <v>855</v>
      </c>
      <c r="C538" s="605"/>
      <c r="D538" s="606"/>
      <c r="E538" s="604"/>
      <c r="F538" s="879"/>
      <c r="G538" s="608"/>
    </row>
    <row r="539" spans="1:7" x14ac:dyDescent="0.25">
      <c r="A539" s="609" t="s">
        <v>1973</v>
      </c>
      <c r="B539" s="882" t="s">
        <v>1974</v>
      </c>
      <c r="C539" s="605"/>
      <c r="D539" s="606"/>
      <c r="E539" s="604"/>
      <c r="F539" s="879"/>
      <c r="G539" s="608"/>
    </row>
    <row r="540" spans="1:7" ht="28.5" x14ac:dyDescent="0.25">
      <c r="A540" s="883" t="s">
        <v>1975</v>
      </c>
      <c r="B540" s="882" t="s">
        <v>1976</v>
      </c>
      <c r="C540" s="605"/>
      <c r="D540" s="606"/>
      <c r="E540" s="604"/>
      <c r="F540" s="879"/>
      <c r="G540" s="608"/>
    </row>
    <row r="541" spans="1:7" x14ac:dyDescent="0.25">
      <c r="A541" s="875"/>
      <c r="B541" s="624" t="s">
        <v>1977</v>
      </c>
      <c r="C541" s="605">
        <v>45</v>
      </c>
      <c r="D541" s="606" t="s">
        <v>315</v>
      </c>
      <c r="E541" s="638">
        <v>500000</v>
      </c>
      <c r="F541" s="879">
        <f>C541*E541</f>
        <v>22500000</v>
      </c>
      <c r="G541" s="884"/>
    </row>
    <row r="542" spans="1:7" ht="28.5" x14ac:dyDescent="0.25">
      <c r="A542" s="885"/>
      <c r="B542" s="880" t="s">
        <v>1978</v>
      </c>
      <c r="C542" s="691"/>
      <c r="D542" s="692"/>
      <c r="E542" s="886"/>
      <c r="F542" s="879"/>
      <c r="G542" s="887"/>
    </row>
    <row r="543" spans="1:7" ht="28.5" x14ac:dyDescent="0.25">
      <c r="A543" s="609" t="s">
        <v>1972</v>
      </c>
      <c r="B543" s="881" t="s">
        <v>855</v>
      </c>
      <c r="C543" s="605"/>
      <c r="D543" s="606"/>
      <c r="E543" s="638"/>
      <c r="F543" s="879"/>
      <c r="G543" s="887"/>
    </row>
    <row r="544" spans="1:7" x14ac:dyDescent="0.25">
      <c r="A544" s="609" t="s">
        <v>1973</v>
      </c>
      <c r="B544" s="881" t="s">
        <v>1974</v>
      </c>
      <c r="C544" s="605"/>
      <c r="D544" s="606"/>
      <c r="E544" s="638"/>
      <c r="F544" s="879"/>
      <c r="G544" s="887"/>
    </row>
    <row r="545" spans="1:10" ht="28.5" x14ac:dyDescent="0.25">
      <c r="A545" s="883" t="s">
        <v>1975</v>
      </c>
      <c r="B545" s="882" t="s">
        <v>1976</v>
      </c>
      <c r="C545" s="605"/>
      <c r="D545" s="606"/>
      <c r="E545" s="638"/>
      <c r="F545" s="879"/>
      <c r="G545" s="887"/>
    </row>
    <row r="546" spans="1:10" x14ac:dyDescent="0.25">
      <c r="A546" s="888"/>
      <c r="B546" s="889" t="s">
        <v>1977</v>
      </c>
      <c r="C546" s="605">
        <v>45</v>
      </c>
      <c r="D546" s="606" t="s">
        <v>315</v>
      </c>
      <c r="E546" s="638">
        <v>1500000</v>
      </c>
      <c r="F546" s="879">
        <f>C546*E546</f>
        <v>67500000</v>
      </c>
      <c r="G546" s="890"/>
    </row>
    <row r="547" spans="1:10" ht="43.5" x14ac:dyDescent="0.25">
      <c r="A547" s="885"/>
      <c r="B547" s="891" t="s">
        <v>1979</v>
      </c>
      <c r="C547" s="691"/>
      <c r="D547" s="692"/>
      <c r="E547" s="886"/>
      <c r="F547" s="892"/>
      <c r="G547" s="887"/>
    </row>
    <row r="548" spans="1:10" x14ac:dyDescent="0.25">
      <c r="A548" s="609" t="s">
        <v>1972</v>
      </c>
      <c r="B548" s="893" t="s">
        <v>855</v>
      </c>
      <c r="C548" s="605"/>
      <c r="D548" s="606"/>
      <c r="E548" s="638"/>
      <c r="F548" s="879"/>
      <c r="G548" s="890"/>
    </row>
    <row r="549" spans="1:10" x14ac:dyDescent="0.25">
      <c r="A549" s="609" t="s">
        <v>1973</v>
      </c>
      <c r="B549" s="893" t="s">
        <v>1974</v>
      </c>
      <c r="C549" s="605"/>
      <c r="D549" s="606"/>
      <c r="E549" s="638"/>
      <c r="F549" s="879"/>
      <c r="G549" s="890"/>
    </row>
    <row r="550" spans="1:10" ht="29.25" x14ac:dyDescent="0.25">
      <c r="A550" s="883" t="s">
        <v>1975</v>
      </c>
      <c r="B550" s="891" t="s">
        <v>1976</v>
      </c>
      <c r="C550" s="605"/>
      <c r="D550" s="606"/>
      <c r="E550" s="638"/>
      <c r="F550" s="879"/>
      <c r="G550" s="890"/>
    </row>
    <row r="551" spans="1:10" x14ac:dyDescent="0.25">
      <c r="A551" s="888"/>
      <c r="B551" s="889" t="s">
        <v>1977</v>
      </c>
      <c r="C551" s="605">
        <v>45</v>
      </c>
      <c r="D551" s="606" t="s">
        <v>315</v>
      </c>
      <c r="E551" s="638">
        <v>1800000</v>
      </c>
      <c r="F551" s="879">
        <f>C551*E551</f>
        <v>81000000</v>
      </c>
      <c r="G551" s="890"/>
    </row>
    <row r="552" spans="1:10" x14ac:dyDescent="0.25">
      <c r="A552" s="888"/>
      <c r="B552" s="615"/>
      <c r="C552" s="629"/>
      <c r="D552" s="629"/>
      <c r="E552" s="894"/>
      <c r="F552" s="638"/>
      <c r="G552" s="887"/>
    </row>
    <row r="553" spans="1:10" x14ac:dyDescent="0.25">
      <c r="A553" s="888"/>
      <c r="B553" s="1934" t="s">
        <v>27</v>
      </c>
      <c r="C553" s="1935"/>
      <c r="D553" s="1935"/>
      <c r="E553" s="1936"/>
      <c r="F553" s="895">
        <f>SUM(F536:F551)</f>
        <v>171000000</v>
      </c>
      <c r="G553" s="886" t="s">
        <v>1682</v>
      </c>
      <c r="J553" s="286">
        <f>F553</f>
        <v>171000000</v>
      </c>
    </row>
    <row r="554" spans="1:10" x14ac:dyDescent="0.25">
      <c r="A554" s="1807" t="s">
        <v>614</v>
      </c>
      <c r="B554" s="1807"/>
      <c r="C554" s="5" t="s">
        <v>28</v>
      </c>
      <c r="D554" s="1808" t="s">
        <v>1700</v>
      </c>
      <c r="E554" s="1808"/>
      <c r="F554" s="1808"/>
      <c r="G554" s="5"/>
    </row>
    <row r="555" spans="1:10" x14ac:dyDescent="0.25">
      <c r="A555" s="1807" t="s">
        <v>29</v>
      </c>
      <c r="B555" s="1807"/>
      <c r="C555" s="5"/>
      <c r="D555" s="1809" t="s">
        <v>2996</v>
      </c>
      <c r="E555" s="1809"/>
      <c r="F555" s="1809"/>
      <c r="G555" s="5"/>
    </row>
    <row r="556" spans="1:10" x14ac:dyDescent="0.25">
      <c r="A556" s="1"/>
      <c r="B556" s="3"/>
      <c r="C556" s="5"/>
      <c r="D556" s="7"/>
      <c r="E556" s="17"/>
      <c r="F556" s="17"/>
      <c r="G556" s="5"/>
    </row>
    <row r="557" spans="1:10" x14ac:dyDescent="0.25">
      <c r="A557" s="1"/>
      <c r="B557" s="3"/>
      <c r="C557" s="5"/>
      <c r="D557" s="7"/>
      <c r="E557" s="17"/>
      <c r="F557" s="17"/>
      <c r="G557" s="5"/>
    </row>
    <row r="558" spans="1:10" x14ac:dyDescent="0.25">
      <c r="A558" s="1807"/>
      <c r="B558" s="1807"/>
      <c r="C558" s="5"/>
      <c r="D558" s="7"/>
      <c r="E558" s="1807"/>
      <c r="F558" s="1807"/>
      <c r="G558" s="5"/>
    </row>
    <row r="559" spans="1:10" x14ac:dyDescent="0.25">
      <c r="A559" s="1807" t="s">
        <v>30</v>
      </c>
      <c r="B559" s="1807"/>
      <c r="C559" s="5"/>
      <c r="D559" s="1807" t="s">
        <v>2993</v>
      </c>
      <c r="E559" s="1807"/>
      <c r="F559" s="1807"/>
      <c r="G559" s="5"/>
    </row>
    <row r="561" spans="1:7" x14ac:dyDescent="0.25">
      <c r="A561" s="1841" t="s">
        <v>0</v>
      </c>
      <c r="B561" s="1841"/>
      <c r="C561" s="1841"/>
      <c r="D561" s="1841"/>
      <c r="E561" s="1841"/>
      <c r="F561" s="1841"/>
      <c r="G561" s="1841"/>
    </row>
    <row r="562" spans="1:7" x14ac:dyDescent="0.25">
      <c r="A562" s="1841" t="s">
        <v>1</v>
      </c>
      <c r="B562" s="1841"/>
      <c r="C562" s="1841"/>
      <c r="D562" s="1841"/>
      <c r="E562" s="1841"/>
      <c r="F562" s="1841"/>
      <c r="G562" s="1841"/>
    </row>
    <row r="563" spans="1:7" x14ac:dyDescent="0.25">
      <c r="A563" s="1841" t="s">
        <v>1697</v>
      </c>
      <c r="B563" s="1841"/>
      <c r="C563" s="1841"/>
      <c r="D563" s="1841"/>
      <c r="E563" s="1841"/>
      <c r="F563" s="1841"/>
      <c r="G563" s="1841"/>
    </row>
    <row r="564" spans="1:7" x14ac:dyDescent="0.25">
      <c r="A564" s="1217"/>
      <c r="B564" s="1217"/>
      <c r="C564" s="1217"/>
      <c r="D564" s="1217"/>
      <c r="E564" s="1217"/>
      <c r="F564" s="1217"/>
      <c r="G564" s="1217"/>
    </row>
    <row r="565" spans="1:7" ht="24.75" x14ac:dyDescent="0.25">
      <c r="A565" s="1320" t="s">
        <v>1224</v>
      </c>
      <c r="B565" s="1320" t="s">
        <v>1171</v>
      </c>
      <c r="C565" s="1320"/>
      <c r="D565" s="1320"/>
      <c r="E565" s="1448" t="s">
        <v>6</v>
      </c>
      <c r="F565" s="1448" t="s">
        <v>65</v>
      </c>
      <c r="G565" s="1316"/>
    </row>
    <row r="566" spans="1:7" x14ac:dyDescent="0.25">
      <c r="A566" s="1320" t="s">
        <v>1225</v>
      </c>
      <c r="B566" s="1449" t="s">
        <v>1172</v>
      </c>
      <c r="C566" s="1320"/>
      <c r="D566" s="1320"/>
      <c r="E566" s="1319" t="s">
        <v>368</v>
      </c>
      <c r="F566" s="1320" t="s">
        <v>65</v>
      </c>
      <c r="G566" s="1316"/>
    </row>
    <row r="567" spans="1:7" ht="55.5" customHeight="1" x14ac:dyDescent="0.25">
      <c r="A567" s="1318" t="s">
        <v>1226</v>
      </c>
      <c r="B567" s="1318" t="s">
        <v>1227</v>
      </c>
      <c r="C567" s="1318"/>
      <c r="D567" s="1320"/>
      <c r="E567" s="1320"/>
      <c r="F567" s="1320"/>
      <c r="G567" s="1316"/>
    </row>
    <row r="568" spans="1:7" ht="24.75" x14ac:dyDescent="0.25">
      <c r="A568" s="1320" t="s">
        <v>579</v>
      </c>
      <c r="B568" s="1320" t="s">
        <v>63</v>
      </c>
      <c r="C568" s="1320"/>
      <c r="D568" s="1320"/>
      <c r="E568" s="1320"/>
      <c r="F568" s="1320"/>
      <c r="G568" s="1316"/>
    </row>
    <row r="569" spans="1:7" ht="24.75" x14ac:dyDescent="0.25">
      <c r="A569" s="1189" t="s">
        <v>1177</v>
      </c>
      <c r="B569" s="1189" t="s">
        <v>65</v>
      </c>
      <c r="C569" s="1189"/>
      <c r="D569" s="1189"/>
      <c r="E569" s="1189"/>
      <c r="F569" s="1189"/>
      <c r="G569" s="1316"/>
    </row>
    <row r="570" spans="1:7" ht="6.75" customHeight="1" x14ac:dyDescent="0.25">
      <c r="A570" s="1189"/>
      <c r="B570" s="1189"/>
      <c r="C570" s="1189"/>
      <c r="D570" s="1189"/>
      <c r="E570" s="1189"/>
      <c r="F570" s="1189"/>
      <c r="G570" s="1316"/>
    </row>
    <row r="571" spans="1:7" ht="36" x14ac:dyDescent="0.25">
      <c r="A571" s="1165" t="s">
        <v>300</v>
      </c>
      <c r="B571" s="1165" t="s">
        <v>12</v>
      </c>
      <c r="C571" s="1843" t="s">
        <v>13</v>
      </c>
      <c r="D571" s="1843"/>
      <c r="E571" s="1200" t="s">
        <v>14</v>
      </c>
      <c r="F571" s="1166" t="s">
        <v>15</v>
      </c>
      <c r="G571" s="1429" t="s">
        <v>301</v>
      </c>
    </row>
    <row r="572" spans="1:7" x14ac:dyDescent="0.25">
      <c r="A572" s="1165">
        <v>1</v>
      </c>
      <c r="B572" s="1165">
        <v>2</v>
      </c>
      <c r="C572" s="1845">
        <v>3</v>
      </c>
      <c r="D572" s="1846"/>
      <c r="E572" s="1430">
        <v>4</v>
      </c>
      <c r="F572" s="1166">
        <v>5</v>
      </c>
      <c r="G572" s="1429">
        <v>6</v>
      </c>
    </row>
    <row r="573" spans="1:7" x14ac:dyDescent="0.25">
      <c r="A573" s="1450"/>
      <c r="B573" s="1451" t="s">
        <v>1228</v>
      </c>
      <c r="C573" s="1452"/>
      <c r="D573" s="1453"/>
      <c r="E573" s="1454"/>
      <c r="F573" s="1452"/>
      <c r="G573" s="1374"/>
    </row>
    <row r="574" spans="1:7" x14ac:dyDescent="0.25">
      <c r="A574" s="1455"/>
      <c r="B574" s="1456" t="s">
        <v>1229</v>
      </c>
      <c r="C574" s="1452"/>
      <c r="D574" s="1453"/>
      <c r="E574" s="1454"/>
      <c r="F574" s="1452"/>
      <c r="G574" s="1374"/>
    </row>
    <row r="575" spans="1:7" x14ac:dyDescent="0.25">
      <c r="A575" s="1206"/>
      <c r="B575" s="1457" t="s">
        <v>88</v>
      </c>
      <c r="C575" s="1458"/>
      <c r="D575" s="1459"/>
      <c r="E575" s="1183"/>
      <c r="F575" s="1458"/>
      <c r="G575" s="1374"/>
    </row>
    <row r="576" spans="1:7" x14ac:dyDescent="0.25">
      <c r="A576" s="1175"/>
      <c r="B576" s="1460" t="s">
        <v>354</v>
      </c>
      <c r="C576" s="1184"/>
      <c r="D576" s="1208"/>
      <c r="E576" s="1231"/>
      <c r="F576" s="1233"/>
      <c r="G576" s="1374"/>
    </row>
    <row r="577" spans="1:7" x14ac:dyDescent="0.25">
      <c r="A577" s="1175"/>
      <c r="B577" s="1461" t="s">
        <v>1230</v>
      </c>
      <c r="C577" s="1166">
        <v>60</v>
      </c>
      <c r="D577" s="1378" t="s">
        <v>315</v>
      </c>
      <c r="E577" s="1462">
        <v>15000</v>
      </c>
      <c r="F577" s="1463">
        <f>C577*E577</f>
        <v>900000</v>
      </c>
      <c r="G577" s="1374"/>
    </row>
    <row r="578" spans="1:7" ht="48" x14ac:dyDescent="0.25">
      <c r="A578" s="1206"/>
      <c r="B578" s="1461" t="s">
        <v>1797</v>
      </c>
      <c r="C578" s="1166">
        <v>60</v>
      </c>
      <c r="D578" s="1378" t="s">
        <v>315</v>
      </c>
      <c r="E578" s="1462">
        <v>15000</v>
      </c>
      <c r="F578" s="1463">
        <f>C578*E578</f>
        <v>900000</v>
      </c>
      <c r="G578" s="1374"/>
    </row>
    <row r="579" spans="1:7" s="86" customFormat="1" ht="36" x14ac:dyDescent="0.25">
      <c r="A579" s="1207"/>
      <c r="B579" s="1461" t="s">
        <v>1798</v>
      </c>
      <c r="C579" s="1166">
        <v>25</v>
      </c>
      <c r="D579" s="1378" t="s">
        <v>315</v>
      </c>
      <c r="E579" s="1462">
        <v>15000</v>
      </c>
      <c r="F579" s="1463">
        <f>C579*E579</f>
        <v>375000</v>
      </c>
      <c r="G579" s="1375"/>
    </row>
    <row r="580" spans="1:7" ht="48" x14ac:dyDescent="0.25">
      <c r="A580" s="1206"/>
      <c r="B580" s="1461" t="s">
        <v>1799</v>
      </c>
      <c r="C580" s="1166">
        <v>150</v>
      </c>
      <c r="D580" s="1378" t="s">
        <v>315</v>
      </c>
      <c r="E580" s="1464">
        <v>15000</v>
      </c>
      <c r="F580" s="1463">
        <f>C580*E580</f>
        <v>2250000</v>
      </c>
      <c r="G580" s="1374"/>
    </row>
    <row r="581" spans="1:7" x14ac:dyDescent="0.25">
      <c r="A581" s="1175"/>
      <c r="B581" s="1456" t="s">
        <v>574</v>
      </c>
      <c r="C581" s="1166"/>
      <c r="D581" s="1378"/>
      <c r="E581" s="1464"/>
      <c r="F581" s="1463"/>
      <c r="G581" s="1374"/>
    </row>
    <row r="582" spans="1:7" x14ac:dyDescent="0.25">
      <c r="A582" s="1175"/>
      <c r="B582" s="1175" t="s">
        <v>1231</v>
      </c>
      <c r="C582" s="1170">
        <v>2</v>
      </c>
      <c r="D582" s="1171" t="s">
        <v>204</v>
      </c>
      <c r="E582" s="1465">
        <v>500000</v>
      </c>
      <c r="F582" s="1466">
        <f>C582*E582</f>
        <v>1000000</v>
      </c>
      <c r="G582" s="1374"/>
    </row>
    <row r="583" spans="1:7" x14ac:dyDescent="0.25">
      <c r="A583" s="1175"/>
      <c r="B583" s="1461" t="s">
        <v>1232</v>
      </c>
      <c r="C583" s="1166">
        <v>2</v>
      </c>
      <c r="D583" s="1378" t="s">
        <v>315</v>
      </c>
      <c r="E583" s="1464">
        <v>200000</v>
      </c>
      <c r="F583" s="1463">
        <f>C583*E583</f>
        <v>400000</v>
      </c>
      <c r="G583" s="1374"/>
    </row>
    <row r="584" spans="1:7" x14ac:dyDescent="0.25">
      <c r="A584" s="1206"/>
      <c r="B584" s="1461" t="s">
        <v>1233</v>
      </c>
      <c r="C584" s="1166">
        <v>1</v>
      </c>
      <c r="D584" s="1378" t="s">
        <v>204</v>
      </c>
      <c r="E584" s="1464">
        <v>250000</v>
      </c>
      <c r="F584" s="1463">
        <f>C584*E584</f>
        <v>250000</v>
      </c>
      <c r="G584" s="1374"/>
    </row>
    <row r="585" spans="1:7" x14ac:dyDescent="0.25">
      <c r="A585" s="1206"/>
      <c r="B585" s="1461" t="s">
        <v>1800</v>
      </c>
      <c r="C585" s="1166">
        <v>2</v>
      </c>
      <c r="D585" s="1378" t="s">
        <v>204</v>
      </c>
      <c r="E585" s="1464">
        <v>600000</v>
      </c>
      <c r="F585" s="1463">
        <f>C585*E585</f>
        <v>1200000</v>
      </c>
      <c r="G585" s="1374"/>
    </row>
    <row r="586" spans="1:7" x14ac:dyDescent="0.25">
      <c r="A586" s="1175"/>
      <c r="B586" s="1456" t="s">
        <v>1234</v>
      </c>
      <c r="C586" s="1166"/>
      <c r="D586" s="1378"/>
      <c r="E586" s="1462"/>
      <c r="F586" s="1463"/>
      <c r="G586" s="1374"/>
    </row>
    <row r="587" spans="1:7" x14ac:dyDescent="0.25">
      <c r="A587" s="1206"/>
      <c r="B587" s="1461" t="s">
        <v>1235</v>
      </c>
      <c r="C587" s="1166">
        <v>1</v>
      </c>
      <c r="D587" s="1378" t="s">
        <v>204</v>
      </c>
      <c r="E587" s="1464">
        <v>900000</v>
      </c>
      <c r="F587" s="1463">
        <f>C587*E587</f>
        <v>900000</v>
      </c>
      <c r="G587" s="1374"/>
    </row>
    <row r="588" spans="1:7" x14ac:dyDescent="0.25">
      <c r="A588" s="1206"/>
      <c r="B588" s="1456" t="s">
        <v>340</v>
      </c>
      <c r="C588" s="1166"/>
      <c r="D588" s="1378"/>
      <c r="E588" s="1464"/>
      <c r="F588" s="1463"/>
      <c r="G588" s="1374"/>
    </row>
    <row r="589" spans="1:7" ht="36" x14ac:dyDescent="0.25">
      <c r="A589" s="1175"/>
      <c r="B589" s="1456" t="s">
        <v>1236</v>
      </c>
      <c r="C589" s="1166"/>
      <c r="D589" s="1378"/>
      <c r="E589" s="1467"/>
      <c r="F589" s="1463"/>
      <c r="G589" s="1374"/>
    </row>
    <row r="590" spans="1:7" ht="24" x14ac:dyDescent="0.25">
      <c r="A590" s="1175"/>
      <c r="B590" s="1461" t="s">
        <v>1801</v>
      </c>
      <c r="C590" s="1166">
        <v>5</v>
      </c>
      <c r="D590" s="1378" t="s">
        <v>461</v>
      </c>
      <c r="E590" s="1462">
        <v>100000</v>
      </c>
      <c r="F590" s="1463">
        <f>C590*E590</f>
        <v>500000</v>
      </c>
      <c r="G590" s="1374"/>
    </row>
    <row r="591" spans="1:7" ht="24" x14ac:dyDescent="0.25">
      <c r="A591" s="1175"/>
      <c r="B591" s="1461" t="s">
        <v>1802</v>
      </c>
      <c r="C591" s="1166">
        <v>5</v>
      </c>
      <c r="D591" s="1378" t="s">
        <v>461</v>
      </c>
      <c r="E591" s="1462">
        <v>100000</v>
      </c>
      <c r="F591" s="1463">
        <f>C591*E591</f>
        <v>500000</v>
      </c>
      <c r="G591" s="1374"/>
    </row>
    <row r="592" spans="1:7" ht="24" x14ac:dyDescent="0.25">
      <c r="A592" s="1206"/>
      <c r="B592" s="1461" t="s">
        <v>1237</v>
      </c>
      <c r="C592" s="1166">
        <v>60</v>
      </c>
      <c r="D592" s="1378" t="s">
        <v>461</v>
      </c>
      <c r="E592" s="1462">
        <v>100000</v>
      </c>
      <c r="F592" s="1463">
        <f>C592*E592</f>
        <v>6000000</v>
      </c>
      <c r="G592" s="1374"/>
    </row>
    <row r="593" spans="1:7" ht="36" x14ac:dyDescent="0.25">
      <c r="A593" s="1175"/>
      <c r="B593" s="1456" t="s">
        <v>1238</v>
      </c>
      <c r="C593" s="1166"/>
      <c r="D593" s="1378"/>
      <c r="E593" s="1462"/>
      <c r="F593" s="1463"/>
      <c r="G593" s="1374"/>
    </row>
    <row r="594" spans="1:7" x14ac:dyDescent="0.25">
      <c r="A594" s="1206"/>
      <c r="B594" s="1456" t="s">
        <v>425</v>
      </c>
      <c r="C594" s="1166"/>
      <c r="D594" s="1378"/>
      <c r="E594" s="1462"/>
      <c r="F594" s="1463"/>
      <c r="G594" s="1374"/>
    </row>
    <row r="595" spans="1:7" x14ac:dyDescent="0.25">
      <c r="A595" s="1206"/>
      <c r="B595" s="1175" t="s">
        <v>1803</v>
      </c>
      <c r="C595" s="1170">
        <v>50</v>
      </c>
      <c r="D595" s="1171" t="s">
        <v>461</v>
      </c>
      <c r="E595" s="1468">
        <v>50000</v>
      </c>
      <c r="F595" s="1466">
        <f>C595*E595</f>
        <v>2500000</v>
      </c>
      <c r="G595" s="1374"/>
    </row>
    <row r="596" spans="1:7" x14ac:dyDescent="0.25">
      <c r="A596" s="1206"/>
      <c r="B596" s="1175" t="s">
        <v>1804</v>
      </c>
      <c r="C596" s="1170">
        <v>15</v>
      </c>
      <c r="D596" s="1171" t="s">
        <v>461</v>
      </c>
      <c r="E596" s="1468">
        <v>50000</v>
      </c>
      <c r="F596" s="1466">
        <f>C596*E596</f>
        <v>750000</v>
      </c>
      <c r="G596" s="1374"/>
    </row>
    <row r="597" spans="1:7" x14ac:dyDescent="0.25">
      <c r="A597" s="1206"/>
      <c r="B597" s="1175" t="s">
        <v>1239</v>
      </c>
      <c r="C597" s="1170">
        <v>60</v>
      </c>
      <c r="D597" s="1171" t="s">
        <v>461</v>
      </c>
      <c r="E597" s="1468">
        <v>50000</v>
      </c>
      <c r="F597" s="1466">
        <f>C597*E597</f>
        <v>3000000</v>
      </c>
      <c r="G597" s="1374"/>
    </row>
    <row r="598" spans="1:7" x14ac:dyDescent="0.25">
      <c r="A598" s="1206"/>
      <c r="B598" s="1451" t="s">
        <v>1240</v>
      </c>
      <c r="C598" s="1166"/>
      <c r="D598" s="1378"/>
      <c r="E598" s="1462"/>
      <c r="F598" s="1463"/>
      <c r="G598" s="1374"/>
    </row>
    <row r="599" spans="1:7" x14ac:dyDescent="0.25">
      <c r="A599" s="1206"/>
      <c r="B599" s="1460" t="s">
        <v>354</v>
      </c>
      <c r="C599" s="1170"/>
      <c r="D599" s="1171"/>
      <c r="E599" s="1465"/>
      <c r="F599" s="1466"/>
      <c r="G599" s="1374"/>
    </row>
    <row r="600" spans="1:7" ht="24" x14ac:dyDescent="0.25">
      <c r="A600" s="1206"/>
      <c r="B600" s="1461" t="s">
        <v>1241</v>
      </c>
      <c r="C600" s="1166">
        <v>150</v>
      </c>
      <c r="D600" s="1378" t="s">
        <v>315</v>
      </c>
      <c r="E600" s="1464">
        <v>15000</v>
      </c>
      <c r="F600" s="1463">
        <f>C600*E600</f>
        <v>2250000</v>
      </c>
      <c r="G600" s="1374"/>
    </row>
    <row r="601" spans="1:7" x14ac:dyDescent="0.25">
      <c r="A601" s="1206"/>
      <c r="B601" s="1460" t="s">
        <v>1188</v>
      </c>
      <c r="C601" s="1170"/>
      <c r="D601" s="1171"/>
      <c r="E601" s="1468"/>
      <c r="F601" s="1466"/>
      <c r="G601" s="1374"/>
    </row>
    <row r="602" spans="1:7" ht="24" x14ac:dyDescent="0.25">
      <c r="A602" s="1206"/>
      <c r="B602" s="1456" t="s">
        <v>1242</v>
      </c>
      <c r="C602" s="1166"/>
      <c r="D602" s="1378"/>
      <c r="E602" s="1464"/>
      <c r="F602" s="1463"/>
      <c r="G602" s="1374"/>
    </row>
    <row r="603" spans="1:7" ht="48" x14ac:dyDescent="0.25">
      <c r="A603" s="1206"/>
      <c r="B603" s="1461" t="s">
        <v>1805</v>
      </c>
      <c r="C603" s="1166"/>
      <c r="D603" s="1378"/>
      <c r="E603" s="1464"/>
      <c r="F603" s="1463"/>
      <c r="G603" s="1374"/>
    </row>
    <row r="604" spans="1:7" x14ac:dyDescent="0.25">
      <c r="A604" s="1206"/>
      <c r="B604" s="1469" t="s">
        <v>1243</v>
      </c>
      <c r="C604" s="1166">
        <v>71</v>
      </c>
      <c r="D604" s="1378" t="s">
        <v>123</v>
      </c>
      <c r="E604" s="1464">
        <v>160000</v>
      </c>
      <c r="F604" s="1463">
        <f>C604*E604</f>
        <v>11360000</v>
      </c>
      <c r="G604" s="1374"/>
    </row>
    <row r="605" spans="1:7" x14ac:dyDescent="0.25">
      <c r="A605" s="1206"/>
      <c r="B605" s="1469" t="s">
        <v>1244</v>
      </c>
      <c r="C605" s="1166">
        <v>71</v>
      </c>
      <c r="D605" s="1378" t="s">
        <v>123</v>
      </c>
      <c r="E605" s="1464">
        <v>160000</v>
      </c>
      <c r="F605" s="1463">
        <f>C605*E605</f>
        <v>11360000</v>
      </c>
      <c r="G605" s="1374"/>
    </row>
    <row r="606" spans="1:7" x14ac:dyDescent="0.25">
      <c r="A606" s="1206"/>
      <c r="B606" s="1469" t="s">
        <v>943</v>
      </c>
      <c r="C606" s="1166">
        <v>71</v>
      </c>
      <c r="D606" s="1378" t="s">
        <v>123</v>
      </c>
      <c r="E606" s="1464">
        <v>50000</v>
      </c>
      <c r="F606" s="1463">
        <f>C606*E606</f>
        <v>3550000</v>
      </c>
      <c r="G606" s="1374"/>
    </row>
    <row r="607" spans="1:7" x14ac:dyDescent="0.25">
      <c r="A607" s="1206"/>
      <c r="B607" s="1469" t="s">
        <v>1245</v>
      </c>
      <c r="C607" s="1166">
        <v>71</v>
      </c>
      <c r="D607" s="1378" t="s">
        <v>123</v>
      </c>
      <c r="E607" s="1464">
        <v>200000</v>
      </c>
      <c r="F607" s="1463">
        <f>C607*E607</f>
        <v>14200000</v>
      </c>
      <c r="G607" s="1374"/>
    </row>
    <row r="608" spans="1:7" ht="24" x14ac:dyDescent="0.25">
      <c r="A608" s="1206"/>
      <c r="B608" s="1456" t="s">
        <v>319</v>
      </c>
      <c r="C608" s="1166"/>
      <c r="D608" s="1378"/>
      <c r="E608" s="1464"/>
      <c r="F608" s="1463"/>
      <c r="G608" s="1374"/>
    </row>
    <row r="609" spans="1:10" x14ac:dyDescent="0.25">
      <c r="A609" s="1206"/>
      <c r="B609" s="1461" t="s">
        <v>380</v>
      </c>
      <c r="C609" s="1166">
        <v>3</v>
      </c>
      <c r="D609" s="1378" t="s">
        <v>333</v>
      </c>
      <c r="E609" s="1464">
        <v>50000</v>
      </c>
      <c r="F609" s="1463">
        <f>C609*E609</f>
        <v>150000</v>
      </c>
      <c r="G609" s="1374"/>
    </row>
    <row r="610" spans="1:10" x14ac:dyDescent="0.25">
      <c r="A610" s="1206"/>
      <c r="B610" s="1461" t="s">
        <v>321</v>
      </c>
      <c r="C610" s="1166">
        <v>15</v>
      </c>
      <c r="D610" s="1378" t="s">
        <v>186</v>
      </c>
      <c r="E610" s="1464">
        <v>3000</v>
      </c>
      <c r="F610" s="1463">
        <f>C610*E610</f>
        <v>45000</v>
      </c>
      <c r="G610" s="1374"/>
    </row>
    <row r="611" spans="1:10" x14ac:dyDescent="0.25">
      <c r="A611" s="1206"/>
      <c r="B611" s="1461" t="s">
        <v>335</v>
      </c>
      <c r="C611" s="1166">
        <v>1</v>
      </c>
      <c r="D611" s="1378" t="s">
        <v>336</v>
      </c>
      <c r="E611" s="1464">
        <v>10000</v>
      </c>
      <c r="F611" s="1463">
        <f>C611*E611</f>
        <v>10000</v>
      </c>
      <c r="G611" s="1374"/>
    </row>
    <row r="612" spans="1:10" x14ac:dyDescent="0.25">
      <c r="A612" s="1253"/>
      <c r="B612" s="1456" t="s">
        <v>340</v>
      </c>
      <c r="C612" s="1166"/>
      <c r="D612" s="1378"/>
      <c r="E612" s="1462"/>
      <c r="F612" s="1463"/>
      <c r="G612" s="1374"/>
    </row>
    <row r="613" spans="1:10" ht="36" x14ac:dyDescent="0.25">
      <c r="A613" s="1206"/>
      <c r="B613" s="1456" t="s">
        <v>575</v>
      </c>
      <c r="C613" s="1166"/>
      <c r="D613" s="1378"/>
      <c r="E613" s="1462"/>
      <c r="F613" s="1463"/>
      <c r="G613" s="1374"/>
    </row>
    <row r="614" spans="1:10" x14ac:dyDescent="0.25">
      <c r="A614" s="1207"/>
      <c r="B614" s="1461" t="s">
        <v>214</v>
      </c>
      <c r="C614" s="1166">
        <v>1</v>
      </c>
      <c r="D614" s="1378" t="s">
        <v>461</v>
      </c>
      <c r="E614" s="1464">
        <v>300000</v>
      </c>
      <c r="F614" s="1463">
        <f>C614*E614</f>
        <v>300000</v>
      </c>
      <c r="G614" s="1374"/>
    </row>
    <row r="615" spans="1:10" x14ac:dyDescent="0.25">
      <c r="A615" s="1207"/>
      <c r="B615" s="1461" t="s">
        <v>391</v>
      </c>
      <c r="C615" s="1166">
        <v>2</v>
      </c>
      <c r="D615" s="1378" t="s">
        <v>461</v>
      </c>
      <c r="E615" s="1464">
        <v>200000</v>
      </c>
      <c r="F615" s="1463">
        <f>C615*E615</f>
        <v>400000</v>
      </c>
      <c r="G615" s="1374"/>
    </row>
    <row r="616" spans="1:10" s="358" customFormat="1" ht="24" x14ac:dyDescent="0.25">
      <c r="A616" s="1470"/>
      <c r="B616" s="1456" t="s">
        <v>393</v>
      </c>
      <c r="C616" s="1250"/>
      <c r="D616" s="1381"/>
      <c r="E616" s="1471"/>
      <c r="F616" s="1472"/>
      <c r="G616" s="1473"/>
    </row>
    <row r="617" spans="1:10" x14ac:dyDescent="0.25">
      <c r="A617" s="1461"/>
      <c r="B617" s="1461" t="s">
        <v>1806</v>
      </c>
      <c r="C617" s="1166">
        <v>9</v>
      </c>
      <c r="D617" s="1378" t="s">
        <v>315</v>
      </c>
      <c r="E617" s="1464">
        <v>50000</v>
      </c>
      <c r="F617" s="1463">
        <f>C617*E617</f>
        <v>450000</v>
      </c>
      <c r="G617" s="1374"/>
    </row>
    <row r="618" spans="1:10" x14ac:dyDescent="0.25">
      <c r="A618" s="1461"/>
      <c r="B618" s="1461" t="s">
        <v>1246</v>
      </c>
      <c r="C618" s="1166">
        <v>45</v>
      </c>
      <c r="D618" s="1378" t="s">
        <v>315</v>
      </c>
      <c r="E618" s="1464">
        <v>50000</v>
      </c>
      <c r="F618" s="1463">
        <f>C618*E618</f>
        <v>2250000</v>
      </c>
      <c r="G618" s="1374"/>
    </row>
    <row r="619" spans="1:10" x14ac:dyDescent="0.25">
      <c r="A619" s="1474"/>
      <c r="B619" s="1183"/>
      <c r="C619" s="1379"/>
      <c r="D619" s="1380"/>
      <c r="E619" s="1475"/>
      <c r="F619" s="1475"/>
      <c r="G619" s="1374"/>
    </row>
    <row r="620" spans="1:10" x14ac:dyDescent="0.25">
      <c r="A620" s="1474"/>
      <c r="B620" s="2011" t="s">
        <v>27</v>
      </c>
      <c r="C620" s="2011"/>
      <c r="D620" s="2011"/>
      <c r="E620" s="2011"/>
      <c r="F620" s="1476">
        <f>SUM(F577:F618)</f>
        <v>67750000</v>
      </c>
      <c r="G620" s="1374" t="s">
        <v>1682</v>
      </c>
      <c r="J620" s="286"/>
    </row>
    <row r="621" spans="1:10" x14ac:dyDescent="0.25">
      <c r="A621" s="1840" t="s">
        <v>614</v>
      </c>
      <c r="B621" s="1840"/>
      <c r="C621" s="1161" t="s">
        <v>28</v>
      </c>
      <c r="D621" s="1842" t="s">
        <v>1700</v>
      </c>
      <c r="E621" s="1842"/>
      <c r="F621" s="1842"/>
      <c r="G621" s="1161"/>
    </row>
    <row r="622" spans="1:10" x14ac:dyDescent="0.25">
      <c r="A622" s="1840" t="s">
        <v>29</v>
      </c>
      <c r="B622" s="1840"/>
      <c r="C622" s="1161"/>
      <c r="D622" s="1844" t="s">
        <v>1699</v>
      </c>
      <c r="E622" s="1844"/>
      <c r="F622" s="1844"/>
      <c r="G622" s="1161"/>
    </row>
    <row r="623" spans="1:10" x14ac:dyDescent="0.25">
      <c r="A623" s="1188"/>
      <c r="B623" s="1189"/>
      <c r="C623" s="1161"/>
      <c r="D623" s="1187"/>
      <c r="E623" s="1162"/>
      <c r="F623" s="1162"/>
      <c r="G623" s="1161"/>
    </row>
    <row r="624" spans="1:10" x14ac:dyDescent="0.25">
      <c r="A624" s="1188"/>
      <c r="B624" s="1189"/>
      <c r="C624" s="1161"/>
      <c r="D624" s="1187"/>
      <c r="E624" s="1162"/>
      <c r="F624" s="1216"/>
      <c r="G624" s="1161"/>
    </row>
    <row r="625" spans="1:7" x14ac:dyDescent="0.25">
      <c r="A625" s="1840"/>
      <c r="B625" s="1840"/>
      <c r="C625" s="1161"/>
      <c r="D625" s="1187"/>
      <c r="E625" s="1974"/>
      <c r="F625" s="1840"/>
      <c r="G625" s="1161"/>
    </row>
    <row r="626" spans="1:7" x14ac:dyDescent="0.25">
      <c r="A626" s="1840" t="s">
        <v>30</v>
      </c>
      <c r="B626" s="1840"/>
      <c r="C626" s="1161"/>
      <c r="D626" s="1840" t="s">
        <v>615</v>
      </c>
      <c r="E626" s="1840"/>
      <c r="F626" s="1840"/>
      <c r="G626" s="1161"/>
    </row>
    <row r="627" spans="1:7" x14ac:dyDescent="0.25">
      <c r="A627" s="136"/>
      <c r="B627" s="136"/>
      <c r="C627" s="5"/>
      <c r="D627" s="136"/>
      <c r="E627" s="136"/>
      <c r="F627" s="136"/>
      <c r="G627" s="5"/>
    </row>
    <row r="628" spans="1:7" x14ac:dyDescent="0.25">
      <c r="A628" s="1992" t="s">
        <v>0</v>
      </c>
      <c r="B628" s="1992"/>
      <c r="C628" s="1992"/>
      <c r="D628" s="1992"/>
      <c r="E628" s="1992"/>
      <c r="F628" s="1992"/>
      <c r="G628" s="1992"/>
    </row>
    <row r="629" spans="1:7" x14ac:dyDescent="0.25">
      <c r="A629" s="1992" t="s">
        <v>1</v>
      </c>
      <c r="B629" s="1992"/>
      <c r="C629" s="1992"/>
      <c r="D629" s="1992"/>
      <c r="E629" s="1992"/>
      <c r="F629" s="1992"/>
      <c r="G629" s="1992"/>
    </row>
    <row r="630" spans="1:7" x14ac:dyDescent="0.25">
      <c r="A630" s="1992" t="s">
        <v>1697</v>
      </c>
      <c r="B630" s="1992"/>
      <c r="C630" s="1992"/>
      <c r="D630" s="1992"/>
      <c r="E630" s="1992"/>
      <c r="F630" s="1992"/>
      <c r="G630" s="1992"/>
    </row>
    <row r="631" spans="1:7" x14ac:dyDescent="0.25">
      <c r="A631" s="793"/>
      <c r="B631" s="793"/>
      <c r="C631" s="793"/>
      <c r="D631" s="793"/>
      <c r="E631" s="793"/>
      <c r="F631" s="793"/>
      <c r="G631" s="794"/>
    </row>
    <row r="632" spans="1:7" x14ac:dyDescent="0.25">
      <c r="A632" s="703" t="s">
        <v>296</v>
      </c>
      <c r="B632" s="703" t="s">
        <v>1089</v>
      </c>
      <c r="C632" s="703"/>
      <c r="D632" s="703"/>
      <c r="E632" s="705" t="s">
        <v>6</v>
      </c>
      <c r="F632" s="795" t="s">
        <v>65</v>
      </c>
      <c r="G632" s="796"/>
    </row>
    <row r="633" spans="1:7" x14ac:dyDescent="0.25">
      <c r="A633" s="703" t="s">
        <v>297</v>
      </c>
      <c r="B633" s="797" t="s">
        <v>1393</v>
      </c>
      <c r="C633" s="703"/>
      <c r="D633" s="703"/>
      <c r="E633" s="708" t="s">
        <v>573</v>
      </c>
      <c r="F633" s="798" t="s">
        <v>65</v>
      </c>
      <c r="G633" s="796"/>
    </row>
    <row r="634" spans="1:7" s="86" customFormat="1" ht="165.75" customHeight="1" x14ac:dyDescent="0.25">
      <c r="A634" s="799" t="s">
        <v>298</v>
      </c>
      <c r="B634" s="856" t="s">
        <v>1819</v>
      </c>
      <c r="C634" s="856"/>
      <c r="D634" s="856"/>
      <c r="E634" s="704"/>
      <c r="F634" s="800"/>
      <c r="G634" s="796"/>
    </row>
    <row r="635" spans="1:7" x14ac:dyDescent="0.25">
      <c r="A635" s="389" t="s">
        <v>62</v>
      </c>
      <c r="B635" s="389" t="s">
        <v>63</v>
      </c>
      <c r="C635" s="389"/>
      <c r="D635" s="441"/>
      <c r="E635" s="441"/>
      <c r="F635" s="801"/>
      <c r="G635" s="796"/>
    </row>
    <row r="636" spans="1:7" x14ac:dyDescent="0.25">
      <c r="A636" s="389" t="s">
        <v>64</v>
      </c>
      <c r="B636" s="389" t="s">
        <v>65</v>
      </c>
      <c r="C636" s="389"/>
      <c r="D636" s="1835"/>
      <c r="E636" s="1835"/>
      <c r="F636" s="801"/>
      <c r="G636" s="796"/>
    </row>
    <row r="637" spans="1:7" ht="36" x14ac:dyDescent="0.25">
      <c r="A637" s="802" t="s">
        <v>300</v>
      </c>
      <c r="B637" s="802" t="s">
        <v>12</v>
      </c>
      <c r="C637" s="1960" t="s">
        <v>13</v>
      </c>
      <c r="D637" s="1961"/>
      <c r="E637" s="803" t="s">
        <v>14</v>
      </c>
      <c r="F637" s="786" t="s">
        <v>15</v>
      </c>
      <c r="G637" s="804" t="s">
        <v>301</v>
      </c>
    </row>
    <row r="638" spans="1:7" x14ac:dyDescent="0.25">
      <c r="A638" s="443">
        <v>1</v>
      </c>
      <c r="B638" s="443">
        <v>2</v>
      </c>
      <c r="C638" s="1836">
        <v>3</v>
      </c>
      <c r="D638" s="1837"/>
      <c r="E638" s="782">
        <v>4</v>
      </c>
      <c r="F638" s="444">
        <v>5</v>
      </c>
      <c r="G638" s="805">
        <v>6</v>
      </c>
    </row>
    <row r="639" spans="1:7" x14ac:dyDescent="0.25">
      <c r="A639" s="575" t="s">
        <v>1302</v>
      </c>
      <c r="B639" s="806" t="s">
        <v>323</v>
      </c>
      <c r="C639" s="392"/>
      <c r="D639" s="393"/>
      <c r="E639" s="446"/>
      <c r="F639" s="446"/>
      <c r="G639" s="665"/>
    </row>
    <row r="640" spans="1:7" x14ac:dyDescent="0.25">
      <c r="A640" s="575" t="s">
        <v>1306</v>
      </c>
      <c r="B640" s="712" t="s">
        <v>88</v>
      </c>
      <c r="C640" s="392"/>
      <c r="D640" s="393"/>
      <c r="E640" s="446"/>
      <c r="F640" s="446"/>
      <c r="G640" s="665"/>
    </row>
    <row r="641" spans="1:10" ht="24" x14ac:dyDescent="0.25">
      <c r="A641" s="575" t="s">
        <v>1305</v>
      </c>
      <c r="B641" s="663" t="s">
        <v>354</v>
      </c>
      <c r="C641" s="392"/>
      <c r="D641" s="393"/>
      <c r="E641" s="713"/>
      <c r="F641" s="714"/>
      <c r="G641" s="715"/>
    </row>
    <row r="642" spans="1:10" x14ac:dyDescent="0.25">
      <c r="A642" s="549"/>
      <c r="B642" s="807" t="s">
        <v>1820</v>
      </c>
      <c r="C642" s="392">
        <v>30</v>
      </c>
      <c r="D642" s="393" t="s">
        <v>315</v>
      </c>
      <c r="E642" s="717">
        <v>15000</v>
      </c>
      <c r="F642" s="714">
        <f>C642*E642</f>
        <v>450000</v>
      </c>
      <c r="G642" s="715"/>
      <c r="H642" s="495"/>
    </row>
    <row r="643" spans="1:10" ht="36" x14ac:dyDescent="0.25">
      <c r="A643" s="549"/>
      <c r="B643" s="716" t="s">
        <v>1821</v>
      </c>
      <c r="C643" s="392">
        <v>126</v>
      </c>
      <c r="D643" s="393" t="s">
        <v>315</v>
      </c>
      <c r="E643" s="717">
        <v>15000</v>
      </c>
      <c r="F643" s="714">
        <f>C643*E643</f>
        <v>1890000</v>
      </c>
      <c r="G643" s="715"/>
      <c r="H643" s="495"/>
      <c r="J643" s="495"/>
    </row>
    <row r="644" spans="1:10" ht="36" x14ac:dyDescent="0.25">
      <c r="A644" s="549"/>
      <c r="B644" s="808" t="s">
        <v>1822</v>
      </c>
      <c r="C644" s="392">
        <v>38</v>
      </c>
      <c r="D644" s="393" t="s">
        <v>315</v>
      </c>
      <c r="E644" s="717">
        <v>15000</v>
      </c>
      <c r="F644" s="714">
        <f>C644*E644</f>
        <v>570000</v>
      </c>
      <c r="G644" s="715"/>
      <c r="I644" s="495"/>
    </row>
    <row r="645" spans="1:10" ht="60" x14ac:dyDescent="0.25">
      <c r="A645" s="720"/>
      <c r="B645" s="808" t="s">
        <v>1823</v>
      </c>
      <c r="C645" s="392">
        <v>85</v>
      </c>
      <c r="D645" s="393" t="s">
        <v>315</v>
      </c>
      <c r="E645" s="717">
        <v>15000</v>
      </c>
      <c r="F645" s="714">
        <f>C645*E645</f>
        <v>1275000</v>
      </c>
      <c r="G645" s="715"/>
    </row>
    <row r="646" spans="1:10" ht="24" x14ac:dyDescent="0.25">
      <c r="A646" s="575" t="s">
        <v>1395</v>
      </c>
      <c r="B646" s="711" t="s">
        <v>1291</v>
      </c>
      <c r="C646" s="392"/>
      <c r="D646" s="393"/>
      <c r="E646" s="717"/>
      <c r="F646" s="714"/>
      <c r="G646" s="715"/>
    </row>
    <row r="647" spans="1:10" x14ac:dyDescent="0.25">
      <c r="A647" s="549"/>
      <c r="B647" s="716" t="s">
        <v>976</v>
      </c>
      <c r="C647" s="392">
        <v>3</v>
      </c>
      <c r="D647" s="393" t="s">
        <v>123</v>
      </c>
      <c r="E647" s="717">
        <v>90000</v>
      </c>
      <c r="F647" s="714">
        <f>C647*E647</f>
        <v>270000</v>
      </c>
      <c r="G647" s="715"/>
    </row>
    <row r="648" spans="1:10" x14ac:dyDescent="0.25">
      <c r="A648" s="575" t="s">
        <v>1396</v>
      </c>
      <c r="B648" s="784" t="s">
        <v>319</v>
      </c>
      <c r="C648" s="392"/>
      <c r="D648" s="393"/>
      <c r="E648" s="717"/>
      <c r="F648" s="714"/>
      <c r="G648" s="715"/>
    </row>
    <row r="649" spans="1:10" ht="12" customHeight="1" x14ac:dyDescent="0.25">
      <c r="A649" s="395"/>
      <c r="B649" s="391" t="s">
        <v>496</v>
      </c>
      <c r="C649" s="392">
        <v>3</v>
      </c>
      <c r="D649" s="393" t="s">
        <v>102</v>
      </c>
      <c r="E649" s="717">
        <v>50000</v>
      </c>
      <c r="F649" s="714">
        <f>C649*E649</f>
        <v>150000</v>
      </c>
      <c r="G649" s="715"/>
    </row>
    <row r="650" spans="1:10" ht="12" customHeight="1" x14ac:dyDescent="0.25">
      <c r="A650" s="395"/>
      <c r="B650" s="391" t="s">
        <v>321</v>
      </c>
      <c r="C650" s="392">
        <v>10</v>
      </c>
      <c r="D650" s="393" t="s">
        <v>186</v>
      </c>
      <c r="E650" s="717">
        <v>3000</v>
      </c>
      <c r="F650" s="714">
        <f>C650*E650</f>
        <v>30000</v>
      </c>
      <c r="G650" s="715"/>
    </row>
    <row r="651" spans="1:10" ht="12" customHeight="1" x14ac:dyDescent="0.25">
      <c r="A651" s="395"/>
      <c r="B651" s="391" t="s">
        <v>335</v>
      </c>
      <c r="C651" s="392">
        <v>1</v>
      </c>
      <c r="D651" s="393" t="s">
        <v>336</v>
      </c>
      <c r="E651" s="717">
        <v>10000</v>
      </c>
      <c r="F651" s="714">
        <f>C651*E651</f>
        <v>10000</v>
      </c>
      <c r="G651" s="715"/>
    </row>
    <row r="652" spans="1:10" ht="12" customHeight="1" x14ac:dyDescent="0.25">
      <c r="A652" s="578"/>
      <c r="B652" s="716" t="s">
        <v>413</v>
      </c>
      <c r="C652" s="392">
        <v>3</v>
      </c>
      <c r="D652" s="393" t="s">
        <v>123</v>
      </c>
      <c r="E652" s="717">
        <v>20000</v>
      </c>
      <c r="F652" s="714">
        <f>C652*E652</f>
        <v>60000</v>
      </c>
      <c r="G652" s="715"/>
    </row>
    <row r="653" spans="1:10" x14ac:dyDescent="0.25">
      <c r="A653" s="575" t="s">
        <v>1304</v>
      </c>
      <c r="B653" s="711" t="s">
        <v>340</v>
      </c>
      <c r="C653" s="392"/>
      <c r="D653" s="393"/>
      <c r="E653" s="717"/>
      <c r="F653" s="714"/>
      <c r="G653" s="715"/>
    </row>
    <row r="654" spans="1:10" ht="48" x14ac:dyDescent="0.25">
      <c r="A654" s="575" t="s">
        <v>1303</v>
      </c>
      <c r="B654" s="711" t="s">
        <v>1290</v>
      </c>
      <c r="C654" s="392"/>
      <c r="D654" s="393"/>
      <c r="E654" s="717"/>
      <c r="F654" s="714"/>
      <c r="G654" s="715"/>
    </row>
    <row r="655" spans="1:10" ht="12" customHeight="1" x14ac:dyDescent="0.25">
      <c r="A655" s="541"/>
      <c r="B655" s="719" t="s">
        <v>1824</v>
      </c>
      <c r="C655" s="392">
        <v>9</v>
      </c>
      <c r="D655" s="393" t="s">
        <v>461</v>
      </c>
      <c r="E655" s="717">
        <v>300000</v>
      </c>
      <c r="F655" s="714">
        <f>C655*E655</f>
        <v>2700000</v>
      </c>
      <c r="G655" s="715"/>
    </row>
    <row r="656" spans="1:10" ht="12" customHeight="1" x14ac:dyDescent="0.25">
      <c r="A656" s="541"/>
      <c r="B656" s="719" t="s">
        <v>1825</v>
      </c>
      <c r="C656" s="392">
        <v>8</v>
      </c>
      <c r="D656" s="393" t="s">
        <v>461</v>
      </c>
      <c r="E656" s="717">
        <v>300000</v>
      </c>
      <c r="F656" s="714">
        <f>C656*E656</f>
        <v>2400000</v>
      </c>
      <c r="G656" s="715"/>
    </row>
    <row r="657" spans="1:7" ht="36" x14ac:dyDescent="0.25">
      <c r="A657" s="575" t="s">
        <v>1301</v>
      </c>
      <c r="B657" s="663" t="s">
        <v>532</v>
      </c>
      <c r="C657" s="444"/>
      <c r="D657" s="517"/>
      <c r="E657" s="723"/>
      <c r="F657" s="714"/>
      <c r="G657" s="715"/>
    </row>
    <row r="658" spans="1:7" ht="24" x14ac:dyDescent="0.25">
      <c r="A658" s="575" t="s">
        <v>1396</v>
      </c>
      <c r="B658" s="663" t="s">
        <v>1201</v>
      </c>
      <c r="C658" s="392"/>
      <c r="D658" s="393"/>
      <c r="E658" s="717"/>
      <c r="F658" s="714"/>
      <c r="G658" s="715"/>
    </row>
    <row r="659" spans="1:7" x14ac:dyDescent="0.25">
      <c r="A659" s="549"/>
      <c r="B659" s="711" t="s">
        <v>932</v>
      </c>
      <c r="C659" s="392"/>
      <c r="D659" s="393"/>
      <c r="E659" s="717"/>
      <c r="F659" s="714"/>
      <c r="G659" s="715"/>
    </row>
    <row r="660" spans="1:7" ht="12" customHeight="1" x14ac:dyDescent="0.25">
      <c r="A660" s="549"/>
      <c r="B660" s="716" t="s">
        <v>1282</v>
      </c>
      <c r="C660" s="392">
        <v>4</v>
      </c>
      <c r="D660" s="809" t="s">
        <v>448</v>
      </c>
      <c r="E660" s="717">
        <v>1000000</v>
      </c>
      <c r="F660" s="714">
        <f>C660*E660</f>
        <v>4000000</v>
      </c>
      <c r="G660" s="715"/>
    </row>
    <row r="661" spans="1:7" ht="12" customHeight="1" x14ac:dyDescent="0.25">
      <c r="A661" s="575"/>
      <c r="B661" s="716" t="s">
        <v>1281</v>
      </c>
      <c r="C661" s="392">
        <v>4</v>
      </c>
      <c r="D661" s="809" t="s">
        <v>448</v>
      </c>
      <c r="E661" s="717">
        <v>750000</v>
      </c>
      <c r="F661" s="714">
        <f>C661*E661</f>
        <v>3000000</v>
      </c>
      <c r="G661" s="715"/>
    </row>
    <row r="662" spans="1:7" ht="12" customHeight="1" x14ac:dyDescent="0.25">
      <c r="A662" s="549"/>
      <c r="B662" s="716" t="s">
        <v>1280</v>
      </c>
      <c r="C662" s="392">
        <v>4</v>
      </c>
      <c r="D662" s="809" t="s">
        <v>448</v>
      </c>
      <c r="E662" s="717">
        <v>500000</v>
      </c>
      <c r="F662" s="714">
        <f>C662*E662</f>
        <v>2000000</v>
      </c>
      <c r="G662" s="715"/>
    </row>
    <row r="663" spans="1:7" x14ac:dyDescent="0.25">
      <c r="A663" s="549"/>
      <c r="B663" s="711" t="s">
        <v>1279</v>
      </c>
      <c r="C663" s="392"/>
      <c r="D663" s="393"/>
      <c r="E663" s="717"/>
      <c r="F663" s="714"/>
      <c r="G663" s="715"/>
    </row>
    <row r="664" spans="1:7" x14ac:dyDescent="0.25">
      <c r="A664" s="549"/>
      <c r="B664" s="716" t="s">
        <v>1278</v>
      </c>
      <c r="C664" s="392">
        <v>4</v>
      </c>
      <c r="D664" s="393" t="s">
        <v>159</v>
      </c>
      <c r="E664" s="717">
        <v>1200000</v>
      </c>
      <c r="F664" s="714">
        <f>C664*E664</f>
        <v>4800000</v>
      </c>
      <c r="G664" s="715"/>
    </row>
    <row r="665" spans="1:7" x14ac:dyDescent="0.25">
      <c r="A665" s="541"/>
      <c r="B665" s="724" t="s">
        <v>1277</v>
      </c>
      <c r="C665" s="392"/>
      <c r="D665" s="393"/>
      <c r="E665" s="717"/>
      <c r="F665" s="714"/>
      <c r="G665" s="715"/>
    </row>
    <row r="666" spans="1:7" ht="12" customHeight="1" x14ac:dyDescent="0.25">
      <c r="A666" s="544"/>
      <c r="B666" s="391" t="s">
        <v>1397</v>
      </c>
      <c r="C666" s="392">
        <v>32</v>
      </c>
      <c r="D666" s="393" t="s">
        <v>123</v>
      </c>
      <c r="E666" s="717">
        <v>6000</v>
      </c>
      <c r="F666" s="714">
        <f>C666*E666</f>
        <v>192000</v>
      </c>
      <c r="G666" s="715"/>
    </row>
    <row r="667" spans="1:7" ht="12" customHeight="1" x14ac:dyDescent="0.25">
      <c r="A667" s="549"/>
      <c r="B667" s="716" t="s">
        <v>1398</v>
      </c>
      <c r="C667" s="392">
        <v>12</v>
      </c>
      <c r="D667" s="393" t="s">
        <v>123</v>
      </c>
      <c r="E667" s="717">
        <v>6000</v>
      </c>
      <c r="F667" s="714">
        <f>C667*E667</f>
        <v>72000</v>
      </c>
      <c r="G667" s="715"/>
    </row>
    <row r="668" spans="1:7" ht="12" customHeight="1" x14ac:dyDescent="0.25">
      <c r="A668" s="549"/>
      <c r="B668" s="716" t="s">
        <v>1399</v>
      </c>
      <c r="C668" s="392">
        <v>8</v>
      </c>
      <c r="D668" s="393" t="s">
        <v>123</v>
      </c>
      <c r="E668" s="717">
        <v>6000</v>
      </c>
      <c r="F668" s="714">
        <f>C668*E668</f>
        <v>48000</v>
      </c>
      <c r="G668" s="715"/>
    </row>
    <row r="669" spans="1:7" x14ac:dyDescent="0.25">
      <c r="A669" s="233"/>
      <c r="B669" s="150" t="s">
        <v>516</v>
      </c>
      <c r="C669" s="122"/>
      <c r="D669" s="26"/>
      <c r="E669" s="83"/>
      <c r="F669" s="83"/>
      <c r="G669" s="32"/>
    </row>
    <row r="670" spans="1:7" ht="24.75" x14ac:dyDescent="0.25">
      <c r="A670" s="233"/>
      <c r="B670" s="150" t="s">
        <v>1400</v>
      </c>
      <c r="C670" s="6"/>
      <c r="D670" s="25"/>
      <c r="E670" s="83"/>
      <c r="F670" s="810"/>
      <c r="G670" s="32"/>
    </row>
    <row r="671" spans="1:7" x14ac:dyDescent="0.25">
      <c r="A671" s="233"/>
      <c r="B671" s="4" t="s">
        <v>1285</v>
      </c>
      <c r="C671" s="6">
        <v>1</v>
      </c>
      <c r="D671" s="25" t="s">
        <v>1030</v>
      </c>
      <c r="E671" s="83">
        <v>1000000</v>
      </c>
      <c r="F671" s="810">
        <f>C671*E671</f>
        <v>1000000</v>
      </c>
      <c r="G671" s="32"/>
    </row>
    <row r="672" spans="1:7" ht="104.25" customHeight="1" x14ac:dyDescent="0.25">
      <c r="A672" s="576"/>
      <c r="B672" s="811" t="s">
        <v>1826</v>
      </c>
      <c r="C672" s="392"/>
      <c r="D672" s="393"/>
      <c r="E672" s="717"/>
      <c r="F672" s="714"/>
      <c r="G672" s="721"/>
    </row>
    <row r="673" spans="1:7" x14ac:dyDescent="0.25">
      <c r="A673" s="575" t="s">
        <v>1302</v>
      </c>
      <c r="B673" s="711" t="s">
        <v>323</v>
      </c>
      <c r="C673" s="392"/>
      <c r="D673" s="393"/>
      <c r="E673" s="717"/>
      <c r="F673" s="714"/>
      <c r="G673" s="721"/>
    </row>
    <row r="674" spans="1:7" x14ac:dyDescent="0.25">
      <c r="A674" s="575" t="s">
        <v>1310</v>
      </c>
      <c r="B674" s="711" t="s">
        <v>88</v>
      </c>
      <c r="C674" s="392"/>
      <c r="D674" s="393"/>
      <c r="E674" s="717"/>
      <c r="F674" s="714"/>
      <c r="G674" s="721"/>
    </row>
    <row r="675" spans="1:7" ht="24" x14ac:dyDescent="0.25">
      <c r="A675" s="575" t="s">
        <v>1309</v>
      </c>
      <c r="B675" s="711" t="s">
        <v>1272</v>
      </c>
      <c r="C675" s="392"/>
      <c r="D675" s="393"/>
      <c r="E675" s="717"/>
      <c r="F675" s="714"/>
      <c r="G675" s="721"/>
    </row>
    <row r="676" spans="1:7" ht="12" customHeight="1" x14ac:dyDescent="0.25">
      <c r="A676" s="576"/>
      <c r="B676" s="716" t="s">
        <v>1827</v>
      </c>
      <c r="C676" s="392">
        <v>20</v>
      </c>
      <c r="D676" s="809" t="s">
        <v>448</v>
      </c>
      <c r="E676" s="717">
        <v>15000</v>
      </c>
      <c r="F676" s="714">
        <f>C676*E676</f>
        <v>300000</v>
      </c>
      <c r="G676" s="721"/>
    </row>
    <row r="677" spans="1:7" ht="12" customHeight="1" x14ac:dyDescent="0.25">
      <c r="A677" s="576"/>
      <c r="B677" s="716" t="s">
        <v>1828</v>
      </c>
      <c r="C677" s="392">
        <v>15</v>
      </c>
      <c r="D677" s="809" t="s">
        <v>448</v>
      </c>
      <c r="E677" s="717">
        <v>15000</v>
      </c>
      <c r="F677" s="714">
        <f>C677*E677</f>
        <v>225000</v>
      </c>
      <c r="G677" s="721"/>
    </row>
    <row r="678" spans="1:7" x14ac:dyDescent="0.25">
      <c r="A678" s="575" t="s">
        <v>1308</v>
      </c>
      <c r="B678" s="711" t="s">
        <v>1271</v>
      </c>
      <c r="C678" s="392"/>
      <c r="D678" s="393"/>
      <c r="E678" s="717"/>
      <c r="F678" s="714"/>
      <c r="G678" s="721"/>
    </row>
    <row r="679" spans="1:7" x14ac:dyDescent="0.25">
      <c r="A679" s="575"/>
      <c r="B679" s="716" t="s">
        <v>1829</v>
      </c>
      <c r="C679" s="392">
        <v>8</v>
      </c>
      <c r="D679" s="393" t="s">
        <v>123</v>
      </c>
      <c r="E679" s="717">
        <v>11000</v>
      </c>
      <c r="F679" s="714">
        <f>E679*C679</f>
        <v>88000</v>
      </c>
      <c r="G679" s="721"/>
    </row>
    <row r="680" spans="1:7" x14ac:dyDescent="0.25">
      <c r="A680" s="575"/>
      <c r="B680" s="716" t="s">
        <v>690</v>
      </c>
      <c r="C680" s="392">
        <v>16</v>
      </c>
      <c r="D680" s="393" t="s">
        <v>123</v>
      </c>
      <c r="E680" s="717">
        <v>34000</v>
      </c>
      <c r="F680" s="714">
        <f t="shared" ref="F680:F686" si="12">E680*C680</f>
        <v>544000</v>
      </c>
      <c r="G680" s="721"/>
    </row>
    <row r="681" spans="1:7" x14ac:dyDescent="0.25">
      <c r="A681" s="575"/>
      <c r="B681" s="716" t="s">
        <v>663</v>
      </c>
      <c r="C681" s="392">
        <v>8</v>
      </c>
      <c r="D681" s="393" t="s">
        <v>123</v>
      </c>
      <c r="E681" s="717">
        <v>12000</v>
      </c>
      <c r="F681" s="714">
        <f t="shared" si="12"/>
        <v>96000</v>
      </c>
      <c r="G681" s="721"/>
    </row>
    <row r="682" spans="1:7" x14ac:dyDescent="0.25">
      <c r="A682" s="575"/>
      <c r="B682" s="716" t="s">
        <v>683</v>
      </c>
      <c r="C682" s="392">
        <v>8</v>
      </c>
      <c r="D682" s="393" t="s">
        <v>123</v>
      </c>
      <c r="E682" s="717">
        <v>14000</v>
      </c>
      <c r="F682" s="714">
        <f t="shared" si="12"/>
        <v>112000</v>
      </c>
      <c r="G682" s="721"/>
    </row>
    <row r="683" spans="1:7" x14ac:dyDescent="0.25">
      <c r="A683" s="575"/>
      <c r="B683" s="716" t="s">
        <v>1830</v>
      </c>
      <c r="C683" s="392">
        <v>8</v>
      </c>
      <c r="D683" s="393" t="s">
        <v>123</v>
      </c>
      <c r="E683" s="717">
        <v>9000</v>
      </c>
      <c r="F683" s="714">
        <f t="shared" si="12"/>
        <v>72000</v>
      </c>
      <c r="G683" s="721"/>
    </row>
    <row r="684" spans="1:7" x14ac:dyDescent="0.25">
      <c r="A684" s="575"/>
      <c r="B684" s="716" t="s">
        <v>1831</v>
      </c>
      <c r="C684" s="392">
        <v>8</v>
      </c>
      <c r="D684" s="393" t="s">
        <v>123</v>
      </c>
      <c r="E684" s="717">
        <v>13000</v>
      </c>
      <c r="F684" s="714">
        <f t="shared" si="12"/>
        <v>104000</v>
      </c>
      <c r="G684" s="721"/>
    </row>
    <row r="685" spans="1:7" x14ac:dyDescent="0.25">
      <c r="A685" s="575"/>
      <c r="B685" s="716" t="s">
        <v>1832</v>
      </c>
      <c r="C685" s="392">
        <v>16</v>
      </c>
      <c r="D685" s="393" t="s">
        <v>123</v>
      </c>
      <c r="E685" s="717">
        <v>5000</v>
      </c>
      <c r="F685" s="714">
        <f t="shared" si="12"/>
        <v>80000</v>
      </c>
      <c r="G685" s="721"/>
    </row>
    <row r="686" spans="1:7" x14ac:dyDescent="0.25">
      <c r="A686" s="575"/>
      <c r="B686" s="716" t="s">
        <v>1833</v>
      </c>
      <c r="C686" s="392">
        <v>1</v>
      </c>
      <c r="D686" s="393" t="s">
        <v>123</v>
      </c>
      <c r="E686" s="717">
        <v>443940</v>
      </c>
      <c r="F686" s="714">
        <f t="shared" si="12"/>
        <v>443940</v>
      </c>
      <c r="G686" s="721"/>
    </row>
    <row r="687" spans="1:7" ht="12" customHeight="1" x14ac:dyDescent="0.25">
      <c r="A687" s="576"/>
      <c r="B687" s="716" t="s">
        <v>1834</v>
      </c>
      <c r="C687" s="392">
        <v>4</v>
      </c>
      <c r="D687" s="393" t="s">
        <v>159</v>
      </c>
      <c r="E687" s="717">
        <v>300000</v>
      </c>
      <c r="F687" s="714">
        <f>C687*E687</f>
        <v>1200000</v>
      </c>
      <c r="G687" s="721"/>
    </row>
    <row r="688" spans="1:7" ht="12" customHeight="1" x14ac:dyDescent="0.25">
      <c r="A688" s="576"/>
      <c r="B688" s="391" t="s">
        <v>1835</v>
      </c>
      <c r="C688" s="392">
        <v>4</v>
      </c>
      <c r="D688" s="809" t="s">
        <v>448</v>
      </c>
      <c r="E688" s="717">
        <v>150000</v>
      </c>
      <c r="F688" s="714">
        <f>C688*E688</f>
        <v>600000</v>
      </c>
      <c r="G688" s="721"/>
    </row>
    <row r="689" spans="1:7" x14ac:dyDescent="0.25">
      <c r="A689" s="575" t="s">
        <v>1304</v>
      </c>
      <c r="B689" s="711" t="s">
        <v>569</v>
      </c>
      <c r="C689" s="444"/>
      <c r="D689" s="393"/>
      <c r="E689" s="717"/>
      <c r="F689" s="714"/>
      <c r="G689" s="721"/>
    </row>
    <row r="690" spans="1:7" x14ac:dyDescent="0.25">
      <c r="A690" s="575" t="s">
        <v>1303</v>
      </c>
      <c r="B690" s="663" t="s">
        <v>1401</v>
      </c>
      <c r="C690" s="444"/>
      <c r="D690" s="393"/>
      <c r="E690" s="717"/>
      <c r="F690" s="714"/>
      <c r="G690" s="721"/>
    </row>
    <row r="691" spans="1:7" x14ac:dyDescent="0.25">
      <c r="A691" s="576"/>
      <c r="B691" s="716" t="s">
        <v>1836</v>
      </c>
      <c r="C691" s="392">
        <v>3</v>
      </c>
      <c r="D691" s="393" t="s">
        <v>461</v>
      </c>
      <c r="E691" s="717">
        <v>100000</v>
      </c>
      <c r="F691" s="714">
        <f>C691*E691</f>
        <v>300000</v>
      </c>
      <c r="G691" s="721"/>
    </row>
    <row r="692" spans="1:7" ht="24.75" x14ac:dyDescent="0.25">
      <c r="A692" s="575" t="s">
        <v>1389</v>
      </c>
      <c r="B692" s="727" t="s">
        <v>1312</v>
      </c>
      <c r="C692" s="397"/>
      <c r="D692" s="398"/>
      <c r="E692" s="399"/>
      <c r="F692" s="714"/>
      <c r="G692" s="785"/>
    </row>
    <row r="693" spans="1:7" ht="12" customHeight="1" x14ac:dyDescent="0.25">
      <c r="A693" s="575"/>
      <c r="B693" s="395" t="s">
        <v>214</v>
      </c>
      <c r="C693" s="397">
        <v>1</v>
      </c>
      <c r="D693" s="809" t="s">
        <v>448</v>
      </c>
      <c r="E693" s="399">
        <v>300000</v>
      </c>
      <c r="F693" s="714">
        <f>C693*E693</f>
        <v>300000</v>
      </c>
      <c r="G693" s="785"/>
    </row>
    <row r="694" spans="1:7" ht="12" customHeight="1" x14ac:dyDescent="0.25">
      <c r="A694" s="575"/>
      <c r="B694" s="395" t="s">
        <v>391</v>
      </c>
      <c r="C694" s="397">
        <v>2</v>
      </c>
      <c r="D694" s="809" t="s">
        <v>448</v>
      </c>
      <c r="E694" s="399">
        <v>200000</v>
      </c>
      <c r="F694" s="714">
        <f>C694*E694</f>
        <v>400000</v>
      </c>
      <c r="G694" s="785"/>
    </row>
    <row r="695" spans="1:7" ht="36" x14ac:dyDescent="0.25">
      <c r="A695" s="575" t="s">
        <v>1301</v>
      </c>
      <c r="B695" s="711" t="s">
        <v>532</v>
      </c>
      <c r="C695" s="392"/>
      <c r="D695" s="393"/>
      <c r="E695" s="717"/>
      <c r="F695" s="714"/>
      <c r="G695" s="721"/>
    </row>
    <row r="696" spans="1:7" x14ac:dyDescent="0.25">
      <c r="A696" s="575" t="s">
        <v>1300</v>
      </c>
      <c r="B696" s="792" t="s">
        <v>1837</v>
      </c>
      <c r="C696" s="392">
        <v>4</v>
      </c>
      <c r="D696" s="393" t="s">
        <v>448</v>
      </c>
      <c r="E696" s="717">
        <v>50000</v>
      </c>
      <c r="F696" s="714">
        <f>C696*E696</f>
        <v>200000</v>
      </c>
      <c r="G696" s="721"/>
    </row>
    <row r="697" spans="1:7" ht="86.25" customHeight="1" x14ac:dyDescent="0.25">
      <c r="A697" s="812"/>
      <c r="B697" s="813" t="s">
        <v>1838</v>
      </c>
      <c r="C697" s="809"/>
      <c r="D697" s="809"/>
      <c r="E697" s="717"/>
      <c r="F697" s="714"/>
      <c r="G697" s="721"/>
    </row>
    <row r="698" spans="1:7" x14ac:dyDescent="0.25">
      <c r="A698" s="575" t="s">
        <v>1302</v>
      </c>
      <c r="B698" s="711" t="s">
        <v>323</v>
      </c>
      <c r="C698" s="392"/>
      <c r="D698" s="393"/>
      <c r="E698" s="717"/>
      <c r="F698" s="714"/>
      <c r="G698" s="721"/>
    </row>
    <row r="699" spans="1:7" x14ac:dyDescent="0.25">
      <c r="A699" s="575" t="s">
        <v>1310</v>
      </c>
      <c r="B699" s="711" t="s">
        <v>88</v>
      </c>
      <c r="C699" s="392"/>
      <c r="D699" s="393"/>
      <c r="E699" s="717"/>
      <c r="F699" s="714"/>
      <c r="G699" s="721"/>
    </row>
    <row r="700" spans="1:7" ht="24" x14ac:dyDescent="0.25">
      <c r="A700" s="575" t="s">
        <v>1309</v>
      </c>
      <c r="B700" s="711" t="s">
        <v>1272</v>
      </c>
      <c r="C700" s="392"/>
      <c r="D700" s="393"/>
      <c r="E700" s="717"/>
      <c r="F700" s="714"/>
      <c r="G700" s="721"/>
    </row>
    <row r="701" spans="1:7" ht="24" x14ac:dyDescent="0.25">
      <c r="A701" s="576"/>
      <c r="B701" s="716" t="s">
        <v>1839</v>
      </c>
      <c r="C701" s="392">
        <v>105</v>
      </c>
      <c r="D701" s="809" t="s">
        <v>448</v>
      </c>
      <c r="E701" s="717">
        <v>15000</v>
      </c>
      <c r="F701" s="714">
        <f>C701*E701</f>
        <v>1575000</v>
      </c>
      <c r="G701" s="721"/>
    </row>
    <row r="702" spans="1:7" ht="24" x14ac:dyDescent="0.25">
      <c r="A702" s="576"/>
      <c r="B702" s="716" t="s">
        <v>1840</v>
      </c>
      <c r="C702" s="392">
        <v>45</v>
      </c>
      <c r="D702" s="809" t="s">
        <v>448</v>
      </c>
      <c r="E702" s="717">
        <v>15000</v>
      </c>
      <c r="F702" s="714">
        <f>C702*E702</f>
        <v>675000</v>
      </c>
      <c r="G702" s="721"/>
    </row>
    <row r="703" spans="1:7" x14ac:dyDescent="0.25">
      <c r="A703" s="575" t="s">
        <v>1308</v>
      </c>
      <c r="B703" s="711" t="s">
        <v>1271</v>
      </c>
      <c r="C703" s="392"/>
      <c r="D703" s="393"/>
      <c r="E703" s="717"/>
      <c r="F703" s="714"/>
      <c r="G703" s="721"/>
    </row>
    <row r="704" spans="1:7" x14ac:dyDescent="0.25">
      <c r="A704" s="576"/>
      <c r="B704" s="716" t="s">
        <v>1841</v>
      </c>
      <c r="C704" s="392">
        <v>27</v>
      </c>
      <c r="D704" s="393" t="s">
        <v>159</v>
      </c>
      <c r="E704" s="717">
        <v>300000</v>
      </c>
      <c r="F704" s="714">
        <f>C704*E704</f>
        <v>8100000</v>
      </c>
      <c r="G704" s="721"/>
    </row>
    <row r="705" spans="1:20" x14ac:dyDescent="0.25">
      <c r="A705" s="576"/>
      <c r="B705" s="391" t="s">
        <v>1842</v>
      </c>
      <c r="C705" s="392">
        <v>27</v>
      </c>
      <c r="D705" s="809" t="s">
        <v>448</v>
      </c>
      <c r="E705" s="717">
        <v>150000</v>
      </c>
      <c r="F705" s="714">
        <f>C705*E705</f>
        <v>4050000</v>
      </c>
      <c r="G705" s="721"/>
    </row>
    <row r="706" spans="1:20" x14ac:dyDescent="0.25">
      <c r="A706" s="575" t="s">
        <v>1304</v>
      </c>
      <c r="B706" s="711" t="s">
        <v>569</v>
      </c>
      <c r="C706" s="444"/>
      <c r="D706" s="393"/>
      <c r="E706" s="717"/>
      <c r="F706" s="714"/>
      <c r="G706" s="721"/>
    </row>
    <row r="707" spans="1:20" ht="48" x14ac:dyDescent="0.25">
      <c r="A707" s="575" t="s">
        <v>1303</v>
      </c>
      <c r="B707" s="711" t="s">
        <v>1290</v>
      </c>
      <c r="C707" s="444"/>
      <c r="D707" s="393"/>
      <c r="E707" s="717"/>
      <c r="F707" s="714"/>
      <c r="G707" s="721"/>
    </row>
    <row r="708" spans="1:20" x14ac:dyDescent="0.25">
      <c r="A708" s="576"/>
      <c r="B708" s="716" t="s">
        <v>1843</v>
      </c>
      <c r="C708" s="392">
        <v>9</v>
      </c>
      <c r="D708" s="393" t="s">
        <v>461</v>
      </c>
      <c r="E708" s="717">
        <v>100000</v>
      </c>
      <c r="F708" s="714">
        <f>C708*E708</f>
        <v>900000</v>
      </c>
      <c r="G708" s="721"/>
    </row>
    <row r="709" spans="1:20" ht="24" x14ac:dyDescent="0.25">
      <c r="A709" s="576"/>
      <c r="B709" s="719" t="s">
        <v>1844</v>
      </c>
      <c r="C709" s="392">
        <v>81</v>
      </c>
      <c r="D709" s="393" t="s">
        <v>448</v>
      </c>
      <c r="E709" s="717">
        <v>50000</v>
      </c>
      <c r="F709" s="714">
        <f>C709*E709</f>
        <v>4050000</v>
      </c>
      <c r="G709" s="721"/>
    </row>
    <row r="710" spans="1:20" ht="36" x14ac:dyDescent="0.25">
      <c r="A710" s="575" t="s">
        <v>1301</v>
      </c>
      <c r="B710" s="711" t="s">
        <v>532</v>
      </c>
      <c r="C710" s="392"/>
      <c r="D710" s="393"/>
      <c r="E710" s="717"/>
      <c r="F710" s="714"/>
      <c r="G710" s="32"/>
    </row>
    <row r="711" spans="1:20" ht="24" x14ac:dyDescent="0.25">
      <c r="A711" s="575" t="s">
        <v>1300</v>
      </c>
      <c r="B711" s="716" t="s">
        <v>1845</v>
      </c>
      <c r="C711" s="392">
        <v>27</v>
      </c>
      <c r="D711" s="393" t="s">
        <v>448</v>
      </c>
      <c r="E711" s="717">
        <v>50000</v>
      </c>
      <c r="F711" s="714">
        <f>C711*E711</f>
        <v>1350000</v>
      </c>
      <c r="G711" s="32"/>
    </row>
    <row r="712" spans="1:20" x14ac:dyDescent="0.25">
      <c r="A712" s="241"/>
      <c r="B712" s="241"/>
      <c r="C712" s="366"/>
      <c r="D712" s="260"/>
      <c r="E712" s="241"/>
      <c r="F712" s="241"/>
      <c r="G712" s="241"/>
    </row>
    <row r="713" spans="1:20" ht="30" x14ac:dyDescent="0.25">
      <c r="A713" s="241"/>
      <c r="B713" s="2008" t="s">
        <v>27</v>
      </c>
      <c r="C713" s="2009"/>
      <c r="D713" s="2009"/>
      <c r="E713" s="2010"/>
      <c r="F713" s="197">
        <f>SUM(F642:F711)</f>
        <v>50681940</v>
      </c>
      <c r="G713" s="252" t="s">
        <v>2627</v>
      </c>
      <c r="T713" s="175">
        <f>F713</f>
        <v>50681940</v>
      </c>
    </row>
    <row r="714" spans="1:20" x14ac:dyDescent="0.25">
      <c r="A714" s="1807" t="s">
        <v>614</v>
      </c>
      <c r="B714" s="1807"/>
      <c r="C714" s="5" t="s">
        <v>28</v>
      </c>
      <c r="D714" s="1808" t="s">
        <v>1700</v>
      </c>
      <c r="E714" s="1808"/>
      <c r="F714" s="1808"/>
      <c r="G714" s="5"/>
    </row>
    <row r="715" spans="1:20" x14ac:dyDescent="0.25">
      <c r="A715" s="1807" t="s">
        <v>29</v>
      </c>
      <c r="B715" s="1807"/>
      <c r="C715" s="5"/>
      <c r="D715" s="1809" t="s">
        <v>2996</v>
      </c>
      <c r="E715" s="1809"/>
      <c r="F715" s="1809"/>
      <c r="G715" s="5"/>
    </row>
    <row r="716" spans="1:20" x14ac:dyDescent="0.25">
      <c r="A716" s="1"/>
      <c r="B716" s="3"/>
      <c r="C716" s="5"/>
      <c r="D716" s="7"/>
      <c r="E716" s="17"/>
      <c r="F716" s="17"/>
      <c r="G716" s="5"/>
    </row>
    <row r="717" spans="1:20" x14ac:dyDescent="0.25">
      <c r="A717" s="1"/>
      <c r="B717" s="3"/>
      <c r="C717" s="5"/>
      <c r="D717" s="7"/>
      <c r="E717" s="17"/>
      <c r="F717" s="17"/>
      <c r="G717" s="5"/>
    </row>
    <row r="718" spans="1:20" x14ac:dyDescent="0.25">
      <c r="A718" s="1807"/>
      <c r="B718" s="1807"/>
      <c r="C718" s="5"/>
      <c r="D718" s="7"/>
      <c r="E718" s="1807"/>
      <c r="F718" s="1807"/>
      <c r="G718" s="5"/>
    </row>
    <row r="719" spans="1:20" x14ac:dyDescent="0.25">
      <c r="A719" s="1807" t="s">
        <v>30</v>
      </c>
      <c r="B719" s="1807"/>
      <c r="C719" s="5"/>
      <c r="D719" s="1807" t="s">
        <v>2993</v>
      </c>
      <c r="E719" s="1807"/>
      <c r="F719" s="1807"/>
      <c r="G719" s="5"/>
    </row>
    <row r="720" spans="1:20" x14ac:dyDescent="0.25">
      <c r="A720" s="1841" t="s">
        <v>0</v>
      </c>
      <c r="B720" s="1841"/>
      <c r="C720" s="1841"/>
      <c r="D720" s="1841"/>
      <c r="E720" s="1841"/>
      <c r="F720" s="1841"/>
      <c r="G720" s="1841"/>
    </row>
    <row r="721" spans="1:7" x14ac:dyDescent="0.25">
      <c r="A721" s="1841" t="s">
        <v>1</v>
      </c>
      <c r="B721" s="1841"/>
      <c r="C721" s="1841"/>
      <c r="D721" s="1841"/>
      <c r="E721" s="1841"/>
      <c r="F721" s="1841"/>
      <c r="G721" s="1841"/>
    </row>
    <row r="722" spans="1:7" x14ac:dyDescent="0.25">
      <c r="A722" s="1841" t="s">
        <v>1697</v>
      </c>
      <c r="B722" s="1841"/>
      <c r="C722" s="1841"/>
      <c r="D722" s="1841"/>
      <c r="E722" s="1841"/>
      <c r="F722" s="1841"/>
      <c r="G722" s="1841"/>
    </row>
    <row r="723" spans="1:7" x14ac:dyDescent="0.25">
      <c r="A723" s="1217"/>
      <c r="B723" s="1217"/>
      <c r="C723" s="1249"/>
      <c r="D723" s="1249"/>
      <c r="E723" s="1217"/>
      <c r="F723" s="1217"/>
      <c r="G723" s="1217"/>
    </row>
    <row r="724" spans="1:7" x14ac:dyDescent="0.25">
      <c r="A724" s="1477" t="s">
        <v>1174</v>
      </c>
      <c r="B724" s="1160" t="s">
        <v>1089</v>
      </c>
      <c r="C724" s="1449"/>
      <c r="D724" s="1449"/>
      <c r="E724" s="1448" t="s">
        <v>6</v>
      </c>
      <c r="F724" s="1448" t="s">
        <v>65</v>
      </c>
      <c r="G724" s="1316"/>
    </row>
    <row r="725" spans="1:7" x14ac:dyDescent="0.25">
      <c r="A725" s="1478" t="s">
        <v>1175</v>
      </c>
      <c r="B725" s="1194" t="s">
        <v>1172</v>
      </c>
      <c r="C725" s="1449"/>
      <c r="D725" s="1449"/>
      <c r="E725" s="1319"/>
      <c r="F725" s="1320"/>
      <c r="G725" s="1316"/>
    </row>
    <row r="726" spans="1:7" ht="48" customHeight="1" x14ac:dyDescent="0.25">
      <c r="A726" s="1195" t="s">
        <v>298</v>
      </c>
      <c r="B726" s="1318" t="s">
        <v>1176</v>
      </c>
      <c r="C726" s="1318"/>
      <c r="D726" s="1449"/>
      <c r="E726" s="1318" t="s">
        <v>368</v>
      </c>
      <c r="F726" s="1318" t="s">
        <v>65</v>
      </c>
      <c r="G726" s="1316"/>
    </row>
    <row r="727" spans="1:7" ht="24" x14ac:dyDescent="0.25">
      <c r="A727" s="1449" t="s">
        <v>579</v>
      </c>
      <c r="B727" s="1477" t="s">
        <v>63</v>
      </c>
      <c r="C727" s="1449"/>
      <c r="D727" s="1449"/>
      <c r="E727" s="1320"/>
      <c r="F727" s="1320"/>
      <c r="G727" s="1316"/>
    </row>
    <row r="728" spans="1:7" x14ac:dyDescent="0.25">
      <c r="A728" s="1188" t="s">
        <v>1177</v>
      </c>
      <c r="B728" s="1161" t="s">
        <v>506</v>
      </c>
      <c r="C728" s="1198"/>
      <c r="D728" s="1198"/>
      <c r="E728" s="1189"/>
      <c r="F728" s="1189"/>
      <c r="G728" s="1316"/>
    </row>
    <row r="729" spans="1:7" ht="5.25" customHeight="1" x14ac:dyDescent="0.25">
      <c r="A729" s="1189"/>
      <c r="B729" s="1189"/>
      <c r="C729" s="1198"/>
      <c r="D729" s="1198"/>
      <c r="E729" s="1189"/>
      <c r="F729" s="1189"/>
      <c r="G729" s="1316"/>
    </row>
    <row r="730" spans="1:7" ht="36" x14ac:dyDescent="0.25">
      <c r="A730" s="1165" t="s">
        <v>300</v>
      </c>
      <c r="B730" s="1165" t="s">
        <v>12</v>
      </c>
      <c r="C730" s="1843" t="s">
        <v>13</v>
      </c>
      <c r="D730" s="1843"/>
      <c r="E730" s="1200" t="s">
        <v>14</v>
      </c>
      <c r="F730" s="1166" t="s">
        <v>15</v>
      </c>
      <c r="G730" s="1429" t="s">
        <v>301</v>
      </c>
    </row>
    <row r="731" spans="1:7" x14ac:dyDescent="0.25">
      <c r="A731" s="1165">
        <v>1</v>
      </c>
      <c r="B731" s="1165">
        <v>2</v>
      </c>
      <c r="C731" s="1845">
        <v>3</v>
      </c>
      <c r="D731" s="1846"/>
      <c r="E731" s="1430">
        <v>4</v>
      </c>
      <c r="F731" s="1166">
        <v>5</v>
      </c>
      <c r="G731" s="1431">
        <v>6</v>
      </c>
    </row>
    <row r="732" spans="1:7" x14ac:dyDescent="0.25">
      <c r="A732" s="1479"/>
      <c r="B732" s="1451" t="s">
        <v>323</v>
      </c>
      <c r="C732" s="1203"/>
      <c r="D732" s="1204"/>
      <c r="E732" s="1205"/>
      <c r="F732" s="1168"/>
      <c r="G732" s="1374"/>
    </row>
    <row r="733" spans="1:7" x14ac:dyDescent="0.25">
      <c r="A733" s="1322"/>
      <c r="B733" s="1451" t="s">
        <v>88</v>
      </c>
      <c r="C733" s="1203"/>
      <c r="D733" s="1204"/>
      <c r="E733" s="1205"/>
      <c r="F733" s="1168"/>
      <c r="G733" s="1374"/>
    </row>
    <row r="734" spans="1:7" ht="24" x14ac:dyDescent="0.25">
      <c r="A734" s="1479"/>
      <c r="B734" s="1456" t="s">
        <v>354</v>
      </c>
      <c r="C734" s="1203"/>
      <c r="D734" s="1204"/>
      <c r="E734" s="1205"/>
      <c r="F734" s="1433"/>
      <c r="G734" s="1374"/>
    </row>
    <row r="735" spans="1:7" x14ac:dyDescent="0.25">
      <c r="A735" s="1480"/>
      <c r="B735" s="1461" t="s">
        <v>1178</v>
      </c>
      <c r="C735" s="1203">
        <v>40</v>
      </c>
      <c r="D735" s="1204" t="s">
        <v>315</v>
      </c>
      <c r="E735" s="1481">
        <v>15000</v>
      </c>
      <c r="F735" s="1433">
        <f>E735*C735</f>
        <v>600000</v>
      </c>
      <c r="G735" s="1374"/>
    </row>
    <row r="736" spans="1:7" x14ac:dyDescent="0.25">
      <c r="A736" s="1202"/>
      <c r="B736" s="1175" t="s">
        <v>1179</v>
      </c>
      <c r="C736" s="1170">
        <v>40</v>
      </c>
      <c r="D736" s="1204" t="s">
        <v>315</v>
      </c>
      <c r="E736" s="1481">
        <v>15000</v>
      </c>
      <c r="F736" s="1433">
        <f>E736*C736</f>
        <v>600000</v>
      </c>
      <c r="G736" s="1322"/>
    </row>
    <row r="737" spans="1:7" x14ac:dyDescent="0.25">
      <c r="A737" s="1202"/>
      <c r="B737" s="1175" t="s">
        <v>1807</v>
      </c>
      <c r="C737" s="1170">
        <v>500</v>
      </c>
      <c r="D737" s="1204" t="s">
        <v>315</v>
      </c>
      <c r="E737" s="1481">
        <v>15000</v>
      </c>
      <c r="F737" s="1185">
        <f>C737*E737</f>
        <v>7500000</v>
      </c>
      <c r="G737" s="1322"/>
    </row>
    <row r="738" spans="1:7" ht="24" x14ac:dyDescent="0.25">
      <c r="A738" s="1455"/>
      <c r="B738" s="1482" t="s">
        <v>1808</v>
      </c>
      <c r="C738" s="1203"/>
      <c r="D738" s="1204"/>
      <c r="E738" s="1205"/>
      <c r="F738" s="1433"/>
      <c r="G738" s="1374"/>
    </row>
    <row r="739" spans="1:7" x14ac:dyDescent="0.25">
      <c r="A739" s="1202"/>
      <c r="B739" s="1175" t="s">
        <v>1180</v>
      </c>
      <c r="C739" s="1170">
        <v>15</v>
      </c>
      <c r="D739" s="1171" t="s">
        <v>1181</v>
      </c>
      <c r="E739" s="1185">
        <v>300000</v>
      </c>
      <c r="F739" s="1185">
        <f>C739*E739</f>
        <v>4500000</v>
      </c>
      <c r="G739" s="1322"/>
    </row>
    <row r="740" spans="1:7" x14ac:dyDescent="0.25">
      <c r="A740" s="1202"/>
      <c r="B740" s="1175" t="s">
        <v>1182</v>
      </c>
      <c r="C740" s="1170">
        <v>15</v>
      </c>
      <c r="D740" s="1171" t="s">
        <v>1181</v>
      </c>
      <c r="E740" s="1185">
        <v>300000</v>
      </c>
      <c r="F740" s="1185">
        <f>C740*E740</f>
        <v>4500000</v>
      </c>
      <c r="G740" s="1322"/>
    </row>
    <row r="741" spans="1:7" x14ac:dyDescent="0.25">
      <c r="A741" s="1202"/>
      <c r="B741" s="1175" t="s">
        <v>1183</v>
      </c>
      <c r="C741" s="1170">
        <v>2</v>
      </c>
      <c r="D741" s="1171" t="s">
        <v>1184</v>
      </c>
      <c r="E741" s="1185">
        <v>25000</v>
      </c>
      <c r="F741" s="1185">
        <f>C741*E741</f>
        <v>50000</v>
      </c>
      <c r="G741" s="1322"/>
    </row>
    <row r="742" spans="1:7" x14ac:dyDescent="0.25">
      <c r="A742" s="1202"/>
      <c r="B742" s="1175" t="s">
        <v>1185</v>
      </c>
      <c r="C742" s="1170">
        <v>4</v>
      </c>
      <c r="D742" s="1171" t="s">
        <v>1186</v>
      </c>
      <c r="E742" s="1185">
        <v>20000</v>
      </c>
      <c r="F742" s="1185">
        <f>C742*E742</f>
        <v>80000</v>
      </c>
      <c r="G742" s="1322"/>
    </row>
    <row r="743" spans="1:7" x14ac:dyDescent="0.25">
      <c r="A743" s="1202"/>
      <c r="B743" s="1175" t="s">
        <v>1187</v>
      </c>
      <c r="C743" s="1170">
        <v>1</v>
      </c>
      <c r="D743" s="1171" t="s">
        <v>204</v>
      </c>
      <c r="E743" s="1185">
        <v>1000000</v>
      </c>
      <c r="F743" s="1185">
        <f>C743*E743</f>
        <v>1000000</v>
      </c>
      <c r="G743" s="1322"/>
    </row>
    <row r="744" spans="1:7" ht="24" x14ac:dyDescent="0.25">
      <c r="A744" s="1322"/>
      <c r="B744" s="1456" t="s">
        <v>376</v>
      </c>
      <c r="C744" s="1203"/>
      <c r="D744" s="1204"/>
      <c r="E744" s="1205"/>
      <c r="F744" s="1433"/>
      <c r="G744" s="1374"/>
    </row>
    <row r="745" spans="1:7" x14ac:dyDescent="0.25">
      <c r="A745" s="1202"/>
      <c r="B745" s="1461" t="s">
        <v>1809</v>
      </c>
      <c r="C745" s="1170">
        <v>2</v>
      </c>
      <c r="D745" s="1171" t="s">
        <v>123</v>
      </c>
      <c r="E745" s="1185">
        <v>500000</v>
      </c>
      <c r="F745" s="1433">
        <f>E745*C745</f>
        <v>1000000</v>
      </c>
      <c r="G745" s="1374"/>
    </row>
    <row r="746" spans="1:7" x14ac:dyDescent="0.25">
      <c r="A746" s="1214"/>
      <c r="B746" s="1450" t="s">
        <v>976</v>
      </c>
      <c r="C746" s="1203">
        <v>2</v>
      </c>
      <c r="D746" s="1204" t="s">
        <v>123</v>
      </c>
      <c r="E746" s="1481">
        <v>90000</v>
      </c>
      <c r="F746" s="1433">
        <f>E746*C746</f>
        <v>180000</v>
      </c>
      <c r="G746" s="1374"/>
    </row>
    <row r="747" spans="1:7" ht="24" x14ac:dyDescent="0.25">
      <c r="A747" s="1214"/>
      <c r="B747" s="1451" t="s">
        <v>1188</v>
      </c>
      <c r="C747" s="1170"/>
      <c r="D747" s="1171"/>
      <c r="E747" s="1185"/>
      <c r="F747" s="1433"/>
      <c r="G747" s="1374"/>
    </row>
    <row r="748" spans="1:7" ht="72" x14ac:dyDescent="0.25">
      <c r="A748" s="1210"/>
      <c r="B748" s="1456" t="s">
        <v>1810</v>
      </c>
      <c r="C748" s="1170"/>
      <c r="D748" s="1171"/>
      <c r="E748" s="1185"/>
      <c r="F748" s="1433"/>
      <c r="G748" s="1374"/>
    </row>
    <row r="749" spans="1:7" ht="24" x14ac:dyDescent="0.25">
      <c r="A749" s="1210"/>
      <c r="B749" s="1469" t="s">
        <v>1811</v>
      </c>
      <c r="C749" s="1170">
        <f>30+13+9+2+5+18</f>
        <v>77</v>
      </c>
      <c r="D749" s="1171" t="s">
        <v>1812</v>
      </c>
      <c r="E749" s="1185">
        <v>300000</v>
      </c>
      <c r="F749" s="1433">
        <f>E749*C749</f>
        <v>23100000</v>
      </c>
      <c r="G749" s="1374"/>
    </row>
    <row r="750" spans="1:7" s="86" customFormat="1" ht="24" x14ac:dyDescent="0.25">
      <c r="A750" s="1483"/>
      <c r="B750" s="1225" t="s">
        <v>319</v>
      </c>
      <c r="C750" s="1166"/>
      <c r="D750" s="1378"/>
      <c r="E750" s="1475"/>
      <c r="F750" s="1484"/>
      <c r="G750" s="1375"/>
    </row>
    <row r="751" spans="1:7" x14ac:dyDescent="0.25">
      <c r="A751" s="1202"/>
      <c r="B751" s="1461" t="s">
        <v>380</v>
      </c>
      <c r="C751" s="1170">
        <v>10</v>
      </c>
      <c r="D751" s="1171" t="s">
        <v>1112</v>
      </c>
      <c r="E751" s="1185">
        <v>50000</v>
      </c>
      <c r="F751" s="1433">
        <f>E751*C751</f>
        <v>500000</v>
      </c>
      <c r="G751" s="1374"/>
    </row>
    <row r="752" spans="1:7" x14ac:dyDescent="0.25">
      <c r="A752" s="1202"/>
      <c r="B752" s="1207" t="s">
        <v>321</v>
      </c>
      <c r="C752" s="1170">
        <v>50</v>
      </c>
      <c r="D752" s="1171" t="s">
        <v>186</v>
      </c>
      <c r="E752" s="1185">
        <v>3000</v>
      </c>
      <c r="F752" s="1433">
        <f>E752*C752</f>
        <v>150000</v>
      </c>
      <c r="G752" s="1374"/>
    </row>
    <row r="753" spans="1:7" x14ac:dyDescent="0.25">
      <c r="A753" s="1214"/>
      <c r="B753" s="1207" t="s">
        <v>335</v>
      </c>
      <c r="C753" s="1170">
        <v>5</v>
      </c>
      <c r="D753" s="1171" t="s">
        <v>336</v>
      </c>
      <c r="E753" s="1185">
        <v>10000</v>
      </c>
      <c r="F753" s="1433">
        <f>E753*C753</f>
        <v>50000</v>
      </c>
      <c r="G753" s="1374"/>
    </row>
    <row r="754" spans="1:7" x14ac:dyDescent="0.25">
      <c r="A754" s="1214"/>
      <c r="B754" s="1207" t="s">
        <v>413</v>
      </c>
      <c r="C754" s="1170">
        <v>5</v>
      </c>
      <c r="D754" s="1171" t="s">
        <v>186</v>
      </c>
      <c r="E754" s="1185">
        <v>15000</v>
      </c>
      <c r="F754" s="1433">
        <f>E754*C754</f>
        <v>75000</v>
      </c>
      <c r="G754" s="1374"/>
    </row>
    <row r="755" spans="1:7" x14ac:dyDescent="0.25">
      <c r="A755" s="1214"/>
      <c r="B755" s="1456" t="s">
        <v>340</v>
      </c>
      <c r="C755" s="1170"/>
      <c r="D755" s="1171"/>
      <c r="E755" s="1231"/>
      <c r="F755" s="1433"/>
      <c r="G755" s="1374"/>
    </row>
    <row r="756" spans="1:7" ht="36" x14ac:dyDescent="0.25">
      <c r="A756" s="1214"/>
      <c r="B756" s="1456" t="s">
        <v>862</v>
      </c>
      <c r="C756" s="1170"/>
      <c r="D756" s="1171"/>
      <c r="E756" s="1231"/>
      <c r="F756" s="1433"/>
      <c r="G756" s="1374"/>
    </row>
    <row r="757" spans="1:7" x14ac:dyDescent="0.25">
      <c r="A757" s="1214"/>
      <c r="B757" s="1461" t="s">
        <v>1189</v>
      </c>
      <c r="C757" s="1170">
        <v>1</v>
      </c>
      <c r="D757" s="1171" t="s">
        <v>461</v>
      </c>
      <c r="E757" s="1185">
        <v>300000</v>
      </c>
      <c r="F757" s="1433">
        <f>E757*C757</f>
        <v>300000</v>
      </c>
      <c r="G757" s="1374"/>
    </row>
    <row r="758" spans="1:7" x14ac:dyDescent="0.25">
      <c r="A758" s="1214"/>
      <c r="B758" s="1461" t="s">
        <v>1190</v>
      </c>
      <c r="C758" s="1170">
        <v>1</v>
      </c>
      <c r="D758" s="1171" t="s">
        <v>461</v>
      </c>
      <c r="E758" s="1185">
        <v>250000</v>
      </c>
      <c r="F758" s="1433">
        <f>E758*C758</f>
        <v>250000</v>
      </c>
      <c r="G758" s="1374"/>
    </row>
    <row r="759" spans="1:7" x14ac:dyDescent="0.25">
      <c r="A759" s="1214"/>
      <c r="B759" s="1461" t="s">
        <v>391</v>
      </c>
      <c r="C759" s="1170">
        <v>3</v>
      </c>
      <c r="D759" s="1171" t="s">
        <v>461</v>
      </c>
      <c r="E759" s="1185">
        <v>200000</v>
      </c>
      <c r="F759" s="1433">
        <f>E759*C759</f>
        <v>600000</v>
      </c>
      <c r="G759" s="1374"/>
    </row>
    <row r="760" spans="1:7" ht="24" x14ac:dyDescent="0.25">
      <c r="A760" s="1214"/>
      <c r="B760" s="1457" t="s">
        <v>364</v>
      </c>
      <c r="C760" s="1170"/>
      <c r="D760" s="1171"/>
      <c r="E760" s="1185"/>
      <c r="F760" s="1433"/>
      <c r="G760" s="1374"/>
    </row>
    <row r="761" spans="1:7" x14ac:dyDescent="0.25">
      <c r="A761" s="1214"/>
      <c r="B761" s="1456" t="s">
        <v>1191</v>
      </c>
      <c r="C761" s="1170"/>
      <c r="D761" s="1171"/>
      <c r="E761" s="1185"/>
      <c r="F761" s="1433"/>
      <c r="G761" s="1374"/>
    </row>
    <row r="762" spans="1:7" x14ac:dyDescent="0.25">
      <c r="A762" s="1485"/>
      <c r="B762" s="1461" t="s">
        <v>1192</v>
      </c>
      <c r="C762" s="1170">
        <v>36</v>
      </c>
      <c r="D762" s="1171" t="s">
        <v>461</v>
      </c>
      <c r="E762" s="1185">
        <v>50000</v>
      </c>
      <c r="F762" s="1486">
        <f t="shared" ref="F762:F769" si="13">E762*C762</f>
        <v>1800000</v>
      </c>
      <c r="G762" s="1374"/>
    </row>
    <row r="763" spans="1:7" x14ac:dyDescent="0.25">
      <c r="A763" s="1487"/>
      <c r="B763" s="1461" t="s">
        <v>1813</v>
      </c>
      <c r="C763" s="1170">
        <v>13</v>
      </c>
      <c r="D763" s="1171" t="s">
        <v>461</v>
      </c>
      <c r="E763" s="1185">
        <v>50000</v>
      </c>
      <c r="F763" s="1486">
        <f t="shared" si="13"/>
        <v>650000</v>
      </c>
      <c r="G763" s="1374"/>
    </row>
    <row r="764" spans="1:7" ht="24" x14ac:dyDescent="0.25">
      <c r="A764" s="1487"/>
      <c r="B764" s="1461" t="s">
        <v>1814</v>
      </c>
      <c r="C764" s="1170">
        <v>2</v>
      </c>
      <c r="D764" s="1171" t="s">
        <v>461</v>
      </c>
      <c r="E764" s="1185">
        <v>150000</v>
      </c>
      <c r="F764" s="1486">
        <f t="shared" si="13"/>
        <v>300000</v>
      </c>
      <c r="G764" s="1374"/>
    </row>
    <row r="765" spans="1:7" x14ac:dyDescent="0.25">
      <c r="A765" s="1485"/>
      <c r="B765" s="1175" t="s">
        <v>1193</v>
      </c>
      <c r="C765" s="1170">
        <v>1</v>
      </c>
      <c r="D765" s="1171" t="s">
        <v>461</v>
      </c>
      <c r="E765" s="1185">
        <v>300000</v>
      </c>
      <c r="F765" s="1486">
        <f t="shared" si="13"/>
        <v>300000</v>
      </c>
      <c r="G765" s="1374"/>
    </row>
    <row r="766" spans="1:7" x14ac:dyDescent="0.25">
      <c r="A766" s="1214"/>
      <c r="B766" s="1488" t="s">
        <v>1815</v>
      </c>
      <c r="C766" s="1170">
        <f>8*2</f>
        <v>16</v>
      </c>
      <c r="D766" s="1489" t="s">
        <v>461</v>
      </c>
      <c r="E766" s="1490">
        <v>200000</v>
      </c>
      <c r="F766" s="1486">
        <f t="shared" si="13"/>
        <v>3200000</v>
      </c>
      <c r="G766" s="1374"/>
    </row>
    <row r="767" spans="1:7" ht="24" x14ac:dyDescent="0.25">
      <c r="A767" s="1214"/>
      <c r="B767" s="1488" t="s">
        <v>1816</v>
      </c>
      <c r="C767" s="1170">
        <v>30</v>
      </c>
      <c r="D767" s="1491" t="s">
        <v>461</v>
      </c>
      <c r="E767" s="1486">
        <v>100000</v>
      </c>
      <c r="F767" s="1486">
        <f t="shared" si="13"/>
        <v>3000000</v>
      </c>
      <c r="G767" s="1374"/>
    </row>
    <row r="768" spans="1:7" s="790" customFormat="1" x14ac:dyDescent="0.25">
      <c r="A768" s="1214"/>
      <c r="B768" s="1492" t="s">
        <v>1194</v>
      </c>
      <c r="C768" s="1170">
        <v>6</v>
      </c>
      <c r="D768" s="1489" t="s">
        <v>461</v>
      </c>
      <c r="E768" s="1493">
        <v>50000</v>
      </c>
      <c r="F768" s="1468">
        <f t="shared" si="13"/>
        <v>300000</v>
      </c>
      <c r="G768" s="1494"/>
    </row>
    <row r="769" spans="1:7" ht="24" x14ac:dyDescent="0.25">
      <c r="A769" s="1214"/>
      <c r="B769" s="1488" t="s">
        <v>1195</v>
      </c>
      <c r="C769" s="1170">
        <v>1</v>
      </c>
      <c r="D769" s="1489" t="s">
        <v>315</v>
      </c>
      <c r="E769" s="1434">
        <v>300000</v>
      </c>
      <c r="F769" s="1486">
        <f t="shared" si="13"/>
        <v>300000</v>
      </c>
      <c r="G769" s="1374"/>
    </row>
    <row r="770" spans="1:7" x14ac:dyDescent="0.25">
      <c r="A770" s="1487"/>
      <c r="B770" s="1495" t="s">
        <v>516</v>
      </c>
      <c r="C770" s="1170"/>
      <c r="D770" s="1489"/>
      <c r="E770" s="1490"/>
      <c r="F770" s="1433"/>
      <c r="G770" s="1322"/>
    </row>
    <row r="771" spans="1:7" ht="24" x14ac:dyDescent="0.25">
      <c r="A771" s="1487"/>
      <c r="B771" s="1496" t="s">
        <v>1196</v>
      </c>
      <c r="C771" s="1170"/>
      <c r="D771" s="1489"/>
      <c r="E771" s="1490"/>
      <c r="F771" s="1433"/>
      <c r="G771" s="1322"/>
    </row>
    <row r="772" spans="1:7" x14ac:dyDescent="0.25">
      <c r="A772" s="1487"/>
      <c r="B772" s="1497" t="s">
        <v>1817</v>
      </c>
      <c r="C772" s="1170">
        <v>1</v>
      </c>
      <c r="D772" s="1489" t="s">
        <v>1818</v>
      </c>
      <c r="E772" s="1490">
        <v>2500000</v>
      </c>
      <c r="F772" s="1498">
        <f>C772*E772</f>
        <v>2500000</v>
      </c>
      <c r="G772" s="1322"/>
    </row>
    <row r="773" spans="1:7" x14ac:dyDescent="0.25">
      <c r="A773" s="1487"/>
      <c r="B773" s="1499" t="s">
        <v>1197</v>
      </c>
      <c r="C773" s="1170">
        <v>1</v>
      </c>
      <c r="D773" s="1171" t="s">
        <v>1198</v>
      </c>
      <c r="E773" s="1185">
        <v>10000000</v>
      </c>
      <c r="F773" s="1498">
        <f>C773*E773</f>
        <v>10000000</v>
      </c>
      <c r="G773" s="1322"/>
    </row>
    <row r="774" spans="1:7" x14ac:dyDescent="0.25">
      <c r="A774" s="1487"/>
      <c r="B774" s="1499" t="s">
        <v>1199</v>
      </c>
      <c r="C774" s="1170">
        <v>2</v>
      </c>
      <c r="D774" s="1171" t="s">
        <v>1030</v>
      </c>
      <c r="E774" s="1185">
        <v>1000000</v>
      </c>
      <c r="F774" s="1498">
        <f>E774*C774</f>
        <v>2000000</v>
      </c>
      <c r="G774" s="1181"/>
    </row>
    <row r="775" spans="1:7" ht="36" x14ac:dyDescent="0.25">
      <c r="A775" s="1214"/>
      <c r="B775" s="1457" t="s">
        <v>1200</v>
      </c>
      <c r="C775" s="1203"/>
      <c r="D775" s="1204"/>
      <c r="E775" s="1322"/>
      <c r="F775" s="1433"/>
      <c r="G775" s="1374"/>
    </row>
    <row r="776" spans="1:7" ht="24" x14ac:dyDescent="0.25">
      <c r="A776" s="1214"/>
      <c r="B776" s="1451" t="s">
        <v>1201</v>
      </c>
      <c r="C776" s="1203"/>
      <c r="D776" s="1204"/>
      <c r="E776" s="1322"/>
      <c r="F776" s="1433"/>
      <c r="G776" s="1374"/>
    </row>
    <row r="777" spans="1:7" x14ac:dyDescent="0.25">
      <c r="A777" s="1214"/>
      <c r="B777" s="1456" t="s">
        <v>1202</v>
      </c>
      <c r="C777" s="1170"/>
      <c r="D777" s="1171"/>
      <c r="E777" s="1231"/>
      <c r="F777" s="1433"/>
      <c r="G777" s="1374"/>
    </row>
    <row r="778" spans="1:7" x14ac:dyDescent="0.25">
      <c r="A778" s="1214"/>
      <c r="B778" s="1456" t="s">
        <v>1203</v>
      </c>
      <c r="C778" s="1170"/>
      <c r="D778" s="1171"/>
      <c r="E778" s="1231"/>
      <c r="F778" s="1433"/>
      <c r="G778" s="1374"/>
    </row>
    <row r="779" spans="1:7" x14ac:dyDescent="0.25">
      <c r="A779" s="1214"/>
      <c r="B779" s="1175" t="s">
        <v>1204</v>
      </c>
      <c r="C779" s="1170">
        <v>1</v>
      </c>
      <c r="D779" s="1171" t="s">
        <v>123</v>
      </c>
      <c r="E779" s="1185">
        <v>5000000</v>
      </c>
      <c r="F779" s="1434">
        <f>E779*C779</f>
        <v>5000000</v>
      </c>
      <c r="G779" s="1374"/>
    </row>
    <row r="780" spans="1:7" x14ac:dyDescent="0.25">
      <c r="A780" s="1214"/>
      <c r="B780" s="1461" t="s">
        <v>1205</v>
      </c>
      <c r="C780" s="1170">
        <v>2</v>
      </c>
      <c r="D780" s="1171" t="s">
        <v>123</v>
      </c>
      <c r="E780" s="1185">
        <v>2500000</v>
      </c>
      <c r="F780" s="1433">
        <f>E780*C780</f>
        <v>5000000</v>
      </c>
      <c r="G780" s="1374"/>
    </row>
    <row r="781" spans="1:7" x14ac:dyDescent="0.25">
      <c r="A781" s="1214"/>
      <c r="B781" s="1461" t="s">
        <v>1206</v>
      </c>
      <c r="C781" s="1170">
        <v>2</v>
      </c>
      <c r="D781" s="1171" t="s">
        <v>123</v>
      </c>
      <c r="E781" s="1185">
        <v>2000000</v>
      </c>
      <c r="F781" s="1433">
        <f>E781*C781</f>
        <v>4000000</v>
      </c>
      <c r="G781" s="1374"/>
    </row>
    <row r="782" spans="1:7" x14ac:dyDescent="0.25">
      <c r="A782" s="1214"/>
      <c r="B782" s="1461" t="s">
        <v>1207</v>
      </c>
      <c r="C782" s="1170">
        <v>30</v>
      </c>
      <c r="D782" s="1171" t="s">
        <v>123</v>
      </c>
      <c r="E782" s="1185">
        <v>100000</v>
      </c>
      <c r="F782" s="1433">
        <f>E782*C782</f>
        <v>3000000</v>
      </c>
      <c r="G782" s="1374"/>
    </row>
    <row r="783" spans="1:7" ht="24" x14ac:dyDescent="0.25">
      <c r="A783" s="1214"/>
      <c r="B783" s="1456" t="s">
        <v>1208</v>
      </c>
      <c r="C783" s="1170"/>
      <c r="D783" s="1171"/>
      <c r="E783" s="1179"/>
      <c r="F783" s="1433"/>
      <c r="G783" s="1374"/>
    </row>
    <row r="784" spans="1:7" x14ac:dyDescent="0.25">
      <c r="A784" s="1214"/>
      <c r="B784" s="1461" t="s">
        <v>1214</v>
      </c>
      <c r="C784" s="1170">
        <v>1</v>
      </c>
      <c r="D784" s="1171" t="s">
        <v>204</v>
      </c>
      <c r="E784" s="1179">
        <v>1200000</v>
      </c>
      <c r="F784" s="1433">
        <f t="shared" ref="F784:F792" si="14">E784*C784</f>
        <v>1200000</v>
      </c>
      <c r="G784" s="1374"/>
    </row>
    <row r="785" spans="1:7" x14ac:dyDescent="0.25">
      <c r="A785" s="1214"/>
      <c r="B785" s="1461" t="s">
        <v>1209</v>
      </c>
      <c r="C785" s="1170">
        <v>1</v>
      </c>
      <c r="D785" s="1171" t="s">
        <v>315</v>
      </c>
      <c r="E785" s="1185">
        <v>500000</v>
      </c>
      <c r="F785" s="1433">
        <f t="shared" si="14"/>
        <v>500000</v>
      </c>
      <c r="G785" s="1374"/>
    </row>
    <row r="786" spans="1:7" x14ac:dyDescent="0.25">
      <c r="A786" s="1214"/>
      <c r="B786" s="1461" t="s">
        <v>1210</v>
      </c>
      <c r="C786" s="1170">
        <v>1</v>
      </c>
      <c r="D786" s="1171" t="s">
        <v>315</v>
      </c>
      <c r="E786" s="1185">
        <v>400000</v>
      </c>
      <c r="F786" s="1433">
        <f t="shared" si="14"/>
        <v>400000</v>
      </c>
      <c r="G786" s="1374"/>
    </row>
    <row r="787" spans="1:7" x14ac:dyDescent="0.25">
      <c r="A787" s="1214"/>
      <c r="B787" s="1461" t="s">
        <v>1211</v>
      </c>
      <c r="C787" s="1170">
        <v>1</v>
      </c>
      <c r="D787" s="1171" t="s">
        <v>315</v>
      </c>
      <c r="E787" s="1185">
        <v>300000</v>
      </c>
      <c r="F787" s="1433">
        <f t="shared" si="14"/>
        <v>300000</v>
      </c>
      <c r="G787" s="1374"/>
    </row>
    <row r="788" spans="1:7" ht="15" customHeight="1" x14ac:dyDescent="0.25">
      <c r="A788" s="1214"/>
      <c r="B788" s="1456" t="s">
        <v>1212</v>
      </c>
      <c r="C788" s="1170"/>
      <c r="D788" s="1171"/>
      <c r="E788" s="1231"/>
      <c r="F788" s="1433"/>
      <c r="G788" s="1374"/>
    </row>
    <row r="789" spans="1:7" ht="15" customHeight="1" x14ac:dyDescent="0.25">
      <c r="A789" s="1214"/>
      <c r="B789" s="1461" t="s">
        <v>1214</v>
      </c>
      <c r="C789" s="1170">
        <v>1</v>
      </c>
      <c r="D789" s="1171" t="s">
        <v>204</v>
      </c>
      <c r="E789" s="1179">
        <v>1200000</v>
      </c>
      <c r="F789" s="1433">
        <f t="shared" si="14"/>
        <v>1200000</v>
      </c>
      <c r="G789" s="1374"/>
    </row>
    <row r="790" spans="1:7" x14ac:dyDescent="0.25">
      <c r="A790" s="1214"/>
      <c r="B790" s="1461" t="s">
        <v>1209</v>
      </c>
      <c r="C790" s="1170">
        <v>1</v>
      </c>
      <c r="D790" s="1171" t="s">
        <v>315</v>
      </c>
      <c r="E790" s="1185">
        <v>1000000</v>
      </c>
      <c r="F790" s="1433">
        <f t="shared" si="14"/>
        <v>1000000</v>
      </c>
      <c r="G790" s="1374"/>
    </row>
    <row r="791" spans="1:7" x14ac:dyDescent="0.25">
      <c r="A791" s="1214"/>
      <c r="B791" s="1461" t="s">
        <v>1210</v>
      </c>
      <c r="C791" s="1170">
        <v>1</v>
      </c>
      <c r="D791" s="1171" t="s">
        <v>315</v>
      </c>
      <c r="E791" s="1185">
        <v>750000</v>
      </c>
      <c r="F791" s="1433">
        <f t="shared" si="14"/>
        <v>750000</v>
      </c>
      <c r="G791" s="1374"/>
    </row>
    <row r="792" spans="1:7" x14ac:dyDescent="0.25">
      <c r="A792" s="1214"/>
      <c r="B792" s="1461" t="s">
        <v>1211</v>
      </c>
      <c r="C792" s="1170">
        <v>1</v>
      </c>
      <c r="D792" s="1171" t="s">
        <v>315</v>
      </c>
      <c r="E792" s="1185">
        <v>500000</v>
      </c>
      <c r="F792" s="1433">
        <f t="shared" si="14"/>
        <v>500000</v>
      </c>
      <c r="G792" s="1374"/>
    </row>
    <row r="793" spans="1:7" ht="15" customHeight="1" x14ac:dyDescent="0.25">
      <c r="A793" s="1214"/>
      <c r="B793" s="1456" t="s">
        <v>1213</v>
      </c>
      <c r="C793" s="1170"/>
      <c r="D793" s="1171"/>
      <c r="E793" s="1231"/>
      <c r="F793" s="1185"/>
      <c r="G793" s="1322"/>
    </row>
    <row r="794" spans="1:7" x14ac:dyDescent="0.25">
      <c r="A794" s="1214"/>
      <c r="B794" s="1500" t="s">
        <v>1214</v>
      </c>
      <c r="C794" s="1170">
        <v>1</v>
      </c>
      <c r="D794" s="1171" t="s">
        <v>204</v>
      </c>
      <c r="E794" s="1433">
        <v>1200000</v>
      </c>
      <c r="F794" s="1185">
        <f>C794*E794</f>
        <v>1200000</v>
      </c>
      <c r="G794" s="1322"/>
    </row>
    <row r="795" spans="1:7" x14ac:dyDescent="0.25">
      <c r="A795" s="1214"/>
      <c r="B795" s="1175" t="s">
        <v>1215</v>
      </c>
      <c r="C795" s="1170">
        <v>1</v>
      </c>
      <c r="D795" s="1171" t="s">
        <v>252</v>
      </c>
      <c r="E795" s="1185">
        <v>7000000</v>
      </c>
      <c r="F795" s="1185">
        <f>C795*E795</f>
        <v>7000000</v>
      </c>
      <c r="G795" s="1322"/>
    </row>
    <row r="796" spans="1:7" x14ac:dyDescent="0.25">
      <c r="A796" s="1214"/>
      <c r="B796" s="1175" t="s">
        <v>1216</v>
      </c>
      <c r="C796" s="1170">
        <v>1</v>
      </c>
      <c r="D796" s="1171" t="s">
        <v>252</v>
      </c>
      <c r="E796" s="1185">
        <v>6000000</v>
      </c>
      <c r="F796" s="1185">
        <f>C796*E796</f>
        <v>6000000</v>
      </c>
      <c r="G796" s="1322"/>
    </row>
    <row r="797" spans="1:7" x14ac:dyDescent="0.25">
      <c r="A797" s="1214"/>
      <c r="B797" s="1175" t="s">
        <v>1217</v>
      </c>
      <c r="C797" s="1170">
        <v>1</v>
      </c>
      <c r="D797" s="1171" t="s">
        <v>252</v>
      </c>
      <c r="E797" s="1185">
        <v>5000000</v>
      </c>
      <c r="F797" s="1185">
        <f>C797*E797</f>
        <v>5000000</v>
      </c>
      <c r="G797" s="1322"/>
    </row>
    <row r="798" spans="1:7" ht="24" x14ac:dyDescent="0.25">
      <c r="A798" s="1214"/>
      <c r="B798" s="1456" t="s">
        <v>1218</v>
      </c>
      <c r="C798" s="1170"/>
      <c r="D798" s="1171"/>
      <c r="E798" s="1231"/>
      <c r="F798" s="1185"/>
      <c r="G798" s="1322"/>
    </row>
    <row r="799" spans="1:7" x14ac:dyDescent="0.25">
      <c r="A799" s="1214"/>
      <c r="B799" s="1500" t="s">
        <v>1214</v>
      </c>
      <c r="C799" s="1170">
        <v>1</v>
      </c>
      <c r="D799" s="1171" t="s">
        <v>204</v>
      </c>
      <c r="E799" s="1433">
        <v>1200000</v>
      </c>
      <c r="F799" s="1185">
        <f>C799*E799</f>
        <v>1200000</v>
      </c>
      <c r="G799" s="1322"/>
    </row>
    <row r="800" spans="1:7" x14ac:dyDescent="0.25">
      <c r="A800" s="1214"/>
      <c r="B800" s="1175" t="s">
        <v>1215</v>
      </c>
      <c r="C800" s="1170">
        <v>1</v>
      </c>
      <c r="D800" s="1171" t="s">
        <v>252</v>
      </c>
      <c r="E800" s="1185">
        <v>1000000</v>
      </c>
      <c r="F800" s="1185">
        <f>C800*E800</f>
        <v>1000000</v>
      </c>
      <c r="G800" s="1322"/>
    </row>
    <row r="801" spans="1:10" x14ac:dyDescent="0.25">
      <c r="A801" s="1214"/>
      <c r="B801" s="1175" t="s">
        <v>1216</v>
      </c>
      <c r="C801" s="1170">
        <v>1</v>
      </c>
      <c r="D801" s="1171" t="s">
        <v>252</v>
      </c>
      <c r="E801" s="1185">
        <v>750000</v>
      </c>
      <c r="F801" s="1185">
        <f>C801*E801</f>
        <v>750000</v>
      </c>
      <c r="G801" s="1322"/>
    </row>
    <row r="802" spans="1:10" x14ac:dyDescent="0.25">
      <c r="A802" s="1214"/>
      <c r="B802" s="1175" t="s">
        <v>1217</v>
      </c>
      <c r="C802" s="1170">
        <v>1</v>
      </c>
      <c r="D802" s="1171" t="s">
        <v>252</v>
      </c>
      <c r="E802" s="1185">
        <v>500000</v>
      </c>
      <c r="F802" s="1185">
        <f>C802*E802</f>
        <v>500000</v>
      </c>
      <c r="G802" s="1322"/>
    </row>
    <row r="803" spans="1:10" x14ac:dyDescent="0.25">
      <c r="A803" s="1214"/>
      <c r="B803" s="1460" t="s">
        <v>1219</v>
      </c>
      <c r="C803" s="1170"/>
      <c r="D803" s="1171"/>
      <c r="E803" s="1231"/>
      <c r="F803" s="1185"/>
      <c r="G803" s="1322"/>
    </row>
    <row r="804" spans="1:10" x14ac:dyDescent="0.25">
      <c r="A804" s="1214"/>
      <c r="B804" s="1500" t="s">
        <v>1214</v>
      </c>
      <c r="C804" s="1170">
        <v>1</v>
      </c>
      <c r="D804" s="1171" t="s">
        <v>204</v>
      </c>
      <c r="E804" s="1433">
        <v>1200000</v>
      </c>
      <c r="F804" s="1185">
        <f>C804*E804</f>
        <v>1200000</v>
      </c>
      <c r="G804" s="1322"/>
    </row>
    <row r="805" spans="1:10" x14ac:dyDescent="0.25">
      <c r="A805" s="1214"/>
      <c r="B805" s="1175" t="s">
        <v>1215</v>
      </c>
      <c r="C805" s="1170">
        <v>1</v>
      </c>
      <c r="D805" s="1171" t="s">
        <v>252</v>
      </c>
      <c r="E805" s="1185">
        <v>4500000</v>
      </c>
      <c r="F805" s="1185">
        <f>C805*E805</f>
        <v>4500000</v>
      </c>
      <c r="G805" s="1322"/>
    </row>
    <row r="806" spans="1:10" x14ac:dyDescent="0.25">
      <c r="A806" s="1214"/>
      <c r="B806" s="1175" t="s">
        <v>1216</v>
      </c>
      <c r="C806" s="1170">
        <v>1</v>
      </c>
      <c r="D806" s="1171" t="s">
        <v>252</v>
      </c>
      <c r="E806" s="1185">
        <v>4000000</v>
      </c>
      <c r="F806" s="1185">
        <f>C806*E806</f>
        <v>4000000</v>
      </c>
      <c r="G806" s="1322"/>
    </row>
    <row r="807" spans="1:10" x14ac:dyDescent="0.25">
      <c r="A807" s="1214"/>
      <c r="B807" s="1175" t="s">
        <v>1217</v>
      </c>
      <c r="C807" s="1170">
        <v>1</v>
      </c>
      <c r="D807" s="1171" t="s">
        <v>252</v>
      </c>
      <c r="E807" s="1185">
        <v>3000000</v>
      </c>
      <c r="F807" s="1185">
        <f>C807*E807</f>
        <v>3000000</v>
      </c>
      <c r="G807" s="1322"/>
    </row>
    <row r="808" spans="1:10" ht="24" x14ac:dyDescent="0.25">
      <c r="A808" s="1214"/>
      <c r="B808" s="1456" t="s">
        <v>1220</v>
      </c>
      <c r="C808" s="1170"/>
      <c r="D808" s="1171"/>
      <c r="E808" s="1231"/>
      <c r="F808" s="1185"/>
      <c r="G808" s="1322"/>
    </row>
    <row r="809" spans="1:10" x14ac:dyDescent="0.25">
      <c r="A809" s="1214"/>
      <c r="B809" s="1500" t="s">
        <v>1214</v>
      </c>
      <c r="C809" s="1170">
        <v>1</v>
      </c>
      <c r="D809" s="1171" t="s">
        <v>204</v>
      </c>
      <c r="E809" s="1433">
        <v>1200000</v>
      </c>
      <c r="F809" s="1185">
        <f>C809*E809</f>
        <v>1200000</v>
      </c>
      <c r="G809" s="1322"/>
    </row>
    <row r="810" spans="1:10" x14ac:dyDescent="0.25">
      <c r="A810" s="1214"/>
      <c r="B810" s="1175" t="s">
        <v>1221</v>
      </c>
      <c r="C810" s="1170">
        <v>1</v>
      </c>
      <c r="D810" s="1171" t="s">
        <v>252</v>
      </c>
      <c r="E810" s="1185">
        <v>8000000</v>
      </c>
      <c r="F810" s="1185">
        <f>C810*E810</f>
        <v>8000000</v>
      </c>
      <c r="G810" s="1322"/>
    </row>
    <row r="811" spans="1:10" x14ac:dyDescent="0.25">
      <c r="A811" s="1214"/>
      <c r="B811" s="1175" t="s">
        <v>1222</v>
      </c>
      <c r="C811" s="1170">
        <v>1</v>
      </c>
      <c r="D811" s="1171" t="s">
        <v>252</v>
      </c>
      <c r="E811" s="1185">
        <v>7000000</v>
      </c>
      <c r="F811" s="1185">
        <f>C811*E811</f>
        <v>7000000</v>
      </c>
      <c r="G811" s="1322"/>
    </row>
    <row r="812" spans="1:10" x14ac:dyDescent="0.25">
      <c r="A812" s="1214"/>
      <c r="B812" s="1175" t="s">
        <v>1223</v>
      </c>
      <c r="C812" s="1170">
        <v>1</v>
      </c>
      <c r="D812" s="1171" t="s">
        <v>252</v>
      </c>
      <c r="E812" s="1185">
        <v>6000000</v>
      </c>
      <c r="F812" s="1185">
        <f>C812*E812</f>
        <v>6000000</v>
      </c>
      <c r="G812" s="1322"/>
    </row>
    <row r="813" spans="1:10" x14ac:dyDescent="0.25">
      <c r="A813" s="1214"/>
      <c r="B813" s="1231"/>
      <c r="C813" s="1170"/>
      <c r="D813" s="1501"/>
      <c r="E813" s="1185"/>
      <c r="F813" s="1185"/>
      <c r="G813" s="1374"/>
    </row>
    <row r="814" spans="1:10" s="495" customFormat="1" x14ac:dyDescent="0.25">
      <c r="A814" s="1636"/>
      <c r="B814" s="1991" t="s">
        <v>27</v>
      </c>
      <c r="C814" s="1991"/>
      <c r="D814" s="1991"/>
      <c r="E814" s="1991"/>
      <c r="F814" s="1637">
        <f>SUM(F735:F812)</f>
        <v>149785000</v>
      </c>
      <c r="G814" s="1344"/>
      <c r="J814" s="1373"/>
    </row>
    <row r="815" spans="1:10" x14ac:dyDescent="0.25">
      <c r="A815" s="1840" t="s">
        <v>614</v>
      </c>
      <c r="B815" s="1840"/>
      <c r="C815" s="1161" t="s">
        <v>28</v>
      </c>
      <c r="D815" s="1842" t="s">
        <v>1700</v>
      </c>
      <c r="E815" s="1842"/>
      <c r="F815" s="1842"/>
      <c r="G815" s="1161"/>
    </row>
    <row r="816" spans="1:10" x14ac:dyDescent="0.25">
      <c r="A816" s="1840" t="s">
        <v>29</v>
      </c>
      <c r="B816" s="1840"/>
      <c r="C816" s="1161"/>
      <c r="D816" s="1844" t="s">
        <v>1699</v>
      </c>
      <c r="E816" s="1844"/>
      <c r="F816" s="1844"/>
      <c r="G816" s="1161"/>
    </row>
    <row r="817" spans="1:7" x14ac:dyDescent="0.25">
      <c r="A817" s="1188"/>
      <c r="B817" s="1189"/>
      <c r="C817" s="1161"/>
      <c r="D817" s="1187"/>
      <c r="E817" s="1162"/>
      <c r="F817" s="1162"/>
      <c r="G817" s="1161"/>
    </row>
    <row r="818" spans="1:7" x14ac:dyDescent="0.25">
      <c r="A818" s="1188"/>
      <c r="B818" s="1189"/>
      <c r="C818" s="1161"/>
      <c r="D818" s="1187"/>
      <c r="E818" s="1162"/>
      <c r="F818" s="1216"/>
      <c r="G818" s="1161"/>
    </row>
    <row r="819" spans="1:7" x14ac:dyDescent="0.25">
      <c r="A819" s="1840"/>
      <c r="B819" s="1840"/>
      <c r="C819" s="1161"/>
      <c r="D819" s="1187"/>
      <c r="E819" s="1974"/>
      <c r="F819" s="1840"/>
      <c r="G819" s="1161"/>
    </row>
    <row r="820" spans="1:7" x14ac:dyDescent="0.25">
      <c r="A820" s="1840" t="s">
        <v>30</v>
      </c>
      <c r="B820" s="1840"/>
      <c r="C820" s="1161"/>
      <c r="D820" s="1840" t="s">
        <v>615</v>
      </c>
      <c r="E820" s="1840"/>
      <c r="F820" s="1840"/>
      <c r="G820" s="1161"/>
    </row>
    <row r="821" spans="1:7" x14ac:dyDescent="0.25">
      <c r="A821" s="1870" t="s">
        <v>0</v>
      </c>
      <c r="B821" s="1870"/>
      <c r="C821" s="1870"/>
      <c r="D821" s="1870"/>
      <c r="E821" s="1870"/>
      <c r="F821" s="1870"/>
      <c r="G821" s="1870"/>
    </row>
    <row r="822" spans="1:7" x14ac:dyDescent="0.25">
      <c r="A822" s="1870" t="s">
        <v>1</v>
      </c>
      <c r="B822" s="1870"/>
      <c r="C822" s="1870"/>
      <c r="D822" s="1870"/>
      <c r="E822" s="1870"/>
      <c r="F822" s="1870"/>
      <c r="G822" s="1870"/>
    </row>
    <row r="823" spans="1:7" x14ac:dyDescent="0.25">
      <c r="A823" s="1870" t="s">
        <v>1697</v>
      </c>
      <c r="B823" s="1870"/>
      <c r="C823" s="1870"/>
      <c r="D823" s="1870"/>
      <c r="E823" s="1870"/>
      <c r="F823" s="1870"/>
      <c r="G823" s="1870"/>
    </row>
    <row r="824" spans="1:7" x14ac:dyDescent="0.25">
      <c r="A824" s="534"/>
      <c r="B824" s="534"/>
      <c r="C824" s="534"/>
      <c r="D824" s="534"/>
      <c r="E824" s="534"/>
      <c r="F824" s="534"/>
      <c r="G824" s="702"/>
    </row>
    <row r="825" spans="1:7" x14ac:dyDescent="0.25">
      <c r="A825" s="818" t="s">
        <v>549</v>
      </c>
      <c r="B825" s="818" t="s">
        <v>1089</v>
      </c>
      <c r="C825" s="818"/>
      <c r="D825" s="516"/>
      <c r="E825" s="441"/>
      <c r="F825" s="516"/>
      <c r="G825" s="706"/>
    </row>
    <row r="826" spans="1:7" x14ac:dyDescent="0.25">
      <c r="A826" s="819" t="s">
        <v>1100</v>
      </c>
      <c r="B826" s="820" t="s">
        <v>2046</v>
      </c>
      <c r="C826" s="820"/>
      <c r="D826" s="821"/>
      <c r="E826" s="705" t="s">
        <v>6</v>
      </c>
      <c r="F826" s="705"/>
      <c r="G826" s="706"/>
    </row>
    <row r="827" spans="1:7" x14ac:dyDescent="0.25">
      <c r="A827" s="819" t="s">
        <v>1102</v>
      </c>
      <c r="B827" s="822" t="s">
        <v>2036</v>
      </c>
      <c r="C827" s="822"/>
      <c r="D827" s="821"/>
      <c r="E827" s="708" t="s">
        <v>9</v>
      </c>
      <c r="F827" s="708"/>
      <c r="G827" s="706"/>
    </row>
    <row r="828" spans="1:7" x14ac:dyDescent="0.25">
      <c r="A828" s="389" t="s">
        <v>62</v>
      </c>
      <c r="B828" s="389" t="s">
        <v>63</v>
      </c>
      <c r="C828" s="389"/>
      <c r="D828" s="441"/>
      <c r="E828" s="441"/>
      <c r="F828" s="441"/>
      <c r="G828" s="706"/>
    </row>
    <row r="829" spans="1:7" x14ac:dyDescent="0.25">
      <c r="A829" s="389" t="s">
        <v>64</v>
      </c>
      <c r="B829" s="389" t="s">
        <v>506</v>
      </c>
      <c r="C829" s="389"/>
      <c r="D829" s="1835"/>
      <c r="E829" s="1835"/>
      <c r="F829" s="441"/>
      <c r="G829" s="706"/>
    </row>
    <row r="830" spans="1:7" x14ac:dyDescent="0.25">
      <c r="A830" s="781"/>
      <c r="B830" s="781"/>
      <c r="C830" s="781"/>
      <c r="D830" s="781"/>
      <c r="E830" s="781"/>
      <c r="F830" s="781"/>
      <c r="G830" s="706"/>
    </row>
    <row r="831" spans="1:7" ht="36" x14ac:dyDescent="0.25">
      <c r="A831" s="443" t="s">
        <v>300</v>
      </c>
      <c r="B831" s="443" t="s">
        <v>12</v>
      </c>
      <c r="C831" s="1994" t="s">
        <v>13</v>
      </c>
      <c r="D831" s="1994"/>
      <c r="E831" s="709" t="s">
        <v>14</v>
      </c>
      <c r="F831" s="444" t="s">
        <v>15</v>
      </c>
      <c r="G831" s="715" t="s">
        <v>301</v>
      </c>
    </row>
    <row r="832" spans="1:7" x14ac:dyDescent="0.25">
      <c r="A832" s="443">
        <v>1</v>
      </c>
      <c r="B832" s="443">
        <v>2</v>
      </c>
      <c r="C832" s="1836">
        <v>3</v>
      </c>
      <c r="D832" s="1837"/>
      <c r="E832" s="782">
        <v>4</v>
      </c>
      <c r="F832" s="444">
        <v>5</v>
      </c>
      <c r="G832" s="920">
        <v>6</v>
      </c>
    </row>
    <row r="833" spans="1:21" x14ac:dyDescent="0.25">
      <c r="A833" s="390" t="s">
        <v>2037</v>
      </c>
      <c r="B833" s="728" t="s">
        <v>323</v>
      </c>
      <c r="C833" s="392"/>
      <c r="D833" s="393"/>
      <c r="E833" s="710"/>
      <c r="F833" s="446"/>
      <c r="G833" s="665"/>
    </row>
    <row r="834" spans="1:21" x14ac:dyDescent="0.25">
      <c r="A834" s="390" t="s">
        <v>2038</v>
      </c>
      <c r="B834" s="728" t="s">
        <v>88</v>
      </c>
      <c r="C834" s="392"/>
      <c r="D834" s="393"/>
      <c r="E834" s="710"/>
      <c r="F834" s="446"/>
      <c r="G834" s="665"/>
    </row>
    <row r="835" spans="1:21" ht="24" x14ac:dyDescent="0.25">
      <c r="A835" s="390" t="s">
        <v>2039</v>
      </c>
      <c r="B835" s="728" t="s">
        <v>845</v>
      </c>
      <c r="C835" s="392"/>
      <c r="D835" s="393"/>
      <c r="E835" s="710"/>
      <c r="F835" s="446"/>
      <c r="G835" s="665"/>
    </row>
    <row r="836" spans="1:21" x14ac:dyDescent="0.25">
      <c r="A836" s="390"/>
      <c r="B836" s="904" t="s">
        <v>1851</v>
      </c>
      <c r="C836" s="898">
        <v>5</v>
      </c>
      <c r="D836" s="900" t="s">
        <v>102</v>
      </c>
      <c r="E836" s="905">
        <v>5000</v>
      </c>
      <c r="F836" s="921">
        <f>C836*E836</f>
        <v>25000</v>
      </c>
      <c r="G836" s="665"/>
      <c r="J836" s="1190"/>
    </row>
    <row r="837" spans="1:21" x14ac:dyDescent="0.25">
      <c r="A837" s="390"/>
      <c r="B837" s="904" t="s">
        <v>646</v>
      </c>
      <c r="C837" s="898">
        <v>5</v>
      </c>
      <c r="D837" s="900" t="s">
        <v>102</v>
      </c>
      <c r="E837" s="905">
        <v>6000</v>
      </c>
      <c r="F837" s="921">
        <f t="shared" ref="F837:F848" si="15">C837*E837</f>
        <v>30000</v>
      </c>
      <c r="G837" s="665"/>
      <c r="J837" s="1190"/>
    </row>
    <row r="838" spans="1:21" x14ac:dyDescent="0.25">
      <c r="A838" s="390"/>
      <c r="B838" s="904" t="s">
        <v>663</v>
      </c>
      <c r="C838" s="898">
        <v>2</v>
      </c>
      <c r="D838" s="900" t="s">
        <v>102</v>
      </c>
      <c r="E838" s="905">
        <v>8000</v>
      </c>
      <c r="F838" s="921">
        <f t="shared" si="15"/>
        <v>16000</v>
      </c>
      <c r="G838" s="665"/>
      <c r="J838" s="1190"/>
    </row>
    <row r="839" spans="1:21" x14ac:dyDescent="0.25">
      <c r="A839" s="390"/>
      <c r="B839" s="904" t="s">
        <v>686</v>
      </c>
      <c r="C839" s="898">
        <v>2</v>
      </c>
      <c r="D839" s="900" t="s">
        <v>102</v>
      </c>
      <c r="E839" s="905">
        <v>8000</v>
      </c>
      <c r="F839" s="921">
        <f t="shared" si="15"/>
        <v>16000</v>
      </c>
      <c r="G839" s="665"/>
      <c r="J839" s="1190"/>
    </row>
    <row r="840" spans="1:21" ht="24" x14ac:dyDescent="0.25">
      <c r="A840" s="390" t="s">
        <v>2040</v>
      </c>
      <c r="B840" s="728" t="s">
        <v>354</v>
      </c>
      <c r="C840" s="392"/>
      <c r="D840" s="393"/>
      <c r="E840" s="921"/>
      <c r="F840" s="921">
        <f t="shared" si="15"/>
        <v>0</v>
      </c>
      <c r="G840" s="665"/>
    </row>
    <row r="841" spans="1:21" x14ac:dyDescent="0.25">
      <c r="A841" s="390"/>
      <c r="B841" s="919" t="s">
        <v>1792</v>
      </c>
      <c r="C841" s="392">
        <v>45</v>
      </c>
      <c r="D841" s="393" t="s">
        <v>565</v>
      </c>
      <c r="E841" s="921">
        <v>15000</v>
      </c>
      <c r="F841" s="921">
        <f t="shared" si="15"/>
        <v>675000</v>
      </c>
      <c r="G841" s="665"/>
      <c r="J841" s="1190"/>
    </row>
    <row r="842" spans="1:21" ht="24" x14ac:dyDescent="0.25">
      <c r="A842" s="390" t="s">
        <v>2041</v>
      </c>
      <c r="B842" s="728" t="s">
        <v>376</v>
      </c>
      <c r="C842" s="392"/>
      <c r="D842" s="393"/>
      <c r="E842" s="921"/>
      <c r="F842" s="921">
        <f t="shared" si="15"/>
        <v>0</v>
      </c>
      <c r="G842" s="665"/>
    </row>
    <row r="843" spans="1:21" x14ac:dyDescent="0.25">
      <c r="A843" s="390"/>
      <c r="B843" s="919" t="s">
        <v>377</v>
      </c>
      <c r="C843" s="392">
        <v>1</v>
      </c>
      <c r="D843" s="393" t="s">
        <v>102</v>
      </c>
      <c r="E843" s="921">
        <v>200000</v>
      </c>
      <c r="F843" s="921">
        <f t="shared" si="15"/>
        <v>200000</v>
      </c>
      <c r="G843" s="665"/>
      <c r="J843" s="1190"/>
    </row>
    <row r="844" spans="1:21" x14ac:dyDescent="0.25">
      <c r="A844" s="390" t="s">
        <v>2674</v>
      </c>
      <c r="B844" s="728" t="s">
        <v>2675</v>
      </c>
      <c r="C844" s="392"/>
      <c r="D844" s="393"/>
      <c r="E844" s="921"/>
      <c r="F844" s="921"/>
      <c r="G844" s="665"/>
    </row>
    <row r="845" spans="1:21" x14ac:dyDescent="0.25">
      <c r="A845" s="390"/>
      <c r="B845" s="919" t="s">
        <v>2826</v>
      </c>
      <c r="C845" s="392">
        <v>42</v>
      </c>
      <c r="D845" s="393" t="s">
        <v>102</v>
      </c>
      <c r="E845" s="921">
        <v>200000</v>
      </c>
      <c r="F845" s="921">
        <f>E845*C845</f>
        <v>8400000</v>
      </c>
      <c r="G845" s="665"/>
      <c r="U845" s="1190"/>
    </row>
    <row r="846" spans="1:21" x14ac:dyDescent="0.25">
      <c r="A846" s="390" t="s">
        <v>2042</v>
      </c>
      <c r="B846" s="728" t="s">
        <v>415</v>
      </c>
      <c r="C846" s="397"/>
      <c r="D846" s="522"/>
      <c r="E846" s="722"/>
      <c r="F846" s="921">
        <f t="shared" si="15"/>
        <v>0</v>
      </c>
      <c r="G846" s="665"/>
    </row>
    <row r="847" spans="1:21" ht="24" x14ac:dyDescent="0.25">
      <c r="A847" s="390" t="s">
        <v>2043</v>
      </c>
      <c r="B847" s="728" t="s">
        <v>2044</v>
      </c>
      <c r="C847" s="397"/>
      <c r="D847" s="522"/>
      <c r="E847" s="722"/>
      <c r="F847" s="921">
        <f t="shared" si="15"/>
        <v>0</v>
      </c>
      <c r="G847" s="665"/>
    </row>
    <row r="848" spans="1:21" s="506" customFormat="1" ht="24" x14ac:dyDescent="0.25">
      <c r="A848" s="922"/>
      <c r="B848" s="391" t="s">
        <v>2045</v>
      </c>
      <c r="C848" s="397">
        <v>1</v>
      </c>
      <c r="D848" s="398" t="s">
        <v>461</v>
      </c>
      <c r="E848" s="923">
        <v>300000</v>
      </c>
      <c r="F848" s="924">
        <f t="shared" si="15"/>
        <v>300000</v>
      </c>
      <c r="G848" s="920"/>
      <c r="J848" s="1332"/>
    </row>
    <row r="849" spans="1:21" s="506" customFormat="1" x14ac:dyDescent="0.25">
      <c r="A849" s="390" t="s">
        <v>2671</v>
      </c>
      <c r="B849" s="663" t="s">
        <v>516</v>
      </c>
      <c r="C849" s="397"/>
      <c r="D849" s="398"/>
      <c r="E849" s="923"/>
      <c r="F849" s="924"/>
      <c r="G849" s="920"/>
    </row>
    <row r="850" spans="1:21" s="506" customFormat="1" x14ac:dyDescent="0.25">
      <c r="A850" s="390" t="s">
        <v>2672</v>
      </c>
      <c r="B850" s="391" t="s">
        <v>2855</v>
      </c>
      <c r="C850" s="397">
        <v>50</v>
      </c>
      <c r="D850" s="398" t="s">
        <v>2673</v>
      </c>
      <c r="E850" s="923">
        <v>400000</v>
      </c>
      <c r="F850" s="924">
        <f>E850*C850</f>
        <v>20000000</v>
      </c>
      <c r="G850" s="920"/>
      <c r="U850" s="1332"/>
    </row>
    <row r="851" spans="1:21" x14ac:dyDescent="0.25">
      <c r="A851" s="390"/>
      <c r="B851" s="395"/>
      <c r="C851" s="397"/>
      <c r="D851" s="522"/>
      <c r="E851" s="399"/>
      <c r="F851" s="404"/>
      <c r="G851" s="665"/>
    </row>
    <row r="852" spans="1:21" x14ac:dyDescent="0.25">
      <c r="A852" s="395"/>
      <c r="B852" s="2005" t="s">
        <v>27</v>
      </c>
      <c r="C852" s="2006"/>
      <c r="D852" s="2006"/>
      <c r="E852" s="2007"/>
      <c r="F852" s="404">
        <f>SUM(F836:F850)</f>
        <v>29662000</v>
      </c>
      <c r="G852" s="665" t="s">
        <v>1682</v>
      </c>
      <c r="J852" s="175">
        <f>F852</f>
        <v>29662000</v>
      </c>
    </row>
    <row r="853" spans="1:21" x14ac:dyDescent="0.25">
      <c r="A853" s="1807" t="s">
        <v>614</v>
      </c>
      <c r="B853" s="1807"/>
      <c r="C853" s="5" t="s">
        <v>28</v>
      </c>
      <c r="D853" s="1808" t="s">
        <v>1700</v>
      </c>
      <c r="E853" s="1808"/>
      <c r="F853" s="1808"/>
      <c r="G853" s="5"/>
    </row>
    <row r="854" spans="1:21" x14ac:dyDescent="0.25">
      <c r="A854" s="1807" t="s">
        <v>29</v>
      </c>
      <c r="B854" s="1807"/>
      <c r="C854" s="5"/>
      <c r="D854" s="1809" t="s">
        <v>2996</v>
      </c>
      <c r="E854" s="1809"/>
      <c r="F854" s="1809"/>
      <c r="G854" s="5"/>
    </row>
    <row r="855" spans="1:21" x14ac:dyDescent="0.25">
      <c r="A855" s="1"/>
      <c r="B855" s="3"/>
      <c r="C855" s="5"/>
      <c r="D855" s="7"/>
      <c r="E855" s="17"/>
      <c r="F855" s="17"/>
      <c r="G855" s="5"/>
    </row>
    <row r="856" spans="1:21" x14ac:dyDescent="0.25">
      <c r="A856" s="1"/>
      <c r="B856" s="3"/>
      <c r="C856" s="5"/>
      <c r="D856" s="7"/>
      <c r="E856" s="17"/>
      <c r="F856" s="17"/>
      <c r="G856" s="5"/>
    </row>
    <row r="857" spans="1:21" x14ac:dyDescent="0.25">
      <c r="A857" s="1807"/>
      <c r="B857" s="1807"/>
      <c r="C857" s="5"/>
      <c r="D857" s="7"/>
      <c r="E857" s="1807"/>
      <c r="F857" s="1807"/>
      <c r="G857" s="5"/>
    </row>
    <row r="858" spans="1:21" x14ac:dyDescent="0.25">
      <c r="A858" s="1807" t="s">
        <v>30</v>
      </c>
      <c r="B858" s="1807"/>
      <c r="C858" s="5"/>
      <c r="D858" s="1807" t="s">
        <v>2993</v>
      </c>
      <c r="E858" s="1807"/>
      <c r="F858" s="1807"/>
      <c r="G858" s="5"/>
    </row>
    <row r="859" spans="1:21" s="240" customFormat="1" x14ac:dyDescent="0.25">
      <c r="A859" s="1865" t="s">
        <v>0</v>
      </c>
      <c r="B859" s="1865"/>
      <c r="C859" s="1865"/>
      <c r="D859" s="1865"/>
      <c r="E859" s="1865"/>
      <c r="F859" s="1865"/>
      <c r="G859" s="684"/>
    </row>
    <row r="860" spans="1:21" s="240" customFormat="1" x14ac:dyDescent="0.25">
      <c r="A860" s="1865" t="s">
        <v>1</v>
      </c>
      <c r="B860" s="1865"/>
      <c r="C860" s="1865"/>
      <c r="D860" s="1865"/>
      <c r="E860" s="1865"/>
      <c r="F860" s="1865"/>
      <c r="G860" s="684"/>
    </row>
    <row r="861" spans="1:21" s="240" customFormat="1" x14ac:dyDescent="0.25">
      <c r="A861" s="1993" t="s">
        <v>1697</v>
      </c>
      <c r="B861" s="1993"/>
      <c r="C861" s="1993"/>
      <c r="D861" s="1993"/>
      <c r="E861" s="1993"/>
      <c r="F861" s="1993"/>
      <c r="G861" s="684"/>
    </row>
    <row r="862" spans="1:21" s="240" customFormat="1" x14ac:dyDescent="0.25">
      <c r="A862" s="863" t="s">
        <v>549</v>
      </c>
      <c r="B862" s="863" t="s">
        <v>1171</v>
      </c>
      <c r="C862" s="863"/>
      <c r="D862" s="863"/>
      <c r="E862" s="632" t="s">
        <v>6</v>
      </c>
      <c r="F862" s="632"/>
      <c r="G862" s="973"/>
    </row>
    <row r="863" spans="1:21" s="240" customFormat="1" x14ac:dyDescent="0.25">
      <c r="A863" s="1006" t="s">
        <v>550</v>
      </c>
      <c r="B863" s="864" t="s">
        <v>1172</v>
      </c>
      <c r="C863" s="863"/>
      <c r="D863" s="863"/>
      <c r="E863" s="1007" t="s">
        <v>9</v>
      </c>
      <c r="F863" s="863"/>
      <c r="G863" s="619"/>
    </row>
    <row r="864" spans="1:21" s="240" customFormat="1" ht="63.75" customHeight="1" x14ac:dyDescent="0.25">
      <c r="A864" s="1006" t="s">
        <v>551</v>
      </c>
      <c r="B864" s="1008" t="s">
        <v>1173</v>
      </c>
      <c r="C864" s="1008"/>
      <c r="D864" s="863"/>
      <c r="E864" s="863"/>
      <c r="F864" s="863"/>
      <c r="G864" s="619"/>
    </row>
    <row r="865" spans="1:14" s="240" customFormat="1" x14ac:dyDescent="0.25">
      <c r="A865" s="863" t="s">
        <v>1157</v>
      </c>
      <c r="B865" s="863" t="s">
        <v>63</v>
      </c>
      <c r="C865" s="863"/>
      <c r="D865" s="863"/>
      <c r="E865" s="863"/>
      <c r="F865" s="863"/>
      <c r="G865" s="619"/>
    </row>
    <row r="866" spans="1:14" s="240" customFormat="1" x14ac:dyDescent="0.25">
      <c r="A866" s="863" t="s">
        <v>64</v>
      </c>
      <c r="B866" s="863" t="s">
        <v>65</v>
      </c>
      <c r="C866" s="863"/>
      <c r="D866" s="864"/>
      <c r="E866" s="1009"/>
      <c r="F866" s="863"/>
      <c r="G866" s="619"/>
    </row>
    <row r="867" spans="1:14" s="240" customFormat="1" ht="45" x14ac:dyDescent="0.25">
      <c r="A867" s="601" t="s">
        <v>31</v>
      </c>
      <c r="B867" s="601" t="s">
        <v>12</v>
      </c>
      <c r="C867" s="1818" t="s">
        <v>13</v>
      </c>
      <c r="D867" s="1819"/>
      <c r="E867" s="944" t="s">
        <v>14</v>
      </c>
      <c r="F867" s="691" t="s">
        <v>15</v>
      </c>
      <c r="G867" s="603" t="s">
        <v>35</v>
      </c>
    </row>
    <row r="868" spans="1:14" s="240" customFormat="1" x14ac:dyDescent="0.25">
      <c r="A868" s="604">
        <v>1</v>
      </c>
      <c r="B868" s="604">
        <v>2</v>
      </c>
      <c r="C868" s="1820">
        <v>3</v>
      </c>
      <c r="D868" s="1821"/>
      <c r="E868" s="946">
        <v>4</v>
      </c>
      <c r="F868" s="605">
        <v>5</v>
      </c>
      <c r="G868" s="608">
        <v>6</v>
      </c>
    </row>
    <row r="869" spans="1:14" s="240" customFormat="1" x14ac:dyDescent="0.25">
      <c r="A869" s="609" t="s">
        <v>2154</v>
      </c>
      <c r="B869" s="654" t="s">
        <v>323</v>
      </c>
      <c r="C869" s="605"/>
      <c r="D869" s="606"/>
      <c r="E869" s="946"/>
      <c r="F869" s="605"/>
      <c r="G869" s="608"/>
    </row>
    <row r="870" spans="1:14" s="240" customFormat="1" ht="42.75" x14ac:dyDescent="0.25">
      <c r="A870" s="609" t="s">
        <v>2155</v>
      </c>
      <c r="B870" s="880" t="s">
        <v>532</v>
      </c>
      <c r="C870" s="610"/>
      <c r="D870" s="611"/>
      <c r="E870" s="1000"/>
      <c r="F870" s="945"/>
      <c r="G870" s="645"/>
    </row>
    <row r="871" spans="1:14" s="240" customFormat="1" ht="28.5" x14ac:dyDescent="0.25">
      <c r="A871" s="609" t="s">
        <v>2156</v>
      </c>
      <c r="B871" s="881" t="s">
        <v>1161</v>
      </c>
      <c r="C871" s="610"/>
      <c r="D871" s="611"/>
      <c r="E871" s="1000"/>
      <c r="F871" s="945"/>
      <c r="G871" s="645"/>
    </row>
    <row r="872" spans="1:14" s="240" customFormat="1" ht="30" x14ac:dyDescent="0.25">
      <c r="A872" s="888"/>
      <c r="B872" s="618" t="s">
        <v>2157</v>
      </c>
      <c r="C872" s="605">
        <v>21</v>
      </c>
      <c r="D872" s="606" t="s">
        <v>2158</v>
      </c>
      <c r="E872" s="617">
        <v>10000000</v>
      </c>
      <c r="F872" s="617">
        <f>E872*C872</f>
        <v>210000000</v>
      </c>
      <c r="G872" s="645"/>
    </row>
    <row r="873" spans="1:14" s="240" customFormat="1" x14ac:dyDescent="0.25">
      <c r="A873" s="1010"/>
      <c r="B873" s="624"/>
      <c r="C873" s="640"/>
      <c r="D873" s="1011"/>
      <c r="E873" s="696"/>
      <c r="F873" s="1012"/>
      <c r="G873" s="645"/>
    </row>
    <row r="874" spans="1:14" s="240" customFormat="1" ht="30" x14ac:dyDescent="0.25">
      <c r="A874" s="2015" t="s">
        <v>27</v>
      </c>
      <c r="B874" s="2016"/>
      <c r="C874" s="2016"/>
      <c r="D874" s="2016"/>
      <c r="E874" s="2017"/>
      <c r="F874" s="1013">
        <f>SUM(F872:F873)</f>
        <v>210000000</v>
      </c>
      <c r="G874" s="645" t="s">
        <v>2159</v>
      </c>
      <c r="M874" s="983">
        <f>F874</f>
        <v>210000000</v>
      </c>
      <c r="N874" s="983"/>
    </row>
    <row r="875" spans="1:14" x14ac:dyDescent="0.25">
      <c r="A875" s="1807" t="s">
        <v>614</v>
      </c>
      <c r="B875" s="1807"/>
      <c r="C875" s="5" t="s">
        <v>28</v>
      </c>
      <c r="D875" s="1808" t="s">
        <v>1700</v>
      </c>
      <c r="E875" s="1808"/>
      <c r="F875" s="1808"/>
      <c r="G875" s="5"/>
    </row>
    <row r="876" spans="1:14" x14ac:dyDescent="0.25">
      <c r="A876" s="1807" t="s">
        <v>29</v>
      </c>
      <c r="B876" s="1807"/>
      <c r="C876" s="5"/>
      <c r="D876" s="1809" t="s">
        <v>2996</v>
      </c>
      <c r="E876" s="1809"/>
      <c r="F876" s="1809"/>
      <c r="G876" s="5"/>
    </row>
    <row r="877" spans="1:14" x14ac:dyDescent="0.25">
      <c r="A877" s="1"/>
      <c r="B877" s="3"/>
      <c r="C877" s="5"/>
      <c r="D877" s="7"/>
      <c r="E877" s="17"/>
      <c r="F877" s="17"/>
      <c r="G877" s="5"/>
    </row>
    <row r="878" spans="1:14" x14ac:dyDescent="0.25">
      <c r="A878" s="1"/>
      <c r="B878" s="3"/>
      <c r="C878" s="5"/>
      <c r="D878" s="7"/>
      <c r="E878" s="17"/>
      <c r="F878" s="17"/>
      <c r="G878" s="5"/>
    </row>
    <row r="879" spans="1:14" x14ac:dyDescent="0.25">
      <c r="A879" s="1807"/>
      <c r="B879" s="1807"/>
      <c r="C879" s="5"/>
      <c r="D879" s="7"/>
      <c r="E879" s="1807"/>
      <c r="F879" s="1807"/>
      <c r="G879" s="5"/>
    </row>
    <row r="880" spans="1:14" x14ac:dyDescent="0.25">
      <c r="A880" s="1807" t="s">
        <v>30</v>
      </c>
      <c r="B880" s="1807"/>
      <c r="C880" s="5"/>
      <c r="D880" s="1807" t="s">
        <v>2993</v>
      </c>
      <c r="E880" s="1807"/>
      <c r="F880" s="1807"/>
      <c r="G880" s="5"/>
    </row>
    <row r="881" spans="1:22" x14ac:dyDescent="0.25">
      <c r="A881" s="1870" t="s">
        <v>0</v>
      </c>
      <c r="B881" s="1870"/>
      <c r="C881" s="1870"/>
      <c r="D881" s="1870"/>
      <c r="E881" s="1870"/>
      <c r="F881" s="1870"/>
      <c r="G881" s="1870"/>
    </row>
    <row r="882" spans="1:22" x14ac:dyDescent="0.25">
      <c r="A882" s="1870" t="s">
        <v>1</v>
      </c>
      <c r="B882" s="1870"/>
      <c r="C882" s="1870"/>
      <c r="D882" s="1870"/>
      <c r="E882" s="1870"/>
      <c r="F882" s="1870"/>
      <c r="G882" s="1870"/>
    </row>
    <row r="883" spans="1:22" x14ac:dyDescent="0.25">
      <c r="A883" s="1870" t="s">
        <v>1697</v>
      </c>
      <c r="B883" s="1870"/>
      <c r="C883" s="1870"/>
      <c r="D883" s="1870"/>
      <c r="E883" s="1870"/>
      <c r="F883" s="1870"/>
      <c r="G883" s="1870"/>
    </row>
    <row r="884" spans="1:22" x14ac:dyDescent="0.25">
      <c r="A884" s="534"/>
      <c r="B884" s="534"/>
      <c r="C884" s="534"/>
      <c r="D884" s="534"/>
      <c r="E884" s="534"/>
      <c r="F884" s="534"/>
      <c r="G884" s="702"/>
    </row>
    <row r="885" spans="1:22" x14ac:dyDescent="0.25">
      <c r="A885" s="1555" t="s">
        <v>296</v>
      </c>
      <c r="B885" s="1555" t="s">
        <v>1089</v>
      </c>
      <c r="C885" s="1555"/>
      <c r="D885" s="1555"/>
      <c r="E885" s="1556" t="s">
        <v>6</v>
      </c>
      <c r="F885" s="1556"/>
      <c r="G885" s="814"/>
    </row>
    <row r="886" spans="1:22" x14ac:dyDescent="0.25">
      <c r="A886" s="1555" t="s">
        <v>297</v>
      </c>
      <c r="B886" s="1555" t="s">
        <v>1249</v>
      </c>
      <c r="C886" s="1555"/>
      <c r="D886" s="1555"/>
      <c r="E886" s="1557" t="s">
        <v>368</v>
      </c>
      <c r="F886" s="1555"/>
      <c r="G886" s="814"/>
    </row>
    <row r="887" spans="1:22" ht="51" x14ac:dyDescent="0.25">
      <c r="A887" s="707" t="s">
        <v>298</v>
      </c>
      <c r="B887" s="799" t="s">
        <v>1250</v>
      </c>
      <c r="C887" s="799"/>
      <c r="D887" s="1558"/>
      <c r="E887" s="1558"/>
      <c r="F887" s="1558"/>
      <c r="G887" s="814"/>
    </row>
    <row r="888" spans="1:22" x14ac:dyDescent="0.25">
      <c r="A888" s="1555" t="s">
        <v>451</v>
      </c>
      <c r="B888" s="1555" t="s">
        <v>63</v>
      </c>
      <c r="C888" s="1555"/>
      <c r="D888" s="1555"/>
      <c r="E888" s="1555"/>
      <c r="F888" s="1555"/>
      <c r="G888" s="814"/>
    </row>
    <row r="889" spans="1:22" x14ac:dyDescent="0.25">
      <c r="A889" s="1555" t="s">
        <v>64</v>
      </c>
      <c r="B889" s="1555" t="s">
        <v>65</v>
      </c>
      <c r="C889" s="1555"/>
      <c r="D889" s="1559"/>
      <c r="E889" s="1560"/>
      <c r="F889" s="1555"/>
      <c r="G889" s="814"/>
    </row>
    <row r="890" spans="1:22" ht="4.5" customHeight="1" x14ac:dyDescent="0.25">
      <c r="A890" s="781"/>
      <c r="B890" s="781"/>
      <c r="C890" s="781"/>
      <c r="D890" s="781"/>
      <c r="E890" s="781"/>
      <c r="F890" s="781"/>
      <c r="G890" s="814"/>
    </row>
    <row r="891" spans="1:22" ht="36" x14ac:dyDescent="0.25">
      <c r="A891" s="1561" t="s">
        <v>640</v>
      </c>
      <c r="B891" s="1561" t="s">
        <v>12</v>
      </c>
      <c r="C891" s="2013" t="s">
        <v>13</v>
      </c>
      <c r="D891" s="2013"/>
      <c r="E891" s="803" t="s">
        <v>14</v>
      </c>
      <c r="F891" s="786" t="s">
        <v>15</v>
      </c>
      <c r="G891" s="1562" t="s">
        <v>301</v>
      </c>
    </row>
    <row r="892" spans="1:22" x14ac:dyDescent="0.25">
      <c r="A892" s="443">
        <v>1</v>
      </c>
      <c r="B892" s="443">
        <v>2</v>
      </c>
      <c r="C892" s="1836">
        <v>3</v>
      </c>
      <c r="D892" s="1837"/>
      <c r="E892" s="782">
        <v>4</v>
      </c>
      <c r="F892" s="444">
        <v>5</v>
      </c>
      <c r="G892" s="805">
        <v>6</v>
      </c>
    </row>
    <row r="893" spans="1:22" x14ac:dyDescent="0.25">
      <c r="A893" s="390" t="s">
        <v>1251</v>
      </c>
      <c r="B893" s="1563" t="s">
        <v>1252</v>
      </c>
      <c r="C893" s="542"/>
      <c r="D893" s="1564"/>
      <c r="E893" s="1565"/>
      <c r="F893" s="1566"/>
      <c r="G893" s="785"/>
    </row>
    <row r="894" spans="1:22" x14ac:dyDescent="0.25">
      <c r="A894" s="390" t="s">
        <v>1253</v>
      </c>
      <c r="B894" s="1563" t="s">
        <v>88</v>
      </c>
      <c r="C894" s="542"/>
      <c r="D894" s="1564"/>
      <c r="E894" s="1565"/>
      <c r="F894" s="1566"/>
      <c r="G894" s="785"/>
    </row>
    <row r="895" spans="1:22" ht="24" x14ac:dyDescent="0.25">
      <c r="A895" s="390" t="s">
        <v>1254</v>
      </c>
      <c r="B895" s="728" t="s">
        <v>354</v>
      </c>
      <c r="C895" s="392"/>
      <c r="D895" s="1510"/>
      <c r="E895" s="1567"/>
      <c r="F895" s="1568"/>
      <c r="G895" s="1569"/>
    </row>
    <row r="896" spans="1:22" x14ac:dyDescent="0.25">
      <c r="A896" s="394"/>
      <c r="B896" s="391" t="s">
        <v>1846</v>
      </c>
      <c r="C896" s="392">
        <v>25</v>
      </c>
      <c r="D896" s="393" t="s">
        <v>448</v>
      </c>
      <c r="E896" s="717">
        <v>15000</v>
      </c>
      <c r="F896" s="1570">
        <f t="shared" ref="F896:F905" si="16">E896*C896</f>
        <v>375000</v>
      </c>
      <c r="G896" s="785" t="s">
        <v>2620</v>
      </c>
      <c r="K896" s="175">
        <f>F896</f>
        <v>375000</v>
      </c>
      <c r="V896" s="175"/>
    </row>
    <row r="897" spans="1:22" ht="24.75" x14ac:dyDescent="0.25">
      <c r="A897" s="394"/>
      <c r="B897" s="396" t="s">
        <v>1847</v>
      </c>
      <c r="C897" s="392">
        <v>125</v>
      </c>
      <c r="D897" s="393" t="s">
        <v>315</v>
      </c>
      <c r="E897" s="717">
        <v>15000</v>
      </c>
      <c r="F897" s="1570">
        <f t="shared" si="16"/>
        <v>1875000</v>
      </c>
      <c r="G897" s="785" t="s">
        <v>2620</v>
      </c>
      <c r="K897" s="175">
        <f t="shared" ref="K897:K934" si="17">F897</f>
        <v>1875000</v>
      </c>
      <c r="V897" s="175"/>
    </row>
    <row r="898" spans="1:22" ht="24.75" x14ac:dyDescent="0.25">
      <c r="A898" s="390" t="s">
        <v>1255</v>
      </c>
      <c r="B898" s="727" t="s">
        <v>376</v>
      </c>
      <c r="C898" s="392"/>
      <c r="D898" s="393"/>
      <c r="E898" s="717"/>
      <c r="F898" s="1570"/>
      <c r="G898" s="785"/>
      <c r="K898" s="175">
        <f t="shared" si="17"/>
        <v>0</v>
      </c>
      <c r="V898" s="175"/>
    </row>
    <row r="899" spans="1:22" x14ac:dyDescent="0.25">
      <c r="A899" s="394"/>
      <c r="B899" s="396" t="s">
        <v>377</v>
      </c>
      <c r="C899" s="392">
        <v>1</v>
      </c>
      <c r="D899" s="393" t="s">
        <v>102</v>
      </c>
      <c r="E899" s="717">
        <v>90000</v>
      </c>
      <c r="F899" s="1570">
        <f t="shared" si="16"/>
        <v>90000</v>
      </c>
      <c r="G899" s="785" t="s">
        <v>2620</v>
      </c>
      <c r="K899" s="175">
        <f t="shared" si="17"/>
        <v>90000</v>
      </c>
      <c r="V899" s="175"/>
    </row>
    <row r="900" spans="1:22" ht="24.75" x14ac:dyDescent="0.25">
      <c r="A900" s="390" t="s">
        <v>1256</v>
      </c>
      <c r="B900" s="727" t="s">
        <v>1257</v>
      </c>
      <c r="C900" s="392"/>
      <c r="D900" s="393"/>
      <c r="E900" s="717"/>
      <c r="F900" s="1570"/>
      <c r="G900" s="785"/>
      <c r="K900" s="175">
        <f t="shared" si="17"/>
        <v>0</v>
      </c>
    </row>
    <row r="901" spans="1:22" x14ac:dyDescent="0.25">
      <c r="A901" s="394"/>
      <c r="B901" s="396" t="s">
        <v>1258</v>
      </c>
      <c r="C901" s="392">
        <v>17</v>
      </c>
      <c r="D901" s="393" t="s">
        <v>315</v>
      </c>
      <c r="E901" s="717">
        <v>700000</v>
      </c>
      <c r="F901" s="1570">
        <f t="shared" si="16"/>
        <v>11900000</v>
      </c>
      <c r="G901" s="785" t="s">
        <v>2620</v>
      </c>
      <c r="K901" s="175">
        <f t="shared" si="17"/>
        <v>11900000</v>
      </c>
    </row>
    <row r="902" spans="1:22" ht="24.75" x14ac:dyDescent="0.25">
      <c r="A902" s="390" t="s">
        <v>1259</v>
      </c>
      <c r="B902" s="727" t="s">
        <v>319</v>
      </c>
      <c r="C902" s="392"/>
      <c r="D902" s="393"/>
      <c r="E902" s="717"/>
      <c r="F902" s="1570"/>
      <c r="G902" s="785"/>
      <c r="K902" s="175">
        <f t="shared" si="17"/>
        <v>0</v>
      </c>
    </row>
    <row r="903" spans="1:22" x14ac:dyDescent="0.25">
      <c r="A903" s="395"/>
      <c r="B903" s="396" t="s">
        <v>496</v>
      </c>
      <c r="C903" s="392">
        <v>5</v>
      </c>
      <c r="D903" s="517" t="s">
        <v>102</v>
      </c>
      <c r="E903" s="717">
        <v>50000</v>
      </c>
      <c r="F903" s="1570">
        <f t="shared" si="16"/>
        <v>250000</v>
      </c>
      <c r="G903" s="785" t="s">
        <v>2620</v>
      </c>
      <c r="K903" s="175">
        <f t="shared" si="17"/>
        <v>250000</v>
      </c>
      <c r="V903" s="175"/>
    </row>
    <row r="904" spans="1:22" x14ac:dyDescent="0.25">
      <c r="A904" s="395"/>
      <c r="B904" s="396" t="s">
        <v>321</v>
      </c>
      <c r="C904" s="392">
        <v>25</v>
      </c>
      <c r="D904" s="517" t="s">
        <v>186</v>
      </c>
      <c r="E904" s="717">
        <v>1000</v>
      </c>
      <c r="F904" s="1570">
        <f t="shared" si="16"/>
        <v>25000</v>
      </c>
      <c r="G904" s="785" t="s">
        <v>2620</v>
      </c>
      <c r="K904" s="175">
        <f t="shared" si="17"/>
        <v>25000</v>
      </c>
      <c r="V904" s="175"/>
    </row>
    <row r="905" spans="1:22" x14ac:dyDescent="0.25">
      <c r="A905" s="394"/>
      <c r="B905" s="815" t="s">
        <v>335</v>
      </c>
      <c r="C905" s="392">
        <v>5</v>
      </c>
      <c r="D905" s="393" t="s">
        <v>336</v>
      </c>
      <c r="E905" s="717">
        <v>10000</v>
      </c>
      <c r="F905" s="1570">
        <f t="shared" si="16"/>
        <v>50000</v>
      </c>
      <c r="G905" s="785" t="s">
        <v>2620</v>
      </c>
      <c r="K905" s="175">
        <f t="shared" si="17"/>
        <v>50000</v>
      </c>
      <c r="V905" s="175"/>
    </row>
    <row r="906" spans="1:22" ht="36.75" x14ac:dyDescent="0.25">
      <c r="A906" s="390" t="s">
        <v>1260</v>
      </c>
      <c r="B906" s="727" t="s">
        <v>578</v>
      </c>
      <c r="C906" s="392"/>
      <c r="D906" s="393"/>
      <c r="E906" s="717"/>
      <c r="F906" s="1570"/>
      <c r="G906" s="785"/>
      <c r="K906" s="175">
        <f t="shared" si="17"/>
        <v>0</v>
      </c>
    </row>
    <row r="907" spans="1:22" ht="36.75" x14ac:dyDescent="0.25">
      <c r="A907" s="390" t="s">
        <v>1261</v>
      </c>
      <c r="B907" s="727" t="s">
        <v>578</v>
      </c>
      <c r="C907" s="392"/>
      <c r="D907" s="393"/>
      <c r="E907" s="717"/>
      <c r="F907" s="1570"/>
      <c r="G907" s="785"/>
      <c r="K907" s="175">
        <f t="shared" si="17"/>
        <v>0</v>
      </c>
    </row>
    <row r="908" spans="1:22" x14ac:dyDescent="0.25">
      <c r="A908" s="390"/>
      <c r="B908" s="396" t="s">
        <v>1262</v>
      </c>
      <c r="C908" s="392">
        <v>37</v>
      </c>
      <c r="D908" s="393" t="s">
        <v>119</v>
      </c>
      <c r="E908" s="717">
        <v>350000</v>
      </c>
      <c r="F908" s="1570">
        <f t="shared" ref="F908" si="18">E908*C908</f>
        <v>12950000</v>
      </c>
      <c r="G908" s="785" t="s">
        <v>2620</v>
      </c>
      <c r="K908" s="175">
        <f t="shared" si="17"/>
        <v>12950000</v>
      </c>
    </row>
    <row r="909" spans="1:22" x14ac:dyDescent="0.25">
      <c r="A909" s="390"/>
      <c r="B909" s="1571" t="s">
        <v>2866</v>
      </c>
      <c r="C909" s="392"/>
      <c r="D909" s="393"/>
      <c r="E909" s="1572"/>
      <c r="F909" s="1573"/>
      <c r="G909" s="785"/>
      <c r="K909" s="175">
        <f t="shared" si="17"/>
        <v>0</v>
      </c>
    </row>
    <row r="910" spans="1:22" ht="24" x14ac:dyDescent="0.25">
      <c r="A910" s="390" t="s">
        <v>1254</v>
      </c>
      <c r="B910" s="728" t="s">
        <v>354</v>
      </c>
      <c r="C910" s="392"/>
      <c r="D910" s="1510"/>
      <c r="E910" s="1567"/>
      <c r="F910" s="1568"/>
      <c r="G910" s="1569"/>
      <c r="K910" s="175">
        <f t="shared" si="17"/>
        <v>0</v>
      </c>
    </row>
    <row r="911" spans="1:22" x14ac:dyDescent="0.25">
      <c r="A911" s="390"/>
      <c r="B911" s="396" t="s">
        <v>2862</v>
      </c>
      <c r="C911" s="392">
        <v>100</v>
      </c>
      <c r="D911" s="393" t="s">
        <v>315</v>
      </c>
      <c r="E911" s="717">
        <v>15000</v>
      </c>
      <c r="F911" s="1570">
        <f>E911*C911</f>
        <v>1500000</v>
      </c>
      <c r="G911" s="785" t="s">
        <v>2620</v>
      </c>
      <c r="K911" s="175">
        <f t="shared" si="17"/>
        <v>1500000</v>
      </c>
    </row>
    <row r="912" spans="1:22" ht="24.75" x14ac:dyDescent="0.25">
      <c r="A912" s="390" t="s">
        <v>1255</v>
      </c>
      <c r="B912" s="727" t="s">
        <v>376</v>
      </c>
      <c r="C912" s="392"/>
      <c r="D912" s="393"/>
      <c r="E912" s="717"/>
      <c r="F912" s="1570"/>
      <c r="G912" s="785"/>
      <c r="K912" s="175">
        <f t="shared" si="17"/>
        <v>0</v>
      </c>
    </row>
    <row r="913" spans="1:12" x14ac:dyDescent="0.25">
      <c r="A913" s="390"/>
      <c r="B913" s="1574" t="s">
        <v>2867</v>
      </c>
      <c r="C913" s="392">
        <v>1</v>
      </c>
      <c r="D913" s="393" t="s">
        <v>259</v>
      </c>
      <c r="E913" s="1572">
        <v>90000</v>
      </c>
      <c r="F913" s="1573">
        <f>E913*C913</f>
        <v>90000</v>
      </c>
      <c r="G913" s="785" t="s">
        <v>2620</v>
      </c>
      <c r="K913" s="175">
        <f t="shared" si="17"/>
        <v>90000</v>
      </c>
    </row>
    <row r="914" spans="1:12" ht="36.75" x14ac:dyDescent="0.25">
      <c r="A914" s="390" t="s">
        <v>2863</v>
      </c>
      <c r="B914" s="1571" t="s">
        <v>2883</v>
      </c>
      <c r="C914" s="392"/>
      <c r="D914" s="393"/>
      <c r="E914" s="1572"/>
      <c r="F914" s="1573"/>
      <c r="G914" s="785"/>
      <c r="K914" s="175">
        <f t="shared" si="17"/>
        <v>0</v>
      </c>
    </row>
    <row r="915" spans="1:12" ht="36.75" x14ac:dyDescent="0.25">
      <c r="A915" s="390" t="s">
        <v>2863</v>
      </c>
      <c r="B915" s="1571" t="s">
        <v>2864</v>
      </c>
      <c r="C915" s="392"/>
      <c r="D915" s="393"/>
      <c r="E915" s="1572"/>
      <c r="F915" s="1573"/>
      <c r="G915" s="785"/>
      <c r="K915" s="175">
        <f t="shared" si="17"/>
        <v>0</v>
      </c>
    </row>
    <row r="916" spans="1:12" ht="24.75" x14ac:dyDescent="0.25">
      <c r="A916" s="390"/>
      <c r="B916" s="1574" t="s">
        <v>2865</v>
      </c>
      <c r="C916" s="392">
        <v>100</v>
      </c>
      <c r="D916" s="393" t="s">
        <v>123</v>
      </c>
      <c r="E916" s="1572">
        <v>30000</v>
      </c>
      <c r="F916" s="1573">
        <f>E916*C916</f>
        <v>3000000</v>
      </c>
      <c r="G916" s="785" t="s">
        <v>2620</v>
      </c>
      <c r="K916" s="175">
        <f t="shared" si="17"/>
        <v>3000000</v>
      </c>
    </row>
    <row r="917" spans="1:12" x14ac:dyDescent="0.25">
      <c r="A917" s="390"/>
      <c r="B917" s="1571" t="s">
        <v>2868</v>
      </c>
      <c r="C917" s="392"/>
      <c r="D917" s="393"/>
      <c r="E917" s="1572"/>
      <c r="F917" s="1573"/>
      <c r="G917" s="785"/>
      <c r="K917" s="175">
        <f t="shared" si="17"/>
        <v>0</v>
      </c>
    </row>
    <row r="918" spans="1:12" ht="24" x14ac:dyDescent="0.25">
      <c r="A918" s="390" t="s">
        <v>1254</v>
      </c>
      <c r="B918" s="728" t="s">
        <v>354</v>
      </c>
      <c r="C918" s="392"/>
      <c r="D918" s="1510"/>
      <c r="E918" s="1567"/>
      <c r="F918" s="1568"/>
      <c r="G918" s="1569"/>
      <c r="K918" s="175">
        <f t="shared" si="17"/>
        <v>0</v>
      </c>
    </row>
    <row r="919" spans="1:12" ht="24" x14ac:dyDescent="0.25">
      <c r="A919" s="394"/>
      <c r="B919" s="391" t="s">
        <v>2869</v>
      </c>
      <c r="C919" s="392">
        <v>150</v>
      </c>
      <c r="D919" s="393" t="s">
        <v>448</v>
      </c>
      <c r="E919" s="717">
        <v>15000</v>
      </c>
      <c r="F919" s="1570">
        <f t="shared" ref="F919" si="19">E919*C919</f>
        <v>2250000</v>
      </c>
      <c r="G919" s="785" t="s">
        <v>2620</v>
      </c>
      <c r="K919" s="175">
        <f t="shared" si="17"/>
        <v>2250000</v>
      </c>
    </row>
    <row r="920" spans="1:12" ht="24.75" x14ac:dyDescent="0.25">
      <c r="A920" s="390" t="s">
        <v>1255</v>
      </c>
      <c r="B920" s="727" t="s">
        <v>376</v>
      </c>
      <c r="C920" s="392"/>
      <c r="D920" s="393"/>
      <c r="E920" s="717"/>
      <c r="F920" s="1570"/>
      <c r="G920" s="785"/>
      <c r="K920" s="175">
        <f t="shared" si="17"/>
        <v>0</v>
      </c>
    </row>
    <row r="921" spans="1:12" x14ac:dyDescent="0.25">
      <c r="A921" s="394"/>
      <c r="B921" s="396" t="s">
        <v>2870</v>
      </c>
      <c r="C921" s="392">
        <v>1</v>
      </c>
      <c r="D921" s="393" t="s">
        <v>102</v>
      </c>
      <c r="E921" s="717">
        <v>560000</v>
      </c>
      <c r="F921" s="1570">
        <f t="shared" ref="F921" si="20">E921*C921</f>
        <v>560000</v>
      </c>
      <c r="G921" s="785" t="s">
        <v>2620</v>
      </c>
      <c r="K921" s="175">
        <f t="shared" si="17"/>
        <v>560000</v>
      </c>
      <c r="L921" s="175"/>
    </row>
    <row r="922" spans="1:12" x14ac:dyDescent="0.25">
      <c r="A922" s="394"/>
      <c r="B922" s="396" t="s">
        <v>2867</v>
      </c>
      <c r="C922" s="392">
        <v>1</v>
      </c>
      <c r="D922" s="393" t="s">
        <v>102</v>
      </c>
      <c r="E922" s="717">
        <v>90000</v>
      </c>
      <c r="F922" s="1570">
        <f>E922*C922</f>
        <v>90000</v>
      </c>
      <c r="G922" s="785" t="s">
        <v>2620</v>
      </c>
      <c r="K922" s="175">
        <f t="shared" si="17"/>
        <v>90000</v>
      </c>
      <c r="L922" s="175"/>
    </row>
    <row r="923" spans="1:12" ht="24.75" x14ac:dyDescent="0.25">
      <c r="A923" s="390" t="s">
        <v>1259</v>
      </c>
      <c r="B923" s="727" t="s">
        <v>319</v>
      </c>
      <c r="C923" s="392"/>
      <c r="D923" s="393"/>
      <c r="E923" s="717"/>
      <c r="F923" s="1570"/>
      <c r="G923" s="785"/>
      <c r="K923" s="175">
        <f t="shared" si="17"/>
        <v>0</v>
      </c>
    </row>
    <row r="924" spans="1:12" x14ac:dyDescent="0.25">
      <c r="A924" s="395"/>
      <c r="B924" s="396" t="s">
        <v>496</v>
      </c>
      <c r="C924" s="392">
        <v>5</v>
      </c>
      <c r="D924" s="517" t="s">
        <v>102</v>
      </c>
      <c r="E924" s="717">
        <v>50000</v>
      </c>
      <c r="F924" s="1570">
        <f t="shared" ref="F924:F926" si="21">E924*C924</f>
        <v>250000</v>
      </c>
      <c r="G924" s="785" t="s">
        <v>2620</v>
      </c>
      <c r="K924" s="175">
        <f t="shared" si="17"/>
        <v>250000</v>
      </c>
      <c r="L924" s="175"/>
    </row>
    <row r="925" spans="1:12" x14ac:dyDescent="0.25">
      <c r="A925" s="395"/>
      <c r="B925" s="396" t="s">
        <v>321</v>
      </c>
      <c r="C925" s="392">
        <v>25</v>
      </c>
      <c r="D925" s="517" t="s">
        <v>186</v>
      </c>
      <c r="E925" s="717">
        <v>1000</v>
      </c>
      <c r="F925" s="1570">
        <f t="shared" si="21"/>
        <v>25000</v>
      </c>
      <c r="G925" s="785" t="s">
        <v>2620</v>
      </c>
      <c r="K925" s="175">
        <f t="shared" si="17"/>
        <v>25000</v>
      </c>
      <c r="L925" s="175"/>
    </row>
    <row r="926" spans="1:12" x14ac:dyDescent="0.25">
      <c r="A926" s="394"/>
      <c r="B926" s="815" t="s">
        <v>335</v>
      </c>
      <c r="C926" s="392">
        <v>5</v>
      </c>
      <c r="D926" s="393" t="s">
        <v>336</v>
      </c>
      <c r="E926" s="717">
        <v>10000</v>
      </c>
      <c r="F926" s="1570">
        <f t="shared" si="21"/>
        <v>50000</v>
      </c>
      <c r="G926" s="785" t="s">
        <v>2620</v>
      </c>
      <c r="K926" s="175">
        <f t="shared" si="17"/>
        <v>50000</v>
      </c>
      <c r="L926" s="175"/>
    </row>
    <row r="927" spans="1:12" x14ac:dyDescent="0.25">
      <c r="A927" s="390" t="s">
        <v>1433</v>
      </c>
      <c r="B927" s="1575" t="s">
        <v>2871</v>
      </c>
      <c r="C927" s="392"/>
      <c r="D927" s="393"/>
      <c r="E927" s="1572"/>
      <c r="F927" s="1573"/>
      <c r="G927" s="783"/>
      <c r="K927" s="175">
        <f t="shared" si="17"/>
        <v>0</v>
      </c>
      <c r="L927" s="175"/>
    </row>
    <row r="928" spans="1:12" ht="24" x14ac:dyDescent="0.25">
      <c r="A928" s="390" t="s">
        <v>2872</v>
      </c>
      <c r="B928" s="1576" t="s">
        <v>2873</v>
      </c>
      <c r="C928" s="392"/>
      <c r="D928" s="393"/>
      <c r="E928" s="1572"/>
      <c r="F928" s="1573"/>
      <c r="G928" s="783"/>
      <c r="K928" s="175">
        <f t="shared" si="17"/>
        <v>0</v>
      </c>
      <c r="L928" s="175"/>
    </row>
    <row r="929" spans="1:20" x14ac:dyDescent="0.25">
      <c r="A929" s="394"/>
      <c r="B929" s="1577" t="s">
        <v>214</v>
      </c>
      <c r="C929" s="392">
        <v>1</v>
      </c>
      <c r="D929" s="393" t="s">
        <v>315</v>
      </c>
      <c r="E929" s="1572">
        <v>300000</v>
      </c>
      <c r="F929" s="1573">
        <f>E929*C929</f>
        <v>300000</v>
      </c>
      <c r="G929" s="785" t="s">
        <v>2620</v>
      </c>
      <c r="K929" s="175">
        <f t="shared" si="17"/>
        <v>300000</v>
      </c>
      <c r="L929" s="175"/>
    </row>
    <row r="930" spans="1:20" x14ac:dyDescent="0.25">
      <c r="A930" s="394"/>
      <c r="B930" s="1577" t="s">
        <v>215</v>
      </c>
      <c r="C930" s="392">
        <v>1</v>
      </c>
      <c r="D930" s="393" t="s">
        <v>315</v>
      </c>
      <c r="E930" s="1572">
        <v>250000</v>
      </c>
      <c r="F930" s="1573">
        <f t="shared" ref="F930:F931" si="22">E930*C930</f>
        <v>250000</v>
      </c>
      <c r="G930" s="785" t="s">
        <v>2620</v>
      </c>
      <c r="K930" s="175">
        <f t="shared" si="17"/>
        <v>250000</v>
      </c>
      <c r="L930" s="175"/>
    </row>
    <row r="931" spans="1:20" x14ac:dyDescent="0.25">
      <c r="A931" s="394"/>
      <c r="B931" s="1577" t="s">
        <v>391</v>
      </c>
      <c r="C931" s="392">
        <v>3</v>
      </c>
      <c r="D931" s="393" t="s">
        <v>315</v>
      </c>
      <c r="E931" s="1572">
        <v>200000</v>
      </c>
      <c r="F931" s="1573">
        <f t="shared" si="22"/>
        <v>600000</v>
      </c>
      <c r="G931" s="785" t="s">
        <v>2620</v>
      </c>
      <c r="H931" s="783"/>
      <c r="K931" s="175">
        <f t="shared" si="17"/>
        <v>600000</v>
      </c>
      <c r="L931" s="175"/>
    </row>
    <row r="932" spans="1:20" x14ac:dyDescent="0.25">
      <c r="A932" s="390" t="s">
        <v>2875</v>
      </c>
      <c r="B932" s="1576" t="s">
        <v>2874</v>
      </c>
      <c r="C932" s="392"/>
      <c r="D932" s="393"/>
      <c r="E932" s="1572"/>
      <c r="F932" s="1573"/>
      <c r="G932" s="783"/>
      <c r="K932" s="175">
        <f t="shared" si="17"/>
        <v>0</v>
      </c>
      <c r="L932" s="175"/>
    </row>
    <row r="933" spans="1:20" x14ac:dyDescent="0.25">
      <c r="A933" s="394"/>
      <c r="B933" s="1577" t="s">
        <v>2876</v>
      </c>
      <c r="C933" s="392">
        <v>11</v>
      </c>
      <c r="D933" s="393" t="s">
        <v>315</v>
      </c>
      <c r="E933" s="1572">
        <v>100000</v>
      </c>
      <c r="F933" s="1573">
        <f>E933*C933</f>
        <v>1100000</v>
      </c>
      <c r="G933" s="785" t="s">
        <v>2620</v>
      </c>
      <c r="K933" s="175">
        <f t="shared" si="17"/>
        <v>1100000</v>
      </c>
      <c r="L933" s="175"/>
    </row>
    <row r="934" spans="1:20" x14ac:dyDescent="0.25">
      <c r="A934" s="394"/>
      <c r="B934" s="1577" t="s">
        <v>2887</v>
      </c>
      <c r="C934" s="392">
        <v>5</v>
      </c>
      <c r="D934" s="393" t="s">
        <v>315</v>
      </c>
      <c r="E934" s="1572">
        <v>100000</v>
      </c>
      <c r="F934" s="1573">
        <f>E934*C934</f>
        <v>500000</v>
      </c>
      <c r="G934" s="785" t="s">
        <v>2620</v>
      </c>
      <c r="K934" s="175">
        <f t="shared" si="17"/>
        <v>500000</v>
      </c>
    </row>
    <row r="935" spans="1:20" x14ac:dyDescent="0.25">
      <c r="A935" s="390" t="s">
        <v>2880</v>
      </c>
      <c r="B935" s="1575" t="s">
        <v>516</v>
      </c>
      <c r="C935" s="392"/>
      <c r="D935" s="393"/>
      <c r="E935" s="1572"/>
      <c r="F935" s="1573"/>
      <c r="G935" s="783"/>
      <c r="K935" s="175"/>
    </row>
    <row r="936" spans="1:20" x14ac:dyDescent="0.25">
      <c r="A936" s="390" t="s">
        <v>2881</v>
      </c>
      <c r="B936" s="1575" t="s">
        <v>2878</v>
      </c>
      <c r="C936" s="392"/>
      <c r="D936" s="393"/>
      <c r="E936" s="1572"/>
      <c r="F936" s="1573"/>
      <c r="G936" s="783"/>
    </row>
    <row r="937" spans="1:20" x14ac:dyDescent="0.25">
      <c r="A937" s="394"/>
      <c r="B937" s="1577" t="s">
        <v>2879</v>
      </c>
      <c r="C937" s="392">
        <v>1</v>
      </c>
      <c r="D937" s="393" t="s">
        <v>1818</v>
      </c>
      <c r="E937" s="1572">
        <v>1000000</v>
      </c>
      <c r="F937" s="1573">
        <f>E937*C937</f>
        <v>1000000</v>
      </c>
      <c r="G937" s="783" t="s">
        <v>2824</v>
      </c>
      <c r="K937" s="175"/>
      <c r="T937" s="175">
        <f>F937</f>
        <v>1000000</v>
      </c>
    </row>
    <row r="938" spans="1:20" ht="24" x14ac:dyDescent="0.25">
      <c r="A938" s="390" t="s">
        <v>2882</v>
      </c>
      <c r="B938" s="1576" t="s">
        <v>1287</v>
      </c>
      <c r="C938" s="392"/>
      <c r="D938" s="393"/>
      <c r="E938" s="1572"/>
      <c r="F938" s="1573"/>
      <c r="G938" s="783"/>
    </row>
    <row r="939" spans="1:20" x14ac:dyDescent="0.25">
      <c r="A939" s="394"/>
      <c r="B939" s="1577" t="s">
        <v>2877</v>
      </c>
      <c r="C939" s="392">
        <v>1</v>
      </c>
      <c r="D939" s="393" t="s">
        <v>159</v>
      </c>
      <c r="E939" s="1572">
        <v>1826060</v>
      </c>
      <c r="F939" s="1573">
        <f>E939*C939</f>
        <v>1826060</v>
      </c>
      <c r="G939" s="783" t="s">
        <v>2824</v>
      </c>
      <c r="K939" s="175"/>
      <c r="T939" s="175">
        <f>F939</f>
        <v>1826060</v>
      </c>
    </row>
    <row r="940" spans="1:20" ht="36.75" x14ac:dyDescent="0.25">
      <c r="A940" s="390" t="s">
        <v>2863</v>
      </c>
      <c r="B940" s="1571" t="s">
        <v>2883</v>
      </c>
      <c r="C940" s="392"/>
      <c r="D940" s="393"/>
      <c r="E940" s="1572"/>
      <c r="F940" s="1573"/>
      <c r="G940" s="783"/>
    </row>
    <row r="941" spans="1:20" ht="24.75" x14ac:dyDescent="0.25">
      <c r="A941" s="390" t="s">
        <v>2863</v>
      </c>
      <c r="B941" s="1571" t="s">
        <v>1201</v>
      </c>
      <c r="C941" s="392"/>
      <c r="D941" s="393"/>
      <c r="E941" s="1572"/>
      <c r="F941" s="1573"/>
      <c r="G941" s="783"/>
    </row>
    <row r="942" spans="1:20" ht="30" x14ac:dyDescent="0.25">
      <c r="A942" s="390"/>
      <c r="B942" s="1574" t="s">
        <v>2884</v>
      </c>
      <c r="C942" s="392">
        <v>1</v>
      </c>
      <c r="D942" s="393" t="s">
        <v>129</v>
      </c>
      <c r="E942" s="1572">
        <v>4406060</v>
      </c>
      <c r="F942" s="1573">
        <f>E942*C942</f>
        <v>4406060</v>
      </c>
      <c r="G942" s="785" t="s">
        <v>2824</v>
      </c>
      <c r="T942" s="175">
        <f>F942</f>
        <v>4406060</v>
      </c>
    </row>
    <row r="943" spans="1:20" ht="30" x14ac:dyDescent="0.25">
      <c r="A943" s="394"/>
      <c r="B943" s="1577" t="s">
        <v>2885</v>
      </c>
      <c r="C943" s="392">
        <v>3</v>
      </c>
      <c r="D943" s="393" t="s">
        <v>129</v>
      </c>
      <c r="E943" s="1572">
        <v>225000</v>
      </c>
      <c r="F943" s="1573">
        <f>E943*C943</f>
        <v>675000</v>
      </c>
      <c r="G943" s="785" t="s">
        <v>2824</v>
      </c>
      <c r="T943" s="175">
        <f>F943</f>
        <v>675000</v>
      </c>
    </row>
    <row r="944" spans="1:20" ht="30" x14ac:dyDescent="0.25">
      <c r="A944" s="394"/>
      <c r="B944" s="1577" t="s">
        <v>2886</v>
      </c>
      <c r="C944" s="392">
        <v>2</v>
      </c>
      <c r="D944" s="393" t="s">
        <v>129</v>
      </c>
      <c r="E944" s="1572">
        <v>2000000</v>
      </c>
      <c r="F944" s="1573">
        <f>E944*C944</f>
        <v>4000000</v>
      </c>
      <c r="G944" s="785" t="s">
        <v>2824</v>
      </c>
      <c r="T944" s="175">
        <f>F944</f>
        <v>4000000</v>
      </c>
    </row>
    <row r="945" spans="1:11" x14ac:dyDescent="0.25">
      <c r="A945" s="394"/>
      <c r="B945" s="816"/>
      <c r="C945" s="397"/>
      <c r="D945" s="522"/>
      <c r="E945" s="817"/>
      <c r="F945" s="1578"/>
      <c r="G945" s="785"/>
    </row>
    <row r="946" spans="1:11" x14ac:dyDescent="0.25">
      <c r="A946" s="542"/>
      <c r="B946" s="2014" t="s">
        <v>27</v>
      </c>
      <c r="C946" s="1996"/>
      <c r="D946" s="1996"/>
      <c r="E946" s="1997"/>
      <c r="F946" s="732">
        <f>SUM(F896:F944)</f>
        <v>49987120</v>
      </c>
      <c r="G946" s="785"/>
      <c r="J946" s="175"/>
      <c r="K946" s="175"/>
    </row>
    <row r="947" spans="1:11" x14ac:dyDescent="0.25">
      <c r="A947" s="1807" t="s">
        <v>614</v>
      </c>
      <c r="B947" s="1807"/>
      <c r="C947" s="5" t="s">
        <v>28</v>
      </c>
      <c r="D947" s="1808" t="s">
        <v>1700</v>
      </c>
      <c r="E947" s="1808"/>
      <c r="F947" s="1808"/>
      <c r="G947" s="441"/>
    </row>
    <row r="948" spans="1:11" x14ac:dyDescent="0.25">
      <c r="A948" s="1807" t="s">
        <v>29</v>
      </c>
      <c r="B948" s="1807"/>
      <c r="C948" s="5"/>
      <c r="D948" s="1809" t="s">
        <v>2996</v>
      </c>
      <c r="E948" s="1809"/>
      <c r="F948" s="1809"/>
      <c r="G948" s="441"/>
    </row>
    <row r="949" spans="1:11" x14ac:dyDescent="0.25">
      <c r="A949" s="1"/>
      <c r="B949" s="3"/>
      <c r="C949" s="5"/>
      <c r="D949" s="7"/>
      <c r="E949" s="17"/>
      <c r="F949" s="17"/>
      <c r="G949" s="441"/>
    </row>
    <row r="950" spans="1:11" x14ac:dyDescent="0.25">
      <c r="A950" s="1"/>
      <c r="B950" s="3"/>
      <c r="C950" s="5"/>
      <c r="D950" s="7"/>
      <c r="E950" s="17"/>
      <c r="F950" s="17"/>
      <c r="G950" s="441"/>
    </row>
    <row r="951" spans="1:11" x14ac:dyDescent="0.25">
      <c r="A951" s="1807"/>
      <c r="B951" s="1807"/>
      <c r="C951" s="5"/>
      <c r="D951" s="7"/>
      <c r="E951" s="1807"/>
      <c r="F951" s="1807"/>
      <c r="G951" s="441"/>
    </row>
    <row r="952" spans="1:11" x14ac:dyDescent="0.25">
      <c r="A952" s="1807" t="s">
        <v>30</v>
      </c>
      <c r="B952" s="1807"/>
      <c r="C952" s="5"/>
      <c r="D952" s="1807" t="s">
        <v>2993</v>
      </c>
      <c r="E952" s="1807"/>
      <c r="F952" s="1807"/>
      <c r="G952" s="441"/>
    </row>
    <row r="953" spans="1:11" x14ac:dyDescent="0.25">
      <c r="A953" s="1870" t="s">
        <v>0</v>
      </c>
      <c r="B953" s="1870"/>
      <c r="C953" s="1870"/>
      <c r="D953" s="1870"/>
      <c r="E953" s="1870"/>
      <c r="F953" s="1870"/>
      <c r="G953" s="1870"/>
    </row>
    <row r="954" spans="1:11" x14ac:dyDescent="0.25">
      <c r="A954" s="1870" t="s">
        <v>1</v>
      </c>
      <c r="B954" s="1870"/>
      <c r="C954" s="1870"/>
      <c r="D954" s="1870"/>
      <c r="E954" s="1870"/>
      <c r="F954" s="1870"/>
      <c r="G954" s="1870"/>
    </row>
    <row r="955" spans="1:11" x14ac:dyDescent="0.25">
      <c r="A955" s="1870" t="s">
        <v>1697</v>
      </c>
      <c r="B955" s="1870"/>
      <c r="C955" s="1870"/>
      <c r="D955" s="1870"/>
      <c r="E955" s="1870"/>
      <c r="F955" s="1870"/>
      <c r="G955" s="1870"/>
    </row>
    <row r="956" spans="1:11" x14ac:dyDescent="0.25">
      <c r="A956" s="534"/>
      <c r="B956" s="534"/>
      <c r="C956" s="534"/>
      <c r="D956" s="534"/>
      <c r="E956" s="534"/>
      <c r="F956" s="534"/>
      <c r="G956" s="702"/>
    </row>
    <row r="957" spans="1:11" x14ac:dyDescent="0.25">
      <c r="A957" s="818" t="s">
        <v>549</v>
      </c>
      <c r="B957" s="818" t="s">
        <v>1089</v>
      </c>
      <c r="C957" s="818"/>
      <c r="D957" s="516"/>
      <c r="E957" s="441"/>
      <c r="F957" s="516"/>
      <c r="G957" s="814"/>
    </row>
    <row r="958" spans="1:11" x14ac:dyDescent="0.25">
      <c r="A958" s="819" t="s">
        <v>1100</v>
      </c>
      <c r="B958" s="820" t="s">
        <v>1268</v>
      </c>
      <c r="C958" s="820"/>
      <c r="D958" s="821"/>
      <c r="E958" s="705" t="s">
        <v>6</v>
      </c>
      <c r="F958" s="705"/>
      <c r="G958" s="814"/>
    </row>
    <row r="959" spans="1:11" ht="25.5" x14ac:dyDescent="0.25">
      <c r="A959" s="819" t="s">
        <v>1102</v>
      </c>
      <c r="B959" s="822" t="s">
        <v>1432</v>
      </c>
      <c r="C959" s="822"/>
      <c r="D959" s="821"/>
      <c r="E959" s="708" t="s">
        <v>9</v>
      </c>
      <c r="F959" s="708"/>
      <c r="G959" s="814"/>
    </row>
    <row r="960" spans="1:11" x14ac:dyDescent="0.25">
      <c r="A960" s="389" t="s">
        <v>62</v>
      </c>
      <c r="B960" s="389" t="s">
        <v>63</v>
      </c>
      <c r="C960" s="389"/>
      <c r="D960" s="441"/>
      <c r="E960" s="441"/>
      <c r="F960" s="441"/>
      <c r="G960" s="814"/>
    </row>
    <row r="961" spans="1:7" x14ac:dyDescent="0.25">
      <c r="A961" s="389" t="s">
        <v>64</v>
      </c>
      <c r="B961" s="389" t="s">
        <v>506</v>
      </c>
      <c r="C961" s="389"/>
      <c r="D961" s="1835"/>
      <c r="E961" s="1835"/>
      <c r="F961" s="441"/>
      <c r="G961" s="814"/>
    </row>
    <row r="962" spans="1:7" x14ac:dyDescent="0.25">
      <c r="A962" s="781"/>
      <c r="B962" s="781"/>
      <c r="C962" s="781"/>
      <c r="D962" s="781"/>
      <c r="E962" s="781"/>
      <c r="F962" s="781"/>
      <c r="G962" s="814"/>
    </row>
    <row r="963" spans="1:7" ht="36" x14ac:dyDescent="0.25">
      <c r="A963" s="443" t="s">
        <v>300</v>
      </c>
      <c r="B963" s="443" t="s">
        <v>12</v>
      </c>
      <c r="C963" s="1994" t="s">
        <v>13</v>
      </c>
      <c r="D963" s="1994"/>
      <c r="E963" s="709" t="s">
        <v>14</v>
      </c>
      <c r="F963" s="444" t="s">
        <v>15</v>
      </c>
      <c r="G963" s="823" t="s">
        <v>301</v>
      </c>
    </row>
    <row r="964" spans="1:7" x14ac:dyDescent="0.25">
      <c r="A964" s="443">
        <v>1</v>
      </c>
      <c r="B964" s="443">
        <v>2</v>
      </c>
      <c r="C964" s="1836">
        <v>3</v>
      </c>
      <c r="D964" s="1837"/>
      <c r="E964" s="782">
        <v>4</v>
      </c>
      <c r="F964" s="444">
        <v>5</v>
      </c>
      <c r="G964" s="805">
        <v>6</v>
      </c>
    </row>
    <row r="965" spans="1:7" x14ac:dyDescent="0.25">
      <c r="A965" s="390" t="s">
        <v>1251</v>
      </c>
      <c r="B965" s="727" t="s">
        <v>553</v>
      </c>
      <c r="C965" s="392"/>
      <c r="D965" s="393"/>
      <c r="E965" s="710"/>
      <c r="F965" s="446"/>
      <c r="G965" s="785"/>
    </row>
    <row r="966" spans="1:7" x14ac:dyDescent="0.25">
      <c r="A966" s="390" t="s">
        <v>1253</v>
      </c>
      <c r="B966" s="727" t="s">
        <v>88</v>
      </c>
      <c r="C966" s="392"/>
      <c r="D966" s="393"/>
      <c r="E966" s="710"/>
      <c r="F966" s="446"/>
      <c r="G966" s="785"/>
    </row>
    <row r="967" spans="1:7" ht="24.75" x14ac:dyDescent="0.25">
      <c r="A967" s="395" t="s">
        <v>1254</v>
      </c>
      <c r="B967" s="727" t="s">
        <v>354</v>
      </c>
      <c r="C967" s="397"/>
      <c r="D967" s="522"/>
      <c r="E967" s="399"/>
      <c r="F967" s="404"/>
      <c r="G967" s="785"/>
    </row>
    <row r="968" spans="1:7" x14ac:dyDescent="0.25">
      <c r="A968" s="395"/>
      <c r="B968" s="395" t="s">
        <v>1848</v>
      </c>
      <c r="C968" s="397">
        <v>30</v>
      </c>
      <c r="D968" s="522" t="s">
        <v>315</v>
      </c>
      <c r="E968" s="399">
        <v>15000</v>
      </c>
      <c r="F968" s="404">
        <f>E968*C968</f>
        <v>450000</v>
      </c>
      <c r="G968" s="785"/>
    </row>
    <row r="969" spans="1:7" ht="24.75" x14ac:dyDescent="0.25">
      <c r="A969" s="395" t="s">
        <v>1255</v>
      </c>
      <c r="B969" s="727" t="s">
        <v>376</v>
      </c>
      <c r="C969" s="397"/>
      <c r="D969" s="522"/>
      <c r="E969" s="399"/>
      <c r="F969" s="404"/>
      <c r="G969" s="785"/>
    </row>
    <row r="970" spans="1:7" x14ac:dyDescent="0.25">
      <c r="A970" s="395"/>
      <c r="B970" s="395" t="s">
        <v>377</v>
      </c>
      <c r="C970" s="397">
        <v>1</v>
      </c>
      <c r="D970" s="522" t="s">
        <v>102</v>
      </c>
      <c r="E970" s="399">
        <v>90000</v>
      </c>
      <c r="F970" s="404">
        <f>E970*C970</f>
        <v>90000</v>
      </c>
      <c r="G970" s="785"/>
    </row>
    <row r="971" spans="1:7" x14ac:dyDescent="0.25">
      <c r="A971" s="395" t="s">
        <v>1259</v>
      </c>
      <c r="B971" s="577" t="s">
        <v>319</v>
      </c>
      <c r="C971" s="397"/>
      <c r="D971" s="522"/>
      <c r="E971" s="399"/>
      <c r="F971" s="404"/>
      <c r="G971" s="785"/>
    </row>
    <row r="972" spans="1:7" x14ac:dyDescent="0.25">
      <c r="A972" s="395"/>
      <c r="B972" s="395" t="s">
        <v>496</v>
      </c>
      <c r="C972" s="397">
        <v>1</v>
      </c>
      <c r="D972" s="522" t="s">
        <v>102</v>
      </c>
      <c r="E972" s="399">
        <v>50000</v>
      </c>
      <c r="F972" s="404">
        <f>E972*C972</f>
        <v>50000</v>
      </c>
      <c r="G972" s="785"/>
    </row>
    <row r="973" spans="1:7" x14ac:dyDescent="0.25">
      <c r="A973" s="395"/>
      <c r="B973" s="395" t="s">
        <v>321</v>
      </c>
      <c r="C973" s="397">
        <v>5</v>
      </c>
      <c r="D973" s="522" t="s">
        <v>186</v>
      </c>
      <c r="E973" s="399">
        <v>1000</v>
      </c>
      <c r="F973" s="404">
        <f>E973*C973</f>
        <v>5000</v>
      </c>
      <c r="G973" s="785"/>
    </row>
    <row r="974" spans="1:7" x14ac:dyDescent="0.25">
      <c r="A974" s="395"/>
      <c r="B974" s="395" t="s">
        <v>335</v>
      </c>
      <c r="C974" s="397">
        <v>1</v>
      </c>
      <c r="D974" s="522" t="s">
        <v>336</v>
      </c>
      <c r="E974" s="399">
        <v>10000</v>
      </c>
      <c r="F974" s="404">
        <f>E974*C974</f>
        <v>10000</v>
      </c>
      <c r="G974" s="785"/>
    </row>
    <row r="975" spans="1:7" x14ac:dyDescent="0.25">
      <c r="A975" s="395" t="s">
        <v>1433</v>
      </c>
      <c r="B975" s="577" t="s">
        <v>569</v>
      </c>
      <c r="C975" s="397"/>
      <c r="D975" s="522"/>
      <c r="E975" s="789"/>
      <c r="F975" s="404"/>
      <c r="G975" s="785"/>
    </row>
    <row r="976" spans="1:7" ht="36.75" x14ac:dyDescent="0.25">
      <c r="A976" s="395" t="s">
        <v>1434</v>
      </c>
      <c r="B976" s="727" t="s">
        <v>1105</v>
      </c>
      <c r="C976" s="397"/>
      <c r="D976" s="522"/>
      <c r="E976" s="789"/>
      <c r="F976" s="400"/>
      <c r="G976" s="785"/>
    </row>
    <row r="977" spans="1:12" x14ac:dyDescent="0.25">
      <c r="A977" s="395"/>
      <c r="B977" s="395" t="s">
        <v>1435</v>
      </c>
      <c r="C977" s="397">
        <v>2</v>
      </c>
      <c r="D977" s="522" t="s">
        <v>461</v>
      </c>
      <c r="E977" s="789">
        <v>300000</v>
      </c>
      <c r="F977" s="400">
        <f>E977*C977</f>
        <v>600000</v>
      </c>
      <c r="G977" s="785"/>
    </row>
    <row r="978" spans="1:12" x14ac:dyDescent="0.25">
      <c r="A978" s="395"/>
      <c r="B978" s="816"/>
      <c r="C978" s="448"/>
      <c r="D978" s="824"/>
      <c r="E978" s="817"/>
      <c r="F978" s="403"/>
      <c r="G978" s="785"/>
    </row>
    <row r="979" spans="1:12" x14ac:dyDescent="0.25">
      <c r="A979" s="449"/>
      <c r="B979" s="2018" t="s">
        <v>27</v>
      </c>
      <c r="C979" s="2018"/>
      <c r="D979" s="2018"/>
      <c r="E979" s="2018"/>
      <c r="F979" s="404">
        <f>SUM(F965:F978)</f>
        <v>1205000</v>
      </c>
      <c r="G979" s="785" t="s">
        <v>1682</v>
      </c>
      <c r="J979" s="175">
        <f>F979</f>
        <v>1205000</v>
      </c>
      <c r="L979" s="175"/>
    </row>
    <row r="980" spans="1:12" x14ac:dyDescent="0.25">
      <c r="A980" s="1807" t="s">
        <v>614</v>
      </c>
      <c r="B980" s="1807"/>
      <c r="C980" s="5" t="s">
        <v>28</v>
      </c>
      <c r="D980" s="1808" t="s">
        <v>1700</v>
      </c>
      <c r="E980" s="1808"/>
      <c r="F980" s="1808"/>
      <c r="G980" s="5"/>
    </row>
    <row r="981" spans="1:12" x14ac:dyDescent="0.25">
      <c r="A981" s="1807" t="s">
        <v>29</v>
      </c>
      <c r="B981" s="1807"/>
      <c r="C981" s="5"/>
      <c r="D981" s="1809" t="s">
        <v>2996</v>
      </c>
      <c r="E981" s="1809"/>
      <c r="F981" s="1809"/>
      <c r="G981" s="5"/>
    </row>
    <row r="982" spans="1:12" x14ac:dyDescent="0.25">
      <c r="A982" s="1"/>
      <c r="B982" s="3"/>
      <c r="C982" s="5"/>
      <c r="D982" s="7"/>
      <c r="E982" s="17"/>
      <c r="F982" s="17"/>
      <c r="G982" s="5"/>
    </row>
    <row r="983" spans="1:12" x14ac:dyDescent="0.25">
      <c r="A983" s="1"/>
      <c r="B983" s="3"/>
      <c r="C983" s="5"/>
      <c r="D983" s="7"/>
      <c r="E983" s="17"/>
      <c r="F983" s="17"/>
      <c r="G983" s="5"/>
    </row>
    <row r="984" spans="1:12" x14ac:dyDescent="0.25">
      <c r="A984" s="1807"/>
      <c r="B984" s="1807"/>
      <c r="C984" s="5"/>
      <c r="D984" s="7"/>
      <c r="E984" s="1807"/>
      <c r="F984" s="1807"/>
      <c r="G984" s="5"/>
    </row>
    <row r="985" spans="1:12" x14ac:dyDescent="0.25">
      <c r="A985" s="1807" t="s">
        <v>30</v>
      </c>
      <c r="B985" s="1807"/>
      <c r="C985" s="5"/>
      <c r="D985" s="1807" t="s">
        <v>2993</v>
      </c>
      <c r="E985" s="1807"/>
      <c r="F985" s="1807"/>
      <c r="G985" s="5"/>
    </row>
    <row r="986" spans="1:12" x14ac:dyDescent="0.25">
      <c r="A986" s="1865" t="s">
        <v>0</v>
      </c>
      <c r="B986" s="1865"/>
      <c r="C986" s="1865"/>
      <c r="D986" s="1865"/>
      <c r="E986" s="1865"/>
      <c r="F986" s="1865"/>
      <c r="G986" s="684"/>
    </row>
    <row r="987" spans="1:12" x14ac:dyDescent="0.25">
      <c r="A987" s="1865" t="s">
        <v>1</v>
      </c>
      <c r="B987" s="1865"/>
      <c r="C987" s="1865"/>
      <c r="D987" s="1865"/>
      <c r="E987" s="1865"/>
      <c r="F987" s="1865"/>
      <c r="G987" s="684"/>
    </row>
    <row r="988" spans="1:12" x14ac:dyDescent="0.25">
      <c r="A988" s="1865" t="s">
        <v>1697</v>
      </c>
      <c r="B988" s="1865"/>
      <c r="C988" s="1865"/>
      <c r="D988" s="1865"/>
      <c r="E988" s="1865"/>
      <c r="F988" s="1865"/>
      <c r="G988" s="684"/>
    </row>
    <row r="989" spans="1:12" x14ac:dyDescent="0.25">
      <c r="A989" s="597"/>
      <c r="B989" s="597"/>
      <c r="C989" s="597"/>
      <c r="D989" s="597"/>
      <c r="E989" s="597"/>
      <c r="F989" s="597"/>
      <c r="G989" s="684"/>
    </row>
    <row r="990" spans="1:12" x14ac:dyDescent="0.25">
      <c r="A990" s="240" t="s">
        <v>296</v>
      </c>
      <c r="B990" s="240" t="s">
        <v>1089</v>
      </c>
      <c r="C990" s="240"/>
      <c r="D990" s="240"/>
      <c r="E990" s="240"/>
      <c r="F990" s="240"/>
      <c r="G990" s="278"/>
    </row>
    <row r="991" spans="1:12" x14ac:dyDescent="0.25">
      <c r="A991" s="240" t="s">
        <v>297</v>
      </c>
      <c r="B991" s="240" t="s">
        <v>1118</v>
      </c>
      <c r="C991" s="240"/>
      <c r="D991" s="240"/>
      <c r="E991" s="240" t="s">
        <v>6</v>
      </c>
      <c r="F991" s="240"/>
      <c r="G991" s="278"/>
    </row>
    <row r="992" spans="1:12" ht="48.75" customHeight="1" x14ac:dyDescent="0.25">
      <c r="A992" s="825" t="s">
        <v>298</v>
      </c>
      <c r="B992" s="827" t="s">
        <v>1119</v>
      </c>
      <c r="C992" s="827"/>
      <c r="D992" s="826"/>
      <c r="E992" s="826" t="s">
        <v>1849</v>
      </c>
      <c r="F992" s="825"/>
      <c r="G992" s="826"/>
    </row>
    <row r="993" spans="1:7" ht="30" x14ac:dyDescent="0.25">
      <c r="A993" s="827" t="s">
        <v>502</v>
      </c>
      <c r="B993" s="828" t="s">
        <v>63</v>
      </c>
      <c r="C993" s="828"/>
      <c r="D993" s="828"/>
      <c r="E993" s="828"/>
      <c r="F993" s="828"/>
      <c r="G993" s="827"/>
    </row>
    <row r="994" spans="1:7" ht="30" x14ac:dyDescent="0.25">
      <c r="A994" s="278" t="s">
        <v>64</v>
      </c>
      <c r="B994" s="240" t="s">
        <v>65</v>
      </c>
      <c r="C994" s="240"/>
      <c r="D994" s="240"/>
      <c r="E994" s="240"/>
      <c r="F994" s="240"/>
      <c r="G994" s="278"/>
    </row>
    <row r="995" spans="1:7" ht="45" x14ac:dyDescent="0.25">
      <c r="A995" s="361" t="s">
        <v>300</v>
      </c>
      <c r="B995" s="361" t="s">
        <v>12</v>
      </c>
      <c r="C995" s="2024" t="s">
        <v>13</v>
      </c>
      <c r="D995" s="2025"/>
      <c r="E995" s="361" t="s">
        <v>14</v>
      </c>
      <c r="F995" s="361" t="s">
        <v>15</v>
      </c>
      <c r="G995" s="361" t="s">
        <v>301</v>
      </c>
    </row>
    <row r="996" spans="1:7" x14ac:dyDescent="0.25">
      <c r="A996" s="346">
        <v>1</v>
      </c>
      <c r="B996" s="346">
        <v>2</v>
      </c>
      <c r="C996" s="1883">
        <v>3</v>
      </c>
      <c r="D996" s="1885"/>
      <c r="E996" s="346">
        <v>4</v>
      </c>
      <c r="F996" s="346">
        <v>5</v>
      </c>
      <c r="G996" s="831">
        <v>6</v>
      </c>
    </row>
    <row r="997" spans="1:7" x14ac:dyDescent="0.25">
      <c r="A997" s="832" t="s">
        <v>1266</v>
      </c>
      <c r="B997" s="833" t="s">
        <v>323</v>
      </c>
      <c r="C997" s="366"/>
      <c r="D997" s="260"/>
      <c r="E997" s="241"/>
      <c r="F997" s="241"/>
      <c r="G997" s="252"/>
    </row>
    <row r="998" spans="1:7" ht="29.25" x14ac:dyDescent="0.25">
      <c r="A998" s="834" t="s">
        <v>1850</v>
      </c>
      <c r="B998" s="835" t="s">
        <v>88</v>
      </c>
      <c r="C998" s="836"/>
      <c r="D998" s="837"/>
      <c r="E998" s="252"/>
      <c r="F998" s="252"/>
      <c r="G998" s="252"/>
    </row>
    <row r="999" spans="1:7" ht="29.25" x14ac:dyDescent="0.25">
      <c r="A999" s="832"/>
      <c r="B999" s="835" t="s">
        <v>845</v>
      </c>
      <c r="C999" s="366"/>
      <c r="D999" s="260"/>
      <c r="E999" s="241"/>
      <c r="F999" s="241"/>
      <c r="G999" s="252"/>
    </row>
    <row r="1000" spans="1:7" ht="15.75" x14ac:dyDescent="0.25">
      <c r="A1000" s="832"/>
      <c r="B1000" s="124" t="s">
        <v>1851</v>
      </c>
      <c r="C1000" s="838">
        <v>5</v>
      </c>
      <c r="D1000" s="839" t="s">
        <v>102</v>
      </c>
      <c r="E1000" s="840">
        <v>5000</v>
      </c>
      <c r="F1000" s="841">
        <f>C1000*E1000</f>
        <v>25000</v>
      </c>
      <c r="G1000" s="252"/>
    </row>
    <row r="1001" spans="1:7" x14ac:dyDescent="0.25">
      <c r="A1001" s="832"/>
      <c r="B1001" s="241" t="s">
        <v>646</v>
      </c>
      <c r="C1001" s="838">
        <v>5</v>
      </c>
      <c r="D1001" s="839" t="s">
        <v>102</v>
      </c>
      <c r="E1001" s="841">
        <v>6000</v>
      </c>
      <c r="F1001" s="841">
        <f>C1001*E1001</f>
        <v>30000</v>
      </c>
      <c r="G1001" s="252"/>
    </row>
    <row r="1002" spans="1:7" x14ac:dyDescent="0.25">
      <c r="A1002" s="832"/>
      <c r="B1002" s="241" t="s">
        <v>663</v>
      </c>
      <c r="C1002" s="838">
        <v>2</v>
      </c>
      <c r="D1002" s="839" t="s">
        <v>102</v>
      </c>
      <c r="E1002" s="841">
        <v>8000</v>
      </c>
      <c r="F1002" s="841">
        <f>C1002*E1002</f>
        <v>16000</v>
      </c>
      <c r="G1002" s="252"/>
    </row>
    <row r="1003" spans="1:7" x14ac:dyDescent="0.25">
      <c r="A1003" s="832"/>
      <c r="B1003" s="832" t="s">
        <v>686</v>
      </c>
      <c r="C1003" s="838">
        <v>2</v>
      </c>
      <c r="D1003" s="839" t="s">
        <v>102</v>
      </c>
      <c r="E1003" s="841">
        <v>8000</v>
      </c>
      <c r="F1003" s="841">
        <f>C1003*E1003</f>
        <v>16000</v>
      </c>
      <c r="G1003" s="252"/>
    </row>
    <row r="1004" spans="1:7" ht="29.25" x14ac:dyDescent="0.25">
      <c r="A1004" s="832" t="s">
        <v>1265</v>
      </c>
      <c r="B1004" s="835" t="s">
        <v>354</v>
      </c>
      <c r="C1004" s="838"/>
      <c r="D1004" s="839"/>
      <c r="E1004" s="841"/>
      <c r="F1004" s="841"/>
      <c r="G1004" s="252"/>
    </row>
    <row r="1005" spans="1:7" ht="30" x14ac:dyDescent="0.25">
      <c r="A1005" s="834"/>
      <c r="B1005" s="252" t="s">
        <v>1852</v>
      </c>
      <c r="C1005" s="829">
        <v>40</v>
      </c>
      <c r="D1005" s="830" t="s">
        <v>315</v>
      </c>
      <c r="E1005" s="842">
        <v>15000</v>
      </c>
      <c r="F1005" s="842">
        <f>C1005*E1005</f>
        <v>600000</v>
      </c>
      <c r="G1005" s="252"/>
    </row>
    <row r="1006" spans="1:7" ht="29.25" x14ac:dyDescent="0.25">
      <c r="A1006" s="832" t="s">
        <v>1264</v>
      </c>
      <c r="B1006" s="835" t="s">
        <v>376</v>
      </c>
      <c r="C1006" s="838"/>
      <c r="D1006" s="839"/>
      <c r="E1006" s="841"/>
      <c r="F1006" s="841"/>
      <c r="G1006" s="252"/>
    </row>
    <row r="1007" spans="1:7" x14ac:dyDescent="0.25">
      <c r="A1007" s="832"/>
      <c r="B1007" s="241" t="s">
        <v>377</v>
      </c>
      <c r="C1007" s="838">
        <v>1</v>
      </c>
      <c r="D1007" s="839" t="s">
        <v>102</v>
      </c>
      <c r="E1007" s="841">
        <v>90000</v>
      </c>
      <c r="F1007" s="841">
        <f>C1007*E1007</f>
        <v>90000</v>
      </c>
      <c r="G1007" s="252"/>
    </row>
    <row r="1008" spans="1:7" ht="29.25" x14ac:dyDescent="0.25">
      <c r="A1008" s="832" t="s">
        <v>1853</v>
      </c>
      <c r="B1008" s="835" t="s">
        <v>946</v>
      </c>
      <c r="C1008" s="838"/>
      <c r="D1008" s="839"/>
      <c r="E1008" s="841"/>
      <c r="F1008" s="841"/>
      <c r="G1008" s="252"/>
    </row>
    <row r="1009" spans="1:10" x14ac:dyDescent="0.25">
      <c r="A1009" s="832"/>
      <c r="B1009" s="241" t="s">
        <v>1120</v>
      </c>
      <c r="C1009" s="838">
        <v>35</v>
      </c>
      <c r="D1009" s="839" t="s">
        <v>102</v>
      </c>
      <c r="E1009" s="841">
        <v>300000</v>
      </c>
      <c r="F1009" s="841">
        <f>C1009*E1009</f>
        <v>10500000</v>
      </c>
      <c r="G1009" s="252"/>
    </row>
    <row r="1010" spans="1:10" x14ac:dyDescent="0.25">
      <c r="A1010" s="832" t="s">
        <v>1263</v>
      </c>
      <c r="B1010" s="833" t="s">
        <v>415</v>
      </c>
      <c r="C1010" s="838"/>
      <c r="D1010" s="839"/>
      <c r="E1010" s="841"/>
      <c r="F1010" s="841"/>
      <c r="G1010" s="252"/>
    </row>
    <row r="1011" spans="1:10" ht="57" x14ac:dyDescent="0.25">
      <c r="A1011" s="834" t="s">
        <v>1854</v>
      </c>
      <c r="B1011" s="843" t="s">
        <v>809</v>
      </c>
      <c r="C1011" s="829"/>
      <c r="D1011" s="830"/>
      <c r="E1011" s="842"/>
      <c r="F1011" s="842"/>
      <c r="G1011" s="252"/>
    </row>
    <row r="1012" spans="1:10" x14ac:dyDescent="0.25">
      <c r="A1012" s="241"/>
      <c r="B1012" s="241" t="s">
        <v>1855</v>
      </c>
      <c r="C1012" s="838">
        <v>2</v>
      </c>
      <c r="D1012" s="839" t="s">
        <v>461</v>
      </c>
      <c r="E1012" s="841">
        <v>300000</v>
      </c>
      <c r="F1012" s="841">
        <f>C1012*E1012</f>
        <v>600000</v>
      </c>
      <c r="G1012" s="252"/>
    </row>
    <row r="1013" spans="1:10" x14ac:dyDescent="0.25">
      <c r="A1013" s="241"/>
      <c r="B1013" s="241"/>
      <c r="C1013" s="366"/>
      <c r="D1013" s="260"/>
      <c r="E1013" s="841"/>
      <c r="F1013" s="841"/>
      <c r="G1013" s="252"/>
    </row>
    <row r="1014" spans="1:10" x14ac:dyDescent="0.25">
      <c r="A1014" s="241"/>
      <c r="B1014" s="365" t="s">
        <v>27</v>
      </c>
      <c r="C1014" s="366"/>
      <c r="D1014" s="260"/>
      <c r="E1014" s="841"/>
      <c r="F1014" s="841">
        <f>SUM(F1000:F1012)</f>
        <v>11877000</v>
      </c>
      <c r="G1014" s="252" t="s">
        <v>1682</v>
      </c>
      <c r="J1014" s="1315">
        <f>F1014</f>
        <v>11877000</v>
      </c>
    </row>
    <row r="1015" spans="1:10" x14ac:dyDescent="0.25">
      <c r="A1015" s="1807" t="s">
        <v>614</v>
      </c>
      <c r="B1015" s="1807"/>
      <c r="C1015" s="5" t="s">
        <v>28</v>
      </c>
      <c r="D1015" s="1808" t="s">
        <v>1700</v>
      </c>
      <c r="E1015" s="1808"/>
      <c r="F1015" s="1808"/>
      <c r="G1015" s="5"/>
    </row>
    <row r="1016" spans="1:10" x14ac:dyDescent="0.25">
      <c r="A1016" s="1807" t="s">
        <v>29</v>
      </c>
      <c r="B1016" s="1807"/>
      <c r="C1016" s="5"/>
      <c r="D1016" s="1809" t="s">
        <v>2996</v>
      </c>
      <c r="E1016" s="1809"/>
      <c r="F1016" s="1809"/>
      <c r="G1016" s="5"/>
    </row>
    <row r="1017" spans="1:10" x14ac:dyDescent="0.25">
      <c r="A1017" s="1"/>
      <c r="B1017" s="3"/>
      <c r="C1017" s="5"/>
      <c r="D1017" s="7"/>
      <c r="E1017" s="17"/>
      <c r="F1017" s="17"/>
      <c r="G1017" s="5"/>
    </row>
    <row r="1018" spans="1:10" x14ac:dyDescent="0.25">
      <c r="A1018" s="1"/>
      <c r="B1018" s="3"/>
      <c r="C1018" s="5"/>
      <c r="D1018" s="7"/>
      <c r="E1018" s="17"/>
      <c r="F1018" s="17"/>
      <c r="G1018" s="5"/>
    </row>
    <row r="1019" spans="1:10" x14ac:dyDescent="0.25">
      <c r="A1019" s="1807"/>
      <c r="B1019" s="1807"/>
      <c r="C1019" s="5"/>
      <c r="D1019" s="7"/>
      <c r="E1019" s="1807"/>
      <c r="F1019" s="1807"/>
      <c r="G1019" s="5"/>
    </row>
    <row r="1020" spans="1:10" x14ac:dyDescent="0.25">
      <c r="A1020" s="1807" t="s">
        <v>30</v>
      </c>
      <c r="B1020" s="1807"/>
      <c r="C1020" s="5"/>
      <c r="D1020" s="1807" t="s">
        <v>2993</v>
      </c>
      <c r="E1020" s="1807"/>
      <c r="F1020" s="1807"/>
      <c r="G1020" s="5"/>
    </row>
    <row r="1022" spans="1:10" x14ac:dyDescent="0.25">
      <c r="A1022" s="1807" t="s">
        <v>1968</v>
      </c>
      <c r="B1022" s="1807"/>
      <c r="C1022" s="1807"/>
      <c r="D1022" s="1807"/>
      <c r="E1022" s="1807"/>
      <c r="F1022" s="1807"/>
      <c r="G1022" s="1807"/>
    </row>
    <row r="1023" spans="1:10" x14ac:dyDescent="0.25">
      <c r="A1023" s="1807" t="s">
        <v>1</v>
      </c>
      <c r="B1023" s="1807"/>
      <c r="C1023" s="1807"/>
      <c r="D1023" s="1807"/>
      <c r="E1023" s="1807"/>
      <c r="F1023" s="1807"/>
      <c r="G1023" s="1807"/>
    </row>
    <row r="1024" spans="1:10" x14ac:dyDescent="0.25">
      <c r="A1024" s="1807" t="s">
        <v>1697</v>
      </c>
      <c r="B1024" s="1807"/>
      <c r="C1024" s="1807"/>
      <c r="D1024" s="1807"/>
      <c r="E1024" s="1807"/>
      <c r="F1024" s="1807"/>
      <c r="G1024" s="1807"/>
    </row>
    <row r="1025" spans="1:7" x14ac:dyDescent="0.25">
      <c r="A1025" s="162" t="s">
        <v>549</v>
      </c>
      <c r="B1025" s="162" t="s">
        <v>1141</v>
      </c>
      <c r="C1025" s="162"/>
      <c r="D1025" s="162"/>
      <c r="E1025" s="240"/>
      <c r="F1025" s="240"/>
      <c r="G1025" s="96"/>
    </row>
    <row r="1026" spans="1:7" x14ac:dyDescent="0.25">
      <c r="A1026" s="360" t="s">
        <v>550</v>
      </c>
      <c r="B1026" s="71" t="s">
        <v>1268</v>
      </c>
      <c r="C1026" s="162"/>
      <c r="D1026" s="162"/>
      <c r="E1026" s="8" t="s">
        <v>6</v>
      </c>
      <c r="F1026" s="8" t="s">
        <v>2161</v>
      </c>
      <c r="G1026" s="162"/>
    </row>
    <row r="1027" spans="1:7" ht="36" x14ac:dyDescent="0.25">
      <c r="A1027" s="360" t="s">
        <v>551</v>
      </c>
      <c r="B1027" s="71" t="s">
        <v>1299</v>
      </c>
      <c r="C1027" s="162"/>
      <c r="D1027" s="162"/>
      <c r="E1027" s="72" t="s">
        <v>573</v>
      </c>
      <c r="F1027" s="67" t="s">
        <v>1756</v>
      </c>
      <c r="G1027" s="162"/>
    </row>
    <row r="1028" spans="1:7" ht="24.75" x14ac:dyDescent="0.25">
      <c r="A1028" s="139" t="s">
        <v>464</v>
      </c>
      <c r="B1028" s="162" t="s">
        <v>63</v>
      </c>
      <c r="C1028" s="162"/>
      <c r="D1028" s="162"/>
      <c r="E1028" s="162"/>
      <c r="F1028" s="162"/>
      <c r="G1028" s="162"/>
    </row>
    <row r="1029" spans="1:7" x14ac:dyDescent="0.25">
      <c r="A1029" s="1904" t="s">
        <v>561</v>
      </c>
      <c r="B1029" s="1904"/>
      <c r="C1029" s="162"/>
      <c r="D1029" s="68"/>
      <c r="E1029" s="457"/>
      <c r="F1029" s="162"/>
      <c r="G1029" s="162"/>
    </row>
    <row r="1030" spans="1:7" ht="36" x14ac:dyDescent="0.25">
      <c r="A1030" s="91" t="s">
        <v>31</v>
      </c>
      <c r="B1030" s="91" t="s">
        <v>12</v>
      </c>
      <c r="C1030" s="1905" t="s">
        <v>13</v>
      </c>
      <c r="D1030" s="1906"/>
      <c r="E1030" s="94" t="s">
        <v>14</v>
      </c>
      <c r="F1030" s="91" t="s">
        <v>15</v>
      </c>
      <c r="G1030" s="64" t="s">
        <v>35</v>
      </c>
    </row>
    <row r="1031" spans="1:7" x14ac:dyDescent="0.25">
      <c r="A1031" s="146">
        <v>1</v>
      </c>
      <c r="B1031" s="146">
        <v>2</v>
      </c>
      <c r="C1031" s="1801">
        <v>3</v>
      </c>
      <c r="D1031" s="1802"/>
      <c r="E1031" s="54">
        <v>4</v>
      </c>
      <c r="F1031" s="167">
        <v>5</v>
      </c>
      <c r="G1031" s="147">
        <v>7</v>
      </c>
    </row>
    <row r="1032" spans="1:7" x14ac:dyDescent="0.25">
      <c r="A1032" s="1014" t="s">
        <v>2162</v>
      </c>
      <c r="B1032" s="1015" t="s">
        <v>323</v>
      </c>
      <c r="C1032" s="45"/>
      <c r="D1032" s="46"/>
      <c r="E1032" s="1014"/>
      <c r="F1032" s="1014"/>
      <c r="G1032" s="1014"/>
    </row>
    <row r="1033" spans="1:7" x14ac:dyDescent="0.25">
      <c r="A1033" s="1014" t="s">
        <v>2163</v>
      </c>
      <c r="B1033" s="1015" t="s">
        <v>88</v>
      </c>
      <c r="C1033" s="45"/>
      <c r="D1033" s="46"/>
      <c r="E1033" s="1014"/>
      <c r="F1033" s="1014"/>
      <c r="G1033" s="1014"/>
    </row>
    <row r="1034" spans="1:7" ht="24.75" x14ac:dyDescent="0.25">
      <c r="A1034" s="395" t="s">
        <v>2164</v>
      </c>
      <c r="B1034" s="727" t="s">
        <v>324</v>
      </c>
      <c r="C1034" s="540"/>
      <c r="D1034" s="788"/>
      <c r="E1034" s="1016"/>
      <c r="F1034" s="540"/>
      <c r="G1034" s="394"/>
    </row>
    <row r="1035" spans="1:7" x14ac:dyDescent="0.25">
      <c r="A1035" s="394"/>
      <c r="B1035" s="395" t="s">
        <v>2618</v>
      </c>
      <c r="C1035" s="397">
        <v>10000</v>
      </c>
      <c r="D1035" s="398" t="s">
        <v>312</v>
      </c>
      <c r="E1035" s="399">
        <v>500</v>
      </c>
      <c r="F1035" s="1017">
        <f>E1035*C1035</f>
        <v>5000000</v>
      </c>
      <c r="G1035" s="922"/>
    </row>
    <row r="1036" spans="1:7" ht="24.75" x14ac:dyDescent="0.25">
      <c r="A1036" s="395" t="s">
        <v>2165</v>
      </c>
      <c r="B1036" s="727" t="s">
        <v>354</v>
      </c>
      <c r="C1036" s="397"/>
      <c r="D1036" s="398"/>
      <c r="E1036" s="399"/>
      <c r="F1036" s="1017"/>
      <c r="G1036" s="922"/>
    </row>
    <row r="1037" spans="1:7" x14ac:dyDescent="0.25">
      <c r="A1037" s="394"/>
      <c r="B1037" s="395" t="s">
        <v>2166</v>
      </c>
      <c r="C1037" s="397">
        <v>20</v>
      </c>
      <c r="D1037" s="398" t="s">
        <v>315</v>
      </c>
      <c r="E1037" s="399">
        <v>15000</v>
      </c>
      <c r="F1037" s="1017">
        <f>E1037*C1037</f>
        <v>300000</v>
      </c>
      <c r="G1037" s="922"/>
    </row>
    <row r="1038" spans="1:7" x14ac:dyDescent="0.25">
      <c r="A1038" s="394"/>
      <c r="B1038" s="395"/>
      <c r="C1038" s="397"/>
      <c r="D1038" s="398"/>
      <c r="E1038" s="399"/>
      <c r="F1038" s="1017"/>
      <c r="G1038" s="922"/>
    </row>
    <row r="1039" spans="1:7" ht="24.75" x14ac:dyDescent="0.25">
      <c r="A1039" s="395" t="s">
        <v>2167</v>
      </c>
      <c r="B1039" s="727" t="s">
        <v>319</v>
      </c>
      <c r="C1039" s="400"/>
      <c r="D1039" s="1018"/>
      <c r="E1039" s="394"/>
      <c r="F1039" s="394"/>
      <c r="G1039" s="404"/>
    </row>
    <row r="1040" spans="1:7" x14ac:dyDescent="0.25">
      <c r="A1040" s="1014"/>
      <c r="B1040" s="1014" t="s">
        <v>380</v>
      </c>
      <c r="C1040" s="45">
        <v>1</v>
      </c>
      <c r="D1040" s="46" t="s">
        <v>333</v>
      </c>
      <c r="E1040" s="47">
        <v>50000</v>
      </c>
      <c r="F1040" s="1017">
        <f>E1040*C1040</f>
        <v>50000</v>
      </c>
      <c r="G1040" s="92"/>
    </row>
    <row r="1041" spans="1:12" x14ac:dyDescent="0.25">
      <c r="A1041" s="1014"/>
      <c r="B1041" s="1014"/>
      <c r="C1041" s="45"/>
      <c r="D1041" s="46"/>
      <c r="E1041" s="47"/>
      <c r="F1041" s="1017"/>
      <c r="G1041" s="92"/>
    </row>
    <row r="1042" spans="1:12" x14ac:dyDescent="0.25">
      <c r="A1042" s="395"/>
      <c r="B1042" s="727"/>
      <c r="C1042" s="397"/>
      <c r="D1042" s="398"/>
      <c r="E1042" s="551"/>
      <c r="F1042" s="1017"/>
      <c r="G1042" s="922"/>
    </row>
    <row r="1043" spans="1:12" ht="36.75" x14ac:dyDescent="0.25">
      <c r="A1043" s="395" t="s">
        <v>2168</v>
      </c>
      <c r="B1043" s="727" t="s">
        <v>484</v>
      </c>
      <c r="C1043" s="397"/>
      <c r="D1043" s="398"/>
      <c r="E1043" s="551"/>
      <c r="F1043" s="1017"/>
      <c r="G1043" s="922"/>
    </row>
    <row r="1044" spans="1:12" x14ac:dyDescent="0.25">
      <c r="A1044" s="394"/>
      <c r="B1044" s="395" t="s">
        <v>2169</v>
      </c>
      <c r="C1044" s="397">
        <v>1</v>
      </c>
      <c r="D1044" s="398" t="s">
        <v>461</v>
      </c>
      <c r="E1044" s="551">
        <v>300000</v>
      </c>
      <c r="F1044" s="1017">
        <f>E1044*C1044</f>
        <v>300000</v>
      </c>
      <c r="G1044" s="922"/>
    </row>
    <row r="1045" spans="1:12" x14ac:dyDescent="0.25">
      <c r="A1045" s="394"/>
      <c r="B1045" s="395"/>
      <c r="C1045" s="397"/>
      <c r="D1045" s="398"/>
      <c r="E1045" s="551"/>
      <c r="F1045" s="1017"/>
      <c r="G1045" s="922"/>
    </row>
    <row r="1046" spans="1:12" ht="24" x14ac:dyDescent="0.25">
      <c r="A1046" s="1014" t="s">
        <v>2170</v>
      </c>
      <c r="B1046" s="1015" t="s">
        <v>393</v>
      </c>
      <c r="C1046" s="45"/>
      <c r="D1046" s="46"/>
      <c r="E1046" s="340"/>
      <c r="F1046" s="1017"/>
      <c r="G1046" s="92"/>
    </row>
    <row r="1047" spans="1:12" x14ac:dyDescent="0.25">
      <c r="A1047" s="1014"/>
      <c r="B1047" s="1014" t="s">
        <v>2997</v>
      </c>
      <c r="C1047" s="45">
        <v>1908</v>
      </c>
      <c r="D1047" s="46" t="s">
        <v>395</v>
      </c>
      <c r="E1047" s="47">
        <v>5000</v>
      </c>
      <c r="F1047" s="1017">
        <f>E1047*C1047</f>
        <v>9540000</v>
      </c>
      <c r="G1047" s="92"/>
    </row>
    <row r="1048" spans="1:12" x14ac:dyDescent="0.25">
      <c r="A1048" s="1019"/>
      <c r="B1048" s="1019" t="s">
        <v>27</v>
      </c>
      <c r="C1048" s="1020"/>
      <c r="D1048" s="1021"/>
      <c r="E1048" s="1019"/>
      <c r="F1048" s="1022">
        <f>SUM(F1035:F1047)</f>
        <v>15190000</v>
      </c>
      <c r="G1048" s="1015" t="s">
        <v>1682</v>
      </c>
      <c r="J1048" s="286">
        <f>F1048</f>
        <v>15190000</v>
      </c>
      <c r="L1048" s="286"/>
    </row>
    <row r="1050" spans="1:12" x14ac:dyDescent="0.25">
      <c r="A1050" s="1807" t="s">
        <v>614</v>
      </c>
      <c r="B1050" s="1807"/>
      <c r="C1050" s="5" t="s">
        <v>28</v>
      </c>
      <c r="D1050" s="1808" t="s">
        <v>1700</v>
      </c>
      <c r="E1050" s="1808"/>
      <c r="F1050" s="1808"/>
      <c r="G1050" s="5"/>
    </row>
    <row r="1051" spans="1:12" x14ac:dyDescent="0.25">
      <c r="A1051" s="1807" t="s">
        <v>29</v>
      </c>
      <c r="B1051" s="1807"/>
      <c r="C1051" s="5"/>
      <c r="D1051" s="1809" t="s">
        <v>2996</v>
      </c>
      <c r="E1051" s="1809"/>
      <c r="F1051" s="1809"/>
      <c r="G1051" s="5"/>
    </row>
    <row r="1052" spans="1:12" x14ac:dyDescent="0.25">
      <c r="A1052" s="1"/>
      <c r="B1052" s="3"/>
      <c r="C1052" s="5"/>
      <c r="D1052" s="7"/>
      <c r="E1052" s="17"/>
      <c r="F1052" s="17"/>
      <c r="G1052" s="5"/>
    </row>
    <row r="1053" spans="1:12" x14ac:dyDescent="0.25">
      <c r="A1053" s="1"/>
      <c r="B1053" s="3"/>
      <c r="C1053" s="5"/>
      <c r="D1053" s="7"/>
      <c r="E1053" s="17"/>
      <c r="F1053" s="17"/>
      <c r="G1053" s="5"/>
    </row>
    <row r="1054" spans="1:12" x14ac:dyDescent="0.25">
      <c r="A1054" s="1807"/>
      <c r="B1054" s="1807"/>
      <c r="C1054" s="5"/>
      <c r="D1054" s="7"/>
      <c r="E1054" s="1807"/>
      <c r="F1054" s="1807"/>
      <c r="G1054" s="5"/>
    </row>
    <row r="1055" spans="1:12" x14ac:dyDescent="0.25">
      <c r="A1055" s="1807" t="s">
        <v>30</v>
      </c>
      <c r="B1055" s="1807"/>
      <c r="C1055" s="5"/>
      <c r="D1055" s="1807" t="s">
        <v>2993</v>
      </c>
      <c r="E1055" s="1807"/>
      <c r="F1055" s="1807"/>
      <c r="G1055" s="5"/>
    </row>
    <row r="1057" spans="6:6" x14ac:dyDescent="0.25">
      <c r="F1057" s="1334">
        <f>F1048+F1014+F979+F946+F874+F852+F713+F553+F518+F495+F472+F442+F408+F368+F324+F286+F211+F170+F127+F81+F48</f>
        <v>1865337418</v>
      </c>
    </row>
  </sheetData>
  <mergeCells count="351">
    <mergeCell ref="A1:G1"/>
    <mergeCell ref="A2:G2"/>
    <mergeCell ref="A3:G3"/>
    <mergeCell ref="C12:D12"/>
    <mergeCell ref="C13:D13"/>
    <mergeCell ref="B20:E20"/>
    <mergeCell ref="B21:E21"/>
    <mergeCell ref="A1050:B1050"/>
    <mergeCell ref="D1050:F1050"/>
    <mergeCell ref="A981:B981"/>
    <mergeCell ref="D981:F981"/>
    <mergeCell ref="A984:B984"/>
    <mergeCell ref="E984:F984"/>
    <mergeCell ref="A985:B985"/>
    <mergeCell ref="D985:F985"/>
    <mergeCell ref="A987:F987"/>
    <mergeCell ref="A988:F988"/>
    <mergeCell ref="C995:D995"/>
    <mergeCell ref="C996:D996"/>
    <mergeCell ref="A986:F986"/>
    <mergeCell ref="A720:G720"/>
    <mergeCell ref="A951:B951"/>
    <mergeCell ref="E951:F951"/>
    <mergeCell ref="A952:B952"/>
    <mergeCell ref="A1051:B1051"/>
    <mergeCell ref="D1051:F1051"/>
    <mergeCell ref="A1054:B1054"/>
    <mergeCell ref="E1054:F1054"/>
    <mergeCell ref="A1055:B1055"/>
    <mergeCell ref="D1055:F1055"/>
    <mergeCell ref="C867:D867"/>
    <mergeCell ref="C868:D868"/>
    <mergeCell ref="A874:E874"/>
    <mergeCell ref="A1022:G1022"/>
    <mergeCell ref="A1023:G1023"/>
    <mergeCell ref="A1024:G1024"/>
    <mergeCell ref="A1029:B1029"/>
    <mergeCell ref="C1030:D1030"/>
    <mergeCell ref="C1031:D1031"/>
    <mergeCell ref="A1020:B1020"/>
    <mergeCell ref="D1020:F1020"/>
    <mergeCell ref="A1015:B1015"/>
    <mergeCell ref="D1015:F1015"/>
    <mergeCell ref="A1016:B1016"/>
    <mergeCell ref="D1016:F1016"/>
    <mergeCell ref="A1019:B1019"/>
    <mergeCell ref="B979:E979"/>
    <mergeCell ref="E1019:F1019"/>
    <mergeCell ref="D952:F952"/>
    <mergeCell ref="A980:B980"/>
    <mergeCell ref="D980:F980"/>
    <mergeCell ref="A719:B719"/>
    <mergeCell ref="D719:F719"/>
    <mergeCell ref="A947:B947"/>
    <mergeCell ref="D947:F947"/>
    <mergeCell ref="A948:B948"/>
    <mergeCell ref="D948:F948"/>
    <mergeCell ref="A882:G882"/>
    <mergeCell ref="A883:G883"/>
    <mergeCell ref="C891:D891"/>
    <mergeCell ref="C892:D892"/>
    <mergeCell ref="B946:E946"/>
    <mergeCell ref="A953:G953"/>
    <mergeCell ref="A954:G954"/>
    <mergeCell ref="A955:G955"/>
    <mergeCell ref="D961:E961"/>
    <mergeCell ref="C963:D963"/>
    <mergeCell ref="C964:D964"/>
    <mergeCell ref="C831:D831"/>
    <mergeCell ref="A821:G821"/>
    <mergeCell ref="A822:G822"/>
    <mergeCell ref="A823:G823"/>
    <mergeCell ref="A621:B621"/>
    <mergeCell ref="D621:F621"/>
    <mergeCell ref="A622:B622"/>
    <mergeCell ref="D622:F622"/>
    <mergeCell ref="D519:F519"/>
    <mergeCell ref="A520:B520"/>
    <mergeCell ref="D520:F520"/>
    <mergeCell ref="A523:B523"/>
    <mergeCell ref="E523:F523"/>
    <mergeCell ref="C572:D572"/>
    <mergeCell ref="B620:E620"/>
    <mergeCell ref="C571:D571"/>
    <mergeCell ref="D524:F524"/>
    <mergeCell ref="A559:B559"/>
    <mergeCell ref="D559:F559"/>
    <mergeCell ref="A554:B554"/>
    <mergeCell ref="D554:F554"/>
    <mergeCell ref="A555:B555"/>
    <mergeCell ref="D555:F555"/>
    <mergeCell ref="A558:B558"/>
    <mergeCell ref="E558:F558"/>
    <mergeCell ref="A526:G526"/>
    <mergeCell ref="A527:G527"/>
    <mergeCell ref="B528:C528"/>
    <mergeCell ref="D829:E829"/>
    <mergeCell ref="A561:G561"/>
    <mergeCell ref="A562:G562"/>
    <mergeCell ref="A563:G563"/>
    <mergeCell ref="A497:B497"/>
    <mergeCell ref="D497:F497"/>
    <mergeCell ref="A500:B500"/>
    <mergeCell ref="E500:F500"/>
    <mergeCell ref="A501:B501"/>
    <mergeCell ref="D501:F501"/>
    <mergeCell ref="A625:B625"/>
    <mergeCell ref="E625:F625"/>
    <mergeCell ref="A626:B626"/>
    <mergeCell ref="D626:F626"/>
    <mergeCell ref="A815:B815"/>
    <mergeCell ref="D815:F815"/>
    <mergeCell ref="B713:E713"/>
    <mergeCell ref="A721:G721"/>
    <mergeCell ref="A722:G722"/>
    <mergeCell ref="C730:D730"/>
    <mergeCell ref="B553:E553"/>
    <mergeCell ref="A503:F503"/>
    <mergeCell ref="A504:F504"/>
    <mergeCell ref="C511:D511"/>
    <mergeCell ref="A879:B879"/>
    <mergeCell ref="E879:F879"/>
    <mergeCell ref="A880:B880"/>
    <mergeCell ref="D880:F880"/>
    <mergeCell ref="A875:B875"/>
    <mergeCell ref="D875:F875"/>
    <mergeCell ref="A876:B876"/>
    <mergeCell ref="D876:F876"/>
    <mergeCell ref="C832:D832"/>
    <mergeCell ref="B852:E852"/>
    <mergeCell ref="A853:B853"/>
    <mergeCell ref="D853:F853"/>
    <mergeCell ref="A854:B854"/>
    <mergeCell ref="D854:F854"/>
    <mergeCell ref="A857:B857"/>
    <mergeCell ref="E857:F857"/>
    <mergeCell ref="A858:B858"/>
    <mergeCell ref="D858:F858"/>
    <mergeCell ref="A414:B414"/>
    <mergeCell ref="D414:F414"/>
    <mergeCell ref="A443:B443"/>
    <mergeCell ref="D443:F443"/>
    <mergeCell ref="A334:G334"/>
    <mergeCell ref="C343:D343"/>
    <mergeCell ref="C344:D344"/>
    <mergeCell ref="A293:G293"/>
    <mergeCell ref="A294:G294"/>
    <mergeCell ref="A295:G295"/>
    <mergeCell ref="B350:E350"/>
    <mergeCell ref="B354:E354"/>
    <mergeCell ref="B367:E367"/>
    <mergeCell ref="B368:E368"/>
    <mergeCell ref="A373:B373"/>
    <mergeCell ref="E373:F373"/>
    <mergeCell ref="A374:B374"/>
    <mergeCell ref="D374:F374"/>
    <mergeCell ref="A370:B370"/>
    <mergeCell ref="B323:E323"/>
    <mergeCell ref="B324:E324"/>
    <mergeCell ref="C304:D304"/>
    <mergeCell ref="C305:D305"/>
    <mergeCell ref="B310:E310"/>
    <mergeCell ref="C512:D512"/>
    <mergeCell ref="A518:E518"/>
    <mergeCell ref="A519:B519"/>
    <mergeCell ref="A524:B524"/>
    <mergeCell ref="A444:B444"/>
    <mergeCell ref="D444:F444"/>
    <mergeCell ref="A447:B447"/>
    <mergeCell ref="E447:F447"/>
    <mergeCell ref="A448:B448"/>
    <mergeCell ref="C534:D534"/>
    <mergeCell ref="C535:D535"/>
    <mergeCell ref="A525:G525"/>
    <mergeCell ref="A495:E495"/>
    <mergeCell ref="D448:F448"/>
    <mergeCell ref="A496:B496"/>
    <mergeCell ref="D496:F496"/>
    <mergeCell ref="A329:B329"/>
    <mergeCell ref="E329:F329"/>
    <mergeCell ref="A369:B369"/>
    <mergeCell ref="D369:F369"/>
    <mergeCell ref="A332:G332"/>
    <mergeCell ref="D370:F370"/>
    <mergeCell ref="A376:G376"/>
    <mergeCell ref="A377:G377"/>
    <mergeCell ref="A378:G378"/>
    <mergeCell ref="D384:E384"/>
    <mergeCell ref="A333:G333"/>
    <mergeCell ref="A502:F502"/>
    <mergeCell ref="C386:D386"/>
    <mergeCell ref="C387:D387"/>
    <mergeCell ref="B408:E408"/>
    <mergeCell ref="A415:G415"/>
    <mergeCell ref="A416:G416"/>
    <mergeCell ref="D212:F212"/>
    <mergeCell ref="A213:B213"/>
    <mergeCell ref="D213:F213"/>
    <mergeCell ref="A216:B216"/>
    <mergeCell ref="E216:F216"/>
    <mergeCell ref="A217:B217"/>
    <mergeCell ref="A177:G177"/>
    <mergeCell ref="A178:G178"/>
    <mergeCell ref="A179:G179"/>
    <mergeCell ref="D185:E185"/>
    <mergeCell ref="C187:D187"/>
    <mergeCell ref="C188:D188"/>
    <mergeCell ref="B211:E211"/>
    <mergeCell ref="A212:B212"/>
    <mergeCell ref="B314:E314"/>
    <mergeCell ref="A220:F220"/>
    <mergeCell ref="D226:E226"/>
    <mergeCell ref="C227:D227"/>
    <mergeCell ref="A330:B330"/>
    <mergeCell ref="D330:F330"/>
    <mergeCell ref="A325:B325"/>
    <mergeCell ref="D325:F325"/>
    <mergeCell ref="A326:B326"/>
    <mergeCell ref="D326:F326"/>
    <mergeCell ref="A288:B288"/>
    <mergeCell ref="D288:F288"/>
    <mergeCell ref="A291:B291"/>
    <mergeCell ref="E291:F291"/>
    <mergeCell ref="A292:B292"/>
    <mergeCell ref="D292:F292"/>
    <mergeCell ref="A287:B287"/>
    <mergeCell ref="D287:F287"/>
    <mergeCell ref="C228:D228"/>
    <mergeCell ref="B286:E286"/>
    <mergeCell ref="A881:G881"/>
    <mergeCell ref="C731:D731"/>
    <mergeCell ref="B814:E814"/>
    <mergeCell ref="A628:G628"/>
    <mergeCell ref="A629:G629"/>
    <mergeCell ref="A630:G630"/>
    <mergeCell ref="D636:E636"/>
    <mergeCell ref="C637:D637"/>
    <mergeCell ref="C638:D638"/>
    <mergeCell ref="A816:B816"/>
    <mergeCell ref="D816:F816"/>
    <mergeCell ref="A819:B819"/>
    <mergeCell ref="E819:F819"/>
    <mergeCell ref="A820:B820"/>
    <mergeCell ref="D820:F820"/>
    <mergeCell ref="A714:B714"/>
    <mergeCell ref="D714:F714"/>
    <mergeCell ref="A715:B715"/>
    <mergeCell ref="D715:F715"/>
    <mergeCell ref="A718:B718"/>
    <mergeCell ref="E718:F718"/>
    <mergeCell ref="A859:F859"/>
    <mergeCell ref="A860:F860"/>
    <mergeCell ref="A861:F861"/>
    <mergeCell ref="A417:G417"/>
    <mergeCell ref="D423:E423"/>
    <mergeCell ref="C425:D425"/>
    <mergeCell ref="C426:D426"/>
    <mergeCell ref="B442:E442"/>
    <mergeCell ref="A479:F479"/>
    <mergeCell ref="A480:F480"/>
    <mergeCell ref="A481:F481"/>
    <mergeCell ref="A487:B487"/>
    <mergeCell ref="A449:G449"/>
    <mergeCell ref="A450:G450"/>
    <mergeCell ref="A451:G451"/>
    <mergeCell ref="D457:E457"/>
    <mergeCell ref="C459:D459"/>
    <mergeCell ref="C460:D460"/>
    <mergeCell ref="B472:E472"/>
    <mergeCell ref="A473:B473"/>
    <mergeCell ref="D473:F473"/>
    <mergeCell ref="A474:B474"/>
    <mergeCell ref="D474:F474"/>
    <mergeCell ref="A477:B477"/>
    <mergeCell ref="E477:F477"/>
    <mergeCell ref="A478:B478"/>
    <mergeCell ref="D478:F478"/>
    <mergeCell ref="A409:B409"/>
    <mergeCell ref="C488:D488"/>
    <mergeCell ref="C489:D489"/>
    <mergeCell ref="D409:F409"/>
    <mergeCell ref="A410:B410"/>
    <mergeCell ref="D410:F410"/>
    <mergeCell ref="A413:B413"/>
    <mergeCell ref="E413:F413"/>
    <mergeCell ref="A90:G90"/>
    <mergeCell ref="A91:G91"/>
    <mergeCell ref="B94:C94"/>
    <mergeCell ref="D97:E97"/>
    <mergeCell ref="C98:D98"/>
    <mergeCell ref="C99:D99"/>
    <mergeCell ref="B127:E127"/>
    <mergeCell ref="A218:F218"/>
    <mergeCell ref="A219:F219"/>
    <mergeCell ref="D176:F176"/>
    <mergeCell ref="D217:F217"/>
    <mergeCell ref="A128:B128"/>
    <mergeCell ref="D128:F128"/>
    <mergeCell ref="A129:B129"/>
    <mergeCell ref="D129:F129"/>
    <mergeCell ref="A132:B132"/>
    <mergeCell ref="A172:B172"/>
    <mergeCell ref="D172:F172"/>
    <mergeCell ref="A175:B175"/>
    <mergeCell ref="E175:F175"/>
    <mergeCell ref="A176:B176"/>
    <mergeCell ref="A56:G56"/>
    <mergeCell ref="A136:G136"/>
    <mergeCell ref="A137:G137"/>
    <mergeCell ref="D143:E143"/>
    <mergeCell ref="C145:D145"/>
    <mergeCell ref="C146:D146"/>
    <mergeCell ref="B170:E170"/>
    <mergeCell ref="A171:B171"/>
    <mergeCell ref="D171:F171"/>
    <mergeCell ref="A49:B49"/>
    <mergeCell ref="D49:F49"/>
    <mergeCell ref="A50:B50"/>
    <mergeCell ref="D50:F50"/>
    <mergeCell ref="A53:B53"/>
    <mergeCell ref="E53:F53"/>
    <mergeCell ref="A54:B54"/>
    <mergeCell ref="D54:F54"/>
    <mergeCell ref="A135:G135"/>
    <mergeCell ref="E132:F132"/>
    <mergeCell ref="A133:B133"/>
    <mergeCell ref="D133:F133"/>
    <mergeCell ref="A23:G23"/>
    <mergeCell ref="A24:G24"/>
    <mergeCell ref="A25:G25"/>
    <mergeCell ref="D31:E31"/>
    <mergeCell ref="C33:D33"/>
    <mergeCell ref="C67:D67"/>
    <mergeCell ref="C80:D80"/>
    <mergeCell ref="B81:E81"/>
    <mergeCell ref="A89:G89"/>
    <mergeCell ref="C66:D66"/>
    <mergeCell ref="A82:B82"/>
    <mergeCell ref="D82:F82"/>
    <mergeCell ref="A83:B83"/>
    <mergeCell ref="D83:F83"/>
    <mergeCell ref="A86:B86"/>
    <mergeCell ref="E86:F86"/>
    <mergeCell ref="A87:B87"/>
    <mergeCell ref="D87:F87"/>
    <mergeCell ref="C34:D34"/>
    <mergeCell ref="C47:D47"/>
    <mergeCell ref="B48:E48"/>
    <mergeCell ref="A58:G58"/>
    <mergeCell ref="D64:E64"/>
    <mergeCell ref="A57:G57"/>
  </mergeCells>
  <pageMargins left="0.7" right="0.7" top="0.75" bottom="0.75" header="0.3" footer="0.3"/>
  <pageSetup paperSize="9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532"/>
  <sheetViews>
    <sheetView zoomScaleNormal="100" workbookViewId="0">
      <pane ySplit="1500" topLeftCell="A179" activePane="bottomLeft"/>
      <selection activeCell="M884" sqref="M884"/>
      <selection pane="bottomLeft" activeCell="H187" sqref="H187"/>
    </sheetView>
  </sheetViews>
  <sheetFormatPr defaultRowHeight="15" x14ac:dyDescent="0.25"/>
  <cols>
    <col min="1" max="1" width="12.28515625" customWidth="1"/>
    <col min="2" max="2" width="34" customWidth="1"/>
    <col min="3" max="3" width="6" customWidth="1"/>
    <col min="4" max="4" width="6.140625" customWidth="1"/>
    <col min="5" max="5" width="14.42578125" customWidth="1"/>
    <col min="6" max="6" width="15.85546875" customWidth="1"/>
    <col min="7" max="7" width="7.7109375" customWidth="1"/>
    <col min="8" max="8" width="18.5703125" customWidth="1"/>
    <col min="9" max="9" width="17.85546875" customWidth="1"/>
    <col min="10" max="11" width="16.85546875" bestFit="1" customWidth="1"/>
    <col min="12" max="12" width="14.140625" customWidth="1"/>
    <col min="13" max="13" width="14.85546875" customWidth="1"/>
    <col min="14" max="14" width="13.85546875" customWidth="1"/>
    <col min="15" max="15" width="14.140625" customWidth="1"/>
    <col min="16" max="16" width="15" customWidth="1"/>
    <col min="17" max="17" width="15.85546875" customWidth="1"/>
    <col min="18" max="18" width="16.42578125" customWidth="1"/>
    <col min="19" max="19" width="14.85546875" customWidth="1"/>
    <col min="20" max="20" width="15.7109375" customWidth="1"/>
    <col min="21" max="21" width="14" customWidth="1"/>
    <col min="22" max="22" width="15.140625" customWidth="1"/>
    <col min="23" max="23" width="14.5703125" bestFit="1" customWidth="1"/>
    <col min="24" max="24" width="14.28515625" bestFit="1" customWidth="1"/>
  </cols>
  <sheetData>
    <row r="1" spans="1:24" ht="45" x14ac:dyDescent="0.25">
      <c r="A1" s="5"/>
      <c r="B1" s="363"/>
      <c r="C1" s="363"/>
      <c r="D1" s="363"/>
      <c r="E1" s="363"/>
      <c r="F1" s="364"/>
      <c r="G1" s="162"/>
      <c r="I1" t="s">
        <v>2387</v>
      </c>
      <c r="J1" t="s">
        <v>1682</v>
      </c>
      <c r="K1" t="s">
        <v>2620</v>
      </c>
      <c r="L1" t="s">
        <v>2621</v>
      </c>
      <c r="M1" s="1154" t="s">
        <v>2622</v>
      </c>
      <c r="N1" s="1155" t="s">
        <v>2637</v>
      </c>
      <c r="O1" t="s">
        <v>2623</v>
      </c>
      <c r="P1" t="s">
        <v>1690</v>
      </c>
      <c r="Q1" t="s">
        <v>2624</v>
      </c>
      <c r="R1" t="s">
        <v>2625</v>
      </c>
      <c r="S1" t="s">
        <v>2626</v>
      </c>
      <c r="T1" t="s">
        <v>2627</v>
      </c>
      <c r="U1" t="s">
        <v>2628</v>
      </c>
      <c r="V1" t="s">
        <v>2629</v>
      </c>
      <c r="W1" t="s">
        <v>2635</v>
      </c>
      <c r="X1" t="s">
        <v>2646</v>
      </c>
    </row>
    <row r="2" spans="1:24" x14ac:dyDescent="0.25">
      <c r="A2" s="5"/>
      <c r="B2" s="363"/>
      <c r="C2" s="363"/>
      <c r="D2" s="363"/>
      <c r="E2" s="363"/>
      <c r="F2" s="364"/>
      <c r="G2" s="162"/>
      <c r="I2" s="451">
        <f t="shared" ref="I2:X2" si="0">SUM(I3:I528)</f>
        <v>86412000</v>
      </c>
      <c r="J2" s="451">
        <f t="shared" si="0"/>
        <v>2440000</v>
      </c>
      <c r="K2" s="451">
        <f t="shared" si="0"/>
        <v>46276296</v>
      </c>
      <c r="L2" s="451">
        <f t="shared" si="0"/>
        <v>0</v>
      </c>
      <c r="M2" s="451">
        <f t="shared" si="0"/>
        <v>0</v>
      </c>
      <c r="N2" s="451">
        <f t="shared" si="0"/>
        <v>0</v>
      </c>
      <c r="O2" s="451">
        <f t="shared" si="0"/>
        <v>0</v>
      </c>
      <c r="P2" s="451">
        <f t="shared" si="0"/>
        <v>62230000</v>
      </c>
      <c r="Q2" s="451">
        <f t="shared" si="0"/>
        <v>0</v>
      </c>
      <c r="R2" s="451">
        <f t="shared" si="0"/>
        <v>1227000</v>
      </c>
      <c r="S2" s="451">
        <f t="shared" si="0"/>
        <v>1655000</v>
      </c>
      <c r="T2" s="451">
        <f t="shared" si="0"/>
        <v>0</v>
      </c>
      <c r="U2" s="451">
        <f t="shared" si="0"/>
        <v>0</v>
      </c>
      <c r="V2" s="451">
        <f t="shared" si="0"/>
        <v>0</v>
      </c>
      <c r="W2" s="451">
        <f t="shared" si="0"/>
        <v>0</v>
      </c>
      <c r="X2" s="451">
        <f t="shared" si="0"/>
        <v>0</v>
      </c>
    </row>
    <row r="3" spans="1:24" x14ac:dyDescent="0.25">
      <c r="A3" s="1807" t="s">
        <v>0</v>
      </c>
      <c r="B3" s="1807"/>
      <c r="C3" s="1807"/>
      <c r="D3" s="1807"/>
      <c r="E3" s="1807"/>
      <c r="F3" s="1807"/>
      <c r="G3" s="1807"/>
    </row>
    <row r="4" spans="1:24" x14ac:dyDescent="0.25">
      <c r="A4" s="1807" t="s">
        <v>1</v>
      </c>
      <c r="B4" s="1807"/>
      <c r="C4" s="1807"/>
      <c r="D4" s="1807"/>
      <c r="E4" s="1807"/>
      <c r="F4" s="1807"/>
      <c r="G4" s="1807"/>
    </row>
    <row r="5" spans="1:24" x14ac:dyDescent="0.25">
      <c r="A5" s="1807" t="s">
        <v>1697</v>
      </c>
      <c r="B5" s="1807"/>
      <c r="C5" s="1807"/>
      <c r="D5" s="1807"/>
      <c r="E5" s="1807"/>
      <c r="F5" s="1807"/>
      <c r="G5" s="1807"/>
    </row>
    <row r="6" spans="1:24" x14ac:dyDescent="0.25">
      <c r="A6" s="5"/>
      <c r="B6" s="5"/>
      <c r="C6" s="136"/>
      <c r="D6" s="136"/>
      <c r="E6" s="23"/>
      <c r="F6" s="5"/>
      <c r="G6" s="240"/>
    </row>
    <row r="7" spans="1:24" ht="15.75" x14ac:dyDescent="0.25">
      <c r="A7" s="275" t="s">
        <v>583</v>
      </c>
      <c r="B7" s="275" t="s">
        <v>486</v>
      </c>
      <c r="C7" s="275"/>
      <c r="D7" s="367"/>
      <c r="E7" s="368"/>
      <c r="F7" s="367"/>
      <c r="G7" s="369"/>
    </row>
    <row r="8" spans="1:24" ht="15.75" x14ac:dyDescent="0.25">
      <c r="A8" s="275" t="s">
        <v>584</v>
      </c>
      <c r="B8" s="275" t="s">
        <v>585</v>
      </c>
      <c r="C8" s="275"/>
      <c r="D8" s="367"/>
      <c r="E8" s="240"/>
      <c r="F8" s="240"/>
      <c r="G8" s="240"/>
    </row>
    <row r="9" spans="1:24" ht="30" x14ac:dyDescent="0.25">
      <c r="A9" s="370" t="s">
        <v>586</v>
      </c>
      <c r="B9" s="276" t="s">
        <v>2818</v>
      </c>
      <c r="C9" s="275"/>
      <c r="D9" s="367"/>
      <c r="E9" s="240"/>
      <c r="F9" s="240"/>
      <c r="G9" s="240"/>
    </row>
    <row r="10" spans="1:24" ht="30" x14ac:dyDescent="0.25">
      <c r="A10" s="371" t="s">
        <v>560</v>
      </c>
      <c r="B10" s="372" t="s">
        <v>63</v>
      </c>
      <c r="C10" s="280"/>
      <c r="D10" s="373"/>
      <c r="E10" s="373"/>
      <c r="F10" s="373"/>
      <c r="G10" s="369"/>
    </row>
    <row r="11" spans="1:24" ht="15.75" x14ac:dyDescent="0.25">
      <c r="A11" s="2045" t="s">
        <v>561</v>
      </c>
      <c r="B11" s="2045"/>
      <c r="C11" s="374"/>
      <c r="D11" s="374"/>
      <c r="E11" s="375"/>
      <c r="F11" s="373"/>
      <c r="G11" s="376"/>
    </row>
    <row r="12" spans="1:24" ht="24" x14ac:dyDescent="0.25">
      <c r="A12" s="176" t="s">
        <v>31</v>
      </c>
      <c r="B12" s="176" t="s">
        <v>12</v>
      </c>
      <c r="C12" s="1955" t="s">
        <v>13</v>
      </c>
      <c r="D12" s="1956"/>
      <c r="E12" s="78" t="s">
        <v>14</v>
      </c>
      <c r="F12" s="177" t="s">
        <v>15</v>
      </c>
      <c r="G12" s="145" t="s">
        <v>35</v>
      </c>
    </row>
    <row r="13" spans="1:24" x14ac:dyDescent="0.25">
      <c r="A13" s="146">
        <v>1</v>
      </c>
      <c r="B13" s="146">
        <v>2</v>
      </c>
      <c r="C13" s="1801">
        <v>3</v>
      </c>
      <c r="D13" s="1802"/>
      <c r="E13" s="54">
        <v>4</v>
      </c>
      <c r="F13" s="167">
        <v>5</v>
      </c>
      <c r="G13" s="147">
        <v>6</v>
      </c>
    </row>
    <row r="14" spans="1:24" x14ac:dyDescent="0.25">
      <c r="A14" s="2" t="s">
        <v>588</v>
      </c>
      <c r="B14" s="4" t="s">
        <v>553</v>
      </c>
      <c r="C14" s="142"/>
      <c r="D14" s="143"/>
      <c r="E14" s="73"/>
      <c r="F14" s="142"/>
      <c r="G14" s="20"/>
    </row>
    <row r="15" spans="1:24" x14ac:dyDescent="0.25">
      <c r="A15" s="2" t="s">
        <v>589</v>
      </c>
      <c r="B15" s="4" t="s">
        <v>88</v>
      </c>
      <c r="C15" s="142"/>
      <c r="D15" s="143"/>
      <c r="E15" s="73"/>
      <c r="F15" s="142"/>
      <c r="G15" s="20"/>
    </row>
    <row r="16" spans="1:24" ht="27" customHeight="1" x14ac:dyDescent="0.25">
      <c r="A16" s="2" t="s">
        <v>590</v>
      </c>
      <c r="B16" s="4" t="s">
        <v>354</v>
      </c>
      <c r="C16" s="6"/>
      <c r="D16" s="25"/>
      <c r="E16" s="12"/>
      <c r="F16" s="74"/>
      <c r="G16" s="152"/>
    </row>
    <row r="17" spans="1:7" x14ac:dyDescent="0.25">
      <c r="A17" s="20"/>
      <c r="B17" s="16" t="s">
        <v>591</v>
      </c>
      <c r="C17" s="6">
        <v>60</v>
      </c>
      <c r="D17" s="25" t="s">
        <v>565</v>
      </c>
      <c r="E17" s="12">
        <v>15000</v>
      </c>
      <c r="F17" s="74">
        <f>E17*C17</f>
        <v>900000</v>
      </c>
      <c r="G17" s="152"/>
    </row>
    <row r="18" spans="1:7" x14ac:dyDescent="0.25">
      <c r="A18" s="20"/>
      <c r="B18" s="16"/>
      <c r="C18" s="6"/>
      <c r="D18" s="25"/>
      <c r="E18" s="12"/>
      <c r="F18" s="74"/>
      <c r="G18" s="152"/>
    </row>
    <row r="19" spans="1:7" x14ac:dyDescent="0.25">
      <c r="A19" s="2" t="s">
        <v>592</v>
      </c>
      <c r="B19" s="4" t="s">
        <v>376</v>
      </c>
      <c r="C19" s="6"/>
      <c r="D19" s="25"/>
      <c r="E19" s="12"/>
      <c r="F19" s="74"/>
      <c r="G19" s="152"/>
    </row>
    <row r="20" spans="1:7" x14ac:dyDescent="0.25">
      <c r="A20" s="20"/>
      <c r="B20" s="16" t="s">
        <v>377</v>
      </c>
      <c r="C20" s="6">
        <v>1</v>
      </c>
      <c r="D20" s="25" t="s">
        <v>102</v>
      </c>
      <c r="E20" s="12">
        <v>90000</v>
      </c>
      <c r="F20" s="74">
        <f>E20*C20</f>
        <v>90000</v>
      </c>
      <c r="G20" s="152"/>
    </row>
    <row r="21" spans="1:7" x14ac:dyDescent="0.25">
      <c r="A21" s="20"/>
      <c r="B21" s="16"/>
      <c r="C21" s="6"/>
      <c r="D21" s="25"/>
      <c r="E21" s="12"/>
      <c r="F21" s="74"/>
      <c r="G21" s="152"/>
    </row>
    <row r="22" spans="1:7" x14ac:dyDescent="0.25">
      <c r="A22" s="16" t="s">
        <v>593</v>
      </c>
      <c r="B22" s="4" t="s">
        <v>495</v>
      </c>
      <c r="C22" s="6"/>
      <c r="D22" s="25"/>
      <c r="E22" s="12"/>
      <c r="F22" s="258"/>
      <c r="G22" s="152"/>
    </row>
    <row r="23" spans="1:7" x14ac:dyDescent="0.25">
      <c r="A23" s="16"/>
      <c r="B23" s="16" t="s">
        <v>496</v>
      </c>
      <c r="C23" s="6">
        <v>1</v>
      </c>
      <c r="D23" s="25" t="s">
        <v>102</v>
      </c>
      <c r="E23" s="12">
        <v>50000</v>
      </c>
      <c r="F23" s="258">
        <f>E23*C23</f>
        <v>50000</v>
      </c>
      <c r="G23" s="152"/>
    </row>
    <row r="24" spans="1:7" x14ac:dyDescent="0.25">
      <c r="A24" s="16"/>
      <c r="B24" s="16" t="s">
        <v>321</v>
      </c>
      <c r="C24" s="6">
        <v>5</v>
      </c>
      <c r="D24" s="25" t="s">
        <v>186</v>
      </c>
      <c r="E24" s="12">
        <v>3000</v>
      </c>
      <c r="F24" s="258">
        <f>E24*C24</f>
        <v>15000</v>
      </c>
      <c r="G24" s="152"/>
    </row>
    <row r="25" spans="1:7" x14ac:dyDescent="0.25">
      <c r="A25" s="16"/>
      <c r="B25" s="16" t="s">
        <v>335</v>
      </c>
      <c r="C25" s="6">
        <v>1</v>
      </c>
      <c r="D25" s="25" t="s">
        <v>336</v>
      </c>
      <c r="E25" s="12">
        <v>10000</v>
      </c>
      <c r="F25" s="258">
        <f>E25*C25</f>
        <v>10000</v>
      </c>
      <c r="G25" s="152"/>
    </row>
    <row r="26" spans="1:7" x14ac:dyDescent="0.25">
      <c r="A26" s="16"/>
      <c r="B26" s="16"/>
      <c r="C26" s="6"/>
      <c r="D26" s="25"/>
      <c r="E26" s="12"/>
      <c r="F26" s="258"/>
      <c r="G26" s="152"/>
    </row>
    <row r="27" spans="1:7" x14ac:dyDescent="0.25">
      <c r="A27" s="2" t="s">
        <v>594</v>
      </c>
      <c r="B27" s="16" t="s">
        <v>340</v>
      </c>
      <c r="C27" s="6"/>
      <c r="D27" s="25"/>
      <c r="E27" s="21"/>
      <c r="F27" s="74"/>
      <c r="G27" s="152"/>
    </row>
    <row r="28" spans="1:7" ht="24.75" x14ac:dyDescent="0.25">
      <c r="A28" s="2" t="s">
        <v>595</v>
      </c>
      <c r="B28" s="4" t="s">
        <v>575</v>
      </c>
      <c r="C28" s="6"/>
      <c r="D28" s="25"/>
      <c r="E28" s="21"/>
      <c r="F28" s="74"/>
      <c r="G28" s="152"/>
    </row>
    <row r="29" spans="1:7" x14ac:dyDescent="0.25">
      <c r="A29" s="20"/>
      <c r="B29" s="16" t="s">
        <v>471</v>
      </c>
      <c r="C29" s="6">
        <v>1</v>
      </c>
      <c r="D29" s="25" t="s">
        <v>315</v>
      </c>
      <c r="E29" s="21">
        <v>300000</v>
      </c>
      <c r="F29" s="74">
        <f>E29*C29</f>
        <v>300000</v>
      </c>
      <c r="G29" s="152"/>
    </row>
    <row r="30" spans="1:7" x14ac:dyDescent="0.25">
      <c r="A30" s="20"/>
      <c r="B30" s="16" t="s">
        <v>596</v>
      </c>
      <c r="C30" s="6">
        <v>1</v>
      </c>
      <c r="D30" s="25" t="s">
        <v>315</v>
      </c>
      <c r="E30" s="21">
        <v>250000</v>
      </c>
      <c r="F30" s="74">
        <f>E30*C30</f>
        <v>250000</v>
      </c>
      <c r="G30" s="152"/>
    </row>
    <row r="31" spans="1:7" x14ac:dyDescent="0.25">
      <c r="A31" s="20"/>
      <c r="B31" s="16" t="s">
        <v>576</v>
      </c>
      <c r="C31" s="6">
        <v>3</v>
      </c>
      <c r="D31" s="25" t="s">
        <v>315</v>
      </c>
      <c r="E31" s="21">
        <v>200000</v>
      </c>
      <c r="F31" s="74">
        <f>E31*C31</f>
        <v>600000</v>
      </c>
      <c r="G31" s="152"/>
    </row>
    <row r="32" spans="1:7" x14ac:dyDescent="0.25">
      <c r="A32" s="20"/>
      <c r="B32" s="16"/>
      <c r="C32" s="6"/>
      <c r="D32" s="25"/>
      <c r="E32" s="21"/>
      <c r="F32" s="74"/>
      <c r="G32" s="152"/>
    </row>
    <row r="33" spans="1:9" ht="24.75" x14ac:dyDescent="0.25">
      <c r="A33" s="16" t="s">
        <v>597</v>
      </c>
      <c r="B33" s="4" t="s">
        <v>484</v>
      </c>
      <c r="C33" s="6"/>
      <c r="D33" s="25"/>
      <c r="E33" s="21"/>
      <c r="F33" s="74"/>
      <c r="G33" s="152"/>
    </row>
    <row r="34" spans="1:9" x14ac:dyDescent="0.25">
      <c r="A34" s="20"/>
      <c r="B34" s="4" t="s">
        <v>598</v>
      </c>
      <c r="C34" s="6">
        <v>4</v>
      </c>
      <c r="D34" s="25" t="s">
        <v>461</v>
      </c>
      <c r="E34" s="21">
        <v>300000</v>
      </c>
      <c r="F34" s="74">
        <f>E34*C34</f>
        <v>1200000</v>
      </c>
      <c r="G34" s="152"/>
    </row>
    <row r="35" spans="1:9" x14ac:dyDescent="0.25">
      <c r="A35" s="20"/>
      <c r="B35" s="16"/>
      <c r="C35" s="6"/>
      <c r="D35" s="25"/>
      <c r="E35" s="12"/>
      <c r="F35" s="74"/>
      <c r="G35" s="152"/>
    </row>
    <row r="36" spans="1:9" ht="24.75" x14ac:dyDescent="0.25">
      <c r="A36" s="2" t="s">
        <v>599</v>
      </c>
      <c r="B36" s="4" t="s">
        <v>577</v>
      </c>
      <c r="C36" s="6"/>
      <c r="D36" s="25"/>
      <c r="E36" s="12"/>
      <c r="F36" s="74"/>
      <c r="G36" s="152"/>
    </row>
    <row r="37" spans="1:9" ht="24.75" x14ac:dyDescent="0.25">
      <c r="A37" s="16" t="s">
        <v>600</v>
      </c>
      <c r="B37" s="4" t="s">
        <v>578</v>
      </c>
      <c r="C37" s="6"/>
      <c r="D37" s="25"/>
      <c r="E37" s="12"/>
      <c r="F37" s="74"/>
      <c r="G37" s="152"/>
    </row>
    <row r="38" spans="1:9" x14ac:dyDescent="0.25">
      <c r="A38" s="20"/>
      <c r="B38" s="16" t="s">
        <v>601</v>
      </c>
      <c r="C38" s="6">
        <v>2</v>
      </c>
      <c r="D38" s="25" t="s">
        <v>102</v>
      </c>
      <c r="E38" s="12">
        <v>850000</v>
      </c>
      <c r="F38" s="74">
        <f>E38*C38</f>
        <v>1700000</v>
      </c>
      <c r="G38" s="152"/>
    </row>
    <row r="39" spans="1:9" x14ac:dyDescent="0.25">
      <c r="A39" s="20"/>
      <c r="B39" s="16" t="s">
        <v>602</v>
      </c>
      <c r="C39" s="6">
        <v>1566</v>
      </c>
      <c r="D39" s="25" t="s">
        <v>102</v>
      </c>
      <c r="E39" s="12">
        <v>5000</v>
      </c>
      <c r="F39" s="74">
        <f>E39*C39</f>
        <v>7830000</v>
      </c>
      <c r="G39" s="152"/>
    </row>
    <row r="40" spans="1:9" x14ac:dyDescent="0.25">
      <c r="A40" s="20"/>
      <c r="B40" s="336"/>
      <c r="C40" s="377"/>
      <c r="D40" s="378"/>
      <c r="E40" s="75"/>
      <c r="F40" s="362"/>
      <c r="G40" s="179"/>
    </row>
    <row r="41" spans="1:9" x14ac:dyDescent="0.25">
      <c r="A41" s="184"/>
      <c r="B41" s="1850" t="s">
        <v>27</v>
      </c>
      <c r="C41" s="1850"/>
      <c r="D41" s="1850"/>
      <c r="E41" s="1850"/>
      <c r="F41" s="187">
        <f>SUM(F16:F40)</f>
        <v>12945000</v>
      </c>
      <c r="G41" s="187" t="s">
        <v>2387</v>
      </c>
      <c r="I41" s="175">
        <f>F41</f>
        <v>12945000</v>
      </c>
    </row>
    <row r="42" spans="1:9" x14ac:dyDescent="0.25">
      <c r="A42" s="240"/>
      <c r="B42" s="240"/>
      <c r="C42" s="240"/>
      <c r="D42" s="240"/>
      <c r="E42" s="1331"/>
      <c r="F42" s="983"/>
      <c r="G42" s="240"/>
    </row>
    <row r="43" spans="1:9" x14ac:dyDescent="0.25">
      <c r="A43" s="1807" t="s">
        <v>614</v>
      </c>
      <c r="B43" s="1807"/>
      <c r="C43" s="5" t="s">
        <v>28</v>
      </c>
      <c r="D43" s="1808" t="s">
        <v>1698</v>
      </c>
      <c r="E43" s="1808"/>
      <c r="F43" s="1808"/>
      <c r="G43" s="5"/>
    </row>
    <row r="44" spans="1:9" x14ac:dyDescent="0.25">
      <c r="A44" s="1807" t="s">
        <v>29</v>
      </c>
      <c r="B44" s="1807"/>
      <c r="C44" s="5"/>
      <c r="D44" s="1809" t="s">
        <v>2990</v>
      </c>
      <c r="E44" s="1809"/>
      <c r="F44" s="1809"/>
      <c r="G44" s="5"/>
    </row>
    <row r="45" spans="1:9" x14ac:dyDescent="0.25">
      <c r="A45" s="1"/>
      <c r="B45" s="3"/>
      <c r="C45" s="5"/>
      <c r="D45" s="7"/>
      <c r="E45" s="17"/>
      <c r="F45" s="17"/>
      <c r="G45" s="5"/>
    </row>
    <row r="46" spans="1:9" x14ac:dyDescent="0.25">
      <c r="A46" s="1"/>
      <c r="B46" s="3"/>
      <c r="C46" s="5"/>
      <c r="D46" s="7"/>
      <c r="E46" s="17"/>
      <c r="F46" s="17"/>
      <c r="G46" s="5"/>
    </row>
    <row r="47" spans="1:9" x14ac:dyDescent="0.25">
      <c r="A47" s="1807"/>
      <c r="B47" s="1807"/>
      <c r="C47" s="5"/>
      <c r="D47" s="7"/>
      <c r="E47" s="1807"/>
      <c r="F47" s="1807"/>
      <c r="G47" s="5"/>
    </row>
    <row r="48" spans="1:9" x14ac:dyDescent="0.25">
      <c r="A48" s="1807" t="s">
        <v>30</v>
      </c>
      <c r="B48" s="1807"/>
      <c r="C48" s="5"/>
      <c r="D48" s="1807" t="s">
        <v>2991</v>
      </c>
      <c r="E48" s="1807"/>
      <c r="F48" s="1807"/>
      <c r="G48" s="5"/>
    </row>
    <row r="50" spans="1:7" x14ac:dyDescent="0.25">
      <c r="A50" s="1807" t="s">
        <v>0</v>
      </c>
      <c r="B50" s="1807"/>
      <c r="C50" s="1807"/>
      <c r="D50" s="1807"/>
      <c r="E50" s="1807"/>
      <c r="F50" s="1807"/>
      <c r="G50" s="1807"/>
    </row>
    <row r="51" spans="1:7" x14ac:dyDescent="0.25">
      <c r="A51" s="1807" t="s">
        <v>1</v>
      </c>
      <c r="B51" s="1807"/>
      <c r="C51" s="1807"/>
      <c r="D51" s="1807"/>
      <c r="E51" s="1807"/>
      <c r="F51" s="1807"/>
      <c r="G51" s="1807"/>
    </row>
    <row r="52" spans="1:7" x14ac:dyDescent="0.25">
      <c r="A52" s="1807" t="s">
        <v>1697</v>
      </c>
      <c r="B52" s="1807"/>
      <c r="C52" s="1807"/>
      <c r="D52" s="1807"/>
      <c r="E52" s="1807"/>
      <c r="F52" s="1807"/>
      <c r="G52" s="1807"/>
    </row>
    <row r="53" spans="1:7" x14ac:dyDescent="0.25">
      <c r="A53" s="5"/>
      <c r="B53" s="5"/>
      <c r="C53" s="136"/>
      <c r="D53" s="136"/>
      <c r="E53" s="23"/>
      <c r="F53" s="5"/>
      <c r="G53" s="240"/>
    </row>
    <row r="54" spans="1:7" ht="15.75" x14ac:dyDescent="0.25">
      <c r="A54" s="275" t="s">
        <v>583</v>
      </c>
      <c r="B54" s="275" t="s">
        <v>486</v>
      </c>
      <c r="C54" s="275"/>
      <c r="D54" s="367"/>
      <c r="E54" s="368"/>
      <c r="F54" s="367"/>
      <c r="G54" s="369"/>
    </row>
    <row r="55" spans="1:7" ht="15.75" x14ac:dyDescent="0.25">
      <c r="A55" s="275" t="s">
        <v>584</v>
      </c>
      <c r="B55" s="275" t="s">
        <v>585</v>
      </c>
      <c r="C55" s="275"/>
      <c r="D55" s="367"/>
      <c r="E55" s="240"/>
      <c r="F55" s="240"/>
      <c r="G55" s="240"/>
    </row>
    <row r="56" spans="1:7" ht="30" x14ac:dyDescent="0.25">
      <c r="A56" s="370" t="s">
        <v>586</v>
      </c>
      <c r="B56" s="276" t="s">
        <v>2819</v>
      </c>
      <c r="C56" s="275"/>
      <c r="D56" s="367"/>
      <c r="E56" s="240"/>
      <c r="F56" s="240"/>
      <c r="G56" s="240"/>
    </row>
    <row r="57" spans="1:7" ht="30" x14ac:dyDescent="0.25">
      <c r="A57" s="371" t="s">
        <v>560</v>
      </c>
      <c r="B57" s="372" t="s">
        <v>63</v>
      </c>
      <c r="C57" s="280"/>
      <c r="D57" s="373"/>
      <c r="E57" s="373"/>
      <c r="F57" s="373"/>
      <c r="G57" s="369"/>
    </row>
    <row r="58" spans="1:7" ht="15.75" x14ac:dyDescent="0.25">
      <c r="A58" s="2045" t="s">
        <v>561</v>
      </c>
      <c r="B58" s="2045"/>
      <c r="C58" s="374"/>
      <c r="D58" s="374"/>
      <c r="E58" s="375"/>
      <c r="F58" s="373"/>
      <c r="G58" s="376"/>
    </row>
    <row r="59" spans="1:7" ht="24" x14ac:dyDescent="0.25">
      <c r="A59" s="176" t="s">
        <v>31</v>
      </c>
      <c r="B59" s="176" t="s">
        <v>12</v>
      </c>
      <c r="C59" s="1955" t="s">
        <v>13</v>
      </c>
      <c r="D59" s="1956"/>
      <c r="E59" s="78" t="s">
        <v>14</v>
      </c>
      <c r="F59" s="177" t="s">
        <v>15</v>
      </c>
      <c r="G59" s="145" t="s">
        <v>35</v>
      </c>
    </row>
    <row r="60" spans="1:7" x14ac:dyDescent="0.25">
      <c r="A60" s="146">
        <v>1</v>
      </c>
      <c r="B60" s="146">
        <v>2</v>
      </c>
      <c r="C60" s="1801">
        <v>3</v>
      </c>
      <c r="D60" s="1802"/>
      <c r="E60" s="54">
        <v>4</v>
      </c>
      <c r="F60" s="167">
        <v>5</v>
      </c>
      <c r="G60" s="147">
        <v>6</v>
      </c>
    </row>
    <row r="61" spans="1:7" x14ac:dyDescent="0.25">
      <c r="A61" s="2" t="s">
        <v>588</v>
      </c>
      <c r="B61" s="4" t="s">
        <v>553</v>
      </c>
      <c r="C61" s="142"/>
      <c r="D61" s="143"/>
      <c r="E61" s="73"/>
      <c r="F61" s="142"/>
      <c r="G61" s="20"/>
    </row>
    <row r="62" spans="1:7" x14ac:dyDescent="0.25">
      <c r="A62" s="2" t="s">
        <v>589</v>
      </c>
      <c r="B62" s="4" t="s">
        <v>88</v>
      </c>
      <c r="C62" s="142"/>
      <c r="D62" s="143"/>
      <c r="E62" s="73"/>
      <c r="F62" s="142"/>
      <c r="G62" s="20"/>
    </row>
    <row r="63" spans="1:7" x14ac:dyDescent="0.25">
      <c r="A63" s="2" t="s">
        <v>590</v>
      </c>
      <c r="B63" s="4" t="s">
        <v>354</v>
      </c>
      <c r="C63" s="6"/>
      <c r="D63" s="25"/>
      <c r="E63" s="12"/>
      <c r="F63" s="74"/>
      <c r="G63" s="152"/>
    </row>
    <row r="64" spans="1:7" x14ac:dyDescent="0.25">
      <c r="A64" s="20"/>
      <c r="B64" s="16" t="s">
        <v>591</v>
      </c>
      <c r="C64" s="6">
        <v>60</v>
      </c>
      <c r="D64" s="25" t="s">
        <v>565</v>
      </c>
      <c r="E64" s="12">
        <v>15000</v>
      </c>
      <c r="F64" s="74">
        <f>E64*C64</f>
        <v>900000</v>
      </c>
      <c r="G64" s="152"/>
    </row>
    <row r="65" spans="1:7" x14ac:dyDescent="0.25">
      <c r="A65" s="20"/>
      <c r="B65" s="16"/>
      <c r="C65" s="6"/>
      <c r="D65" s="25"/>
      <c r="E65" s="12"/>
      <c r="F65" s="74"/>
      <c r="G65" s="152"/>
    </row>
    <row r="66" spans="1:7" x14ac:dyDescent="0.25">
      <c r="A66" s="2" t="s">
        <v>592</v>
      </c>
      <c r="B66" s="4" t="s">
        <v>376</v>
      </c>
      <c r="C66" s="6"/>
      <c r="D66" s="25"/>
      <c r="E66" s="12"/>
      <c r="F66" s="74"/>
      <c r="G66" s="152"/>
    </row>
    <row r="67" spans="1:7" x14ac:dyDescent="0.25">
      <c r="A67" s="20"/>
      <c r="B67" s="16" t="s">
        <v>377</v>
      </c>
      <c r="C67" s="6">
        <v>1</v>
      </c>
      <c r="D67" s="25" t="s">
        <v>102</v>
      </c>
      <c r="E67" s="12">
        <v>90000</v>
      </c>
      <c r="F67" s="74">
        <f>E67*C67</f>
        <v>90000</v>
      </c>
      <c r="G67" s="152"/>
    </row>
    <row r="68" spans="1:7" x14ac:dyDescent="0.25">
      <c r="A68" s="20"/>
      <c r="B68" s="16"/>
      <c r="C68" s="6"/>
      <c r="D68" s="25"/>
      <c r="E68" s="12"/>
      <c r="F68" s="74"/>
      <c r="G68" s="152"/>
    </row>
    <row r="69" spans="1:7" x14ac:dyDescent="0.25">
      <c r="A69" s="16" t="s">
        <v>593</v>
      </c>
      <c r="B69" s="4" t="s">
        <v>495</v>
      </c>
      <c r="C69" s="6"/>
      <c r="D69" s="25"/>
      <c r="E69" s="12"/>
      <c r="F69" s="258"/>
      <c r="G69" s="152"/>
    </row>
    <row r="70" spans="1:7" x14ac:dyDescent="0.25">
      <c r="A70" s="16"/>
      <c r="B70" s="16" t="s">
        <v>496</v>
      </c>
      <c r="C70" s="6">
        <v>1</v>
      </c>
      <c r="D70" s="25" t="s">
        <v>102</v>
      </c>
      <c r="E70" s="12">
        <v>50000</v>
      </c>
      <c r="F70" s="258">
        <f>E70*C70</f>
        <v>50000</v>
      </c>
      <c r="G70" s="152"/>
    </row>
    <row r="71" spans="1:7" x14ac:dyDescent="0.25">
      <c r="A71" s="16"/>
      <c r="B71" s="16" t="s">
        <v>321</v>
      </c>
      <c r="C71" s="6">
        <v>5</v>
      </c>
      <c r="D71" s="25" t="s">
        <v>186</v>
      </c>
      <c r="E71" s="12">
        <v>3000</v>
      </c>
      <c r="F71" s="258">
        <f>E71*C71</f>
        <v>15000</v>
      </c>
      <c r="G71" s="152"/>
    </row>
    <row r="72" spans="1:7" x14ac:dyDescent="0.25">
      <c r="A72" s="16"/>
      <c r="B72" s="16" t="s">
        <v>335</v>
      </c>
      <c r="C72" s="6">
        <v>1</v>
      </c>
      <c r="D72" s="25" t="s">
        <v>336</v>
      </c>
      <c r="E72" s="12">
        <v>10000</v>
      </c>
      <c r="F72" s="258">
        <f>E72*C72</f>
        <v>10000</v>
      </c>
      <c r="G72" s="152"/>
    </row>
    <row r="73" spans="1:7" x14ac:dyDescent="0.25">
      <c r="A73" s="16"/>
      <c r="B73" s="16"/>
      <c r="C73" s="6"/>
      <c r="D73" s="25"/>
      <c r="E73" s="12"/>
      <c r="F73" s="258"/>
      <c r="G73" s="152"/>
    </row>
    <row r="74" spans="1:7" x14ac:dyDescent="0.25">
      <c r="A74" s="2" t="s">
        <v>594</v>
      </c>
      <c r="B74" s="16" t="s">
        <v>340</v>
      </c>
      <c r="C74" s="6"/>
      <c r="D74" s="25"/>
      <c r="E74" s="21"/>
      <c r="F74" s="74"/>
      <c r="G74" s="152"/>
    </row>
    <row r="75" spans="1:7" ht="24.75" x14ac:dyDescent="0.25">
      <c r="A75" s="2" t="s">
        <v>595</v>
      </c>
      <c r="B75" s="4" t="s">
        <v>575</v>
      </c>
      <c r="C75" s="6"/>
      <c r="D75" s="25"/>
      <c r="E75" s="21"/>
      <c r="F75" s="74"/>
      <c r="G75" s="152"/>
    </row>
    <row r="76" spans="1:7" x14ac:dyDescent="0.25">
      <c r="A76" s="20"/>
      <c r="B76" s="16" t="s">
        <v>471</v>
      </c>
      <c r="C76" s="6">
        <v>1</v>
      </c>
      <c r="D76" s="25" t="s">
        <v>315</v>
      </c>
      <c r="E76" s="21">
        <v>300000</v>
      </c>
      <c r="F76" s="74">
        <f>E76*C76</f>
        <v>300000</v>
      </c>
      <c r="G76" s="152"/>
    </row>
    <row r="77" spans="1:7" x14ac:dyDescent="0.25">
      <c r="A77" s="20"/>
      <c r="B77" s="16" t="s">
        <v>596</v>
      </c>
      <c r="C77" s="6">
        <v>1</v>
      </c>
      <c r="D77" s="25" t="s">
        <v>315</v>
      </c>
      <c r="E77" s="21">
        <v>250000</v>
      </c>
      <c r="F77" s="74">
        <f>E77*C77</f>
        <v>250000</v>
      </c>
      <c r="G77" s="152"/>
    </row>
    <row r="78" spans="1:7" x14ac:dyDescent="0.25">
      <c r="A78" s="20"/>
      <c r="B78" s="16" t="s">
        <v>576</v>
      </c>
      <c r="C78" s="6">
        <v>3</v>
      </c>
      <c r="D78" s="25" t="s">
        <v>315</v>
      </c>
      <c r="E78" s="21">
        <v>200000</v>
      </c>
      <c r="F78" s="74">
        <f>E78*C78</f>
        <v>600000</v>
      </c>
      <c r="G78" s="152"/>
    </row>
    <row r="79" spans="1:7" x14ac:dyDescent="0.25">
      <c r="A79" s="20"/>
      <c r="B79" s="16"/>
      <c r="C79" s="6"/>
      <c r="D79" s="25"/>
      <c r="E79" s="21"/>
      <c r="F79" s="74"/>
      <c r="G79" s="152"/>
    </row>
    <row r="80" spans="1:7" ht="24.75" x14ac:dyDescent="0.25">
      <c r="A80" s="16" t="s">
        <v>597</v>
      </c>
      <c r="B80" s="4" t="s">
        <v>484</v>
      </c>
      <c r="C80" s="6"/>
      <c r="D80" s="25"/>
      <c r="E80" s="21"/>
      <c r="F80" s="74"/>
      <c r="G80" s="152"/>
    </row>
    <row r="81" spans="1:8" x14ac:dyDescent="0.25">
      <c r="A81" s="20"/>
      <c r="B81" s="4" t="s">
        <v>598</v>
      </c>
      <c r="C81" s="6">
        <v>4</v>
      </c>
      <c r="D81" s="25" t="s">
        <v>461</v>
      </c>
      <c r="E81" s="21">
        <v>300000</v>
      </c>
      <c r="F81" s="74">
        <f>E81*C81</f>
        <v>1200000</v>
      </c>
      <c r="G81" s="152"/>
    </row>
    <row r="82" spans="1:8" x14ac:dyDescent="0.25">
      <c r="A82" s="20"/>
      <c r="B82" s="16"/>
      <c r="C82" s="6"/>
      <c r="D82" s="25"/>
      <c r="E82" s="12"/>
      <c r="F82" s="74"/>
      <c r="G82" s="152"/>
    </row>
    <row r="83" spans="1:8" ht="24.75" x14ac:dyDescent="0.25">
      <c r="A83" s="2" t="s">
        <v>599</v>
      </c>
      <c r="B83" s="4" t="s">
        <v>577</v>
      </c>
      <c r="C83" s="6"/>
      <c r="D83" s="25"/>
      <c r="E83" s="12"/>
      <c r="F83" s="74"/>
      <c r="G83" s="152"/>
    </row>
    <row r="84" spans="1:8" ht="24.75" x14ac:dyDescent="0.25">
      <c r="A84" s="16" t="s">
        <v>600</v>
      </c>
      <c r="B84" s="4" t="s">
        <v>578</v>
      </c>
      <c r="C84" s="6"/>
      <c r="D84" s="25"/>
      <c r="E84" s="12"/>
      <c r="F84" s="74"/>
      <c r="G84" s="152"/>
    </row>
    <row r="85" spans="1:8" x14ac:dyDescent="0.25">
      <c r="A85" s="20"/>
      <c r="B85" s="16" t="s">
        <v>1856</v>
      </c>
      <c r="C85" s="6"/>
      <c r="D85" s="25"/>
      <c r="E85" s="12"/>
      <c r="F85" s="74"/>
      <c r="G85" s="152"/>
    </row>
    <row r="86" spans="1:8" x14ac:dyDescent="0.25">
      <c r="A86" s="20"/>
      <c r="B86" s="16" t="s">
        <v>1857</v>
      </c>
      <c r="C86" s="6">
        <v>30</v>
      </c>
      <c r="D86" s="25" t="s">
        <v>1858</v>
      </c>
      <c r="E86" s="12">
        <v>27000</v>
      </c>
      <c r="F86" s="74">
        <f t="shared" ref="F86:F101" si="1">E86*C86</f>
        <v>810000</v>
      </c>
      <c r="G86" s="152"/>
    </row>
    <row r="87" spans="1:8" x14ac:dyDescent="0.25">
      <c r="A87" s="20"/>
      <c r="B87" s="16" t="s">
        <v>1859</v>
      </c>
      <c r="C87" s="6">
        <v>10</v>
      </c>
      <c r="D87" s="25" t="s">
        <v>259</v>
      </c>
      <c r="E87" s="12">
        <v>159000</v>
      </c>
      <c r="F87" s="74">
        <f t="shared" si="1"/>
        <v>1590000</v>
      </c>
      <c r="G87" s="152"/>
    </row>
    <row r="88" spans="1:8" x14ac:dyDescent="0.25">
      <c r="A88" s="20"/>
      <c r="B88" s="16" t="s">
        <v>1860</v>
      </c>
      <c r="C88" s="6">
        <v>20</v>
      </c>
      <c r="D88" s="25" t="s">
        <v>984</v>
      </c>
      <c r="E88" s="12">
        <v>260000</v>
      </c>
      <c r="F88" s="74">
        <f t="shared" si="1"/>
        <v>5200000</v>
      </c>
      <c r="G88" s="152"/>
    </row>
    <row r="89" spans="1:8" x14ac:dyDescent="0.25">
      <c r="A89" s="20"/>
      <c r="B89" s="16" t="s">
        <v>1861</v>
      </c>
      <c r="C89" s="6">
        <v>200</v>
      </c>
      <c r="D89" s="25" t="s">
        <v>180</v>
      </c>
      <c r="E89" s="12">
        <v>1500</v>
      </c>
      <c r="F89" s="74">
        <f t="shared" si="1"/>
        <v>300000</v>
      </c>
      <c r="G89" s="152"/>
    </row>
    <row r="90" spans="1:8" x14ac:dyDescent="0.25">
      <c r="A90" s="20"/>
      <c r="B90" s="253" t="s">
        <v>1862</v>
      </c>
      <c r="C90" s="220">
        <v>100</v>
      </c>
      <c r="D90" s="169" t="s">
        <v>180</v>
      </c>
      <c r="E90" s="103">
        <v>21000</v>
      </c>
      <c r="F90" s="74">
        <f t="shared" si="1"/>
        <v>2100000</v>
      </c>
      <c r="G90" s="152"/>
    </row>
    <row r="91" spans="1:8" x14ac:dyDescent="0.25">
      <c r="A91" s="20"/>
      <c r="B91" s="253" t="s">
        <v>1863</v>
      </c>
      <c r="C91" s="220">
        <v>40</v>
      </c>
      <c r="D91" s="169" t="s">
        <v>180</v>
      </c>
      <c r="E91" s="103">
        <v>53000</v>
      </c>
      <c r="F91" s="74">
        <f t="shared" si="1"/>
        <v>2120000</v>
      </c>
      <c r="G91" s="152"/>
    </row>
    <row r="92" spans="1:8" x14ac:dyDescent="0.25">
      <c r="A92" s="1627"/>
      <c r="B92" s="1643" t="s">
        <v>1864</v>
      </c>
      <c r="C92" s="1644">
        <v>1</v>
      </c>
      <c r="D92" s="1645" t="s">
        <v>259</v>
      </c>
      <c r="E92" s="1646">
        <v>26600000</v>
      </c>
      <c r="F92" s="1647">
        <f t="shared" si="1"/>
        <v>26600000</v>
      </c>
      <c r="G92" s="1648"/>
      <c r="H92" s="286"/>
    </row>
    <row r="93" spans="1:8" x14ac:dyDescent="0.25">
      <c r="A93" s="20"/>
      <c r="B93" s="253" t="s">
        <v>1865</v>
      </c>
      <c r="C93" s="220">
        <v>10</v>
      </c>
      <c r="D93" s="169" t="s">
        <v>180</v>
      </c>
      <c r="E93" s="103">
        <v>39600</v>
      </c>
      <c r="F93" s="74">
        <f t="shared" si="1"/>
        <v>396000</v>
      </c>
      <c r="G93" s="152"/>
    </row>
    <row r="94" spans="1:8" x14ac:dyDescent="0.25">
      <c r="A94" s="20"/>
      <c r="B94" s="253" t="s">
        <v>1866</v>
      </c>
      <c r="C94" s="220">
        <v>8</v>
      </c>
      <c r="D94" s="169" t="s">
        <v>139</v>
      </c>
      <c r="E94" s="103">
        <v>192000</v>
      </c>
      <c r="F94" s="74">
        <f t="shared" si="1"/>
        <v>1536000</v>
      </c>
      <c r="G94" s="152"/>
    </row>
    <row r="95" spans="1:8" x14ac:dyDescent="0.25">
      <c r="A95" s="20"/>
      <c r="B95" s="253" t="s">
        <v>1867</v>
      </c>
      <c r="C95" s="220">
        <v>15</v>
      </c>
      <c r="D95" s="169" t="s">
        <v>917</v>
      </c>
      <c r="E95" s="103">
        <v>96000</v>
      </c>
      <c r="F95" s="74">
        <f t="shared" si="1"/>
        <v>1440000</v>
      </c>
      <c r="G95" s="152"/>
    </row>
    <row r="96" spans="1:8" x14ac:dyDescent="0.25">
      <c r="A96" s="20"/>
      <c r="B96" s="253" t="s">
        <v>1868</v>
      </c>
      <c r="C96" s="220">
        <v>6</v>
      </c>
      <c r="D96" s="169" t="s">
        <v>178</v>
      </c>
      <c r="E96" s="103">
        <v>54000</v>
      </c>
      <c r="F96" s="74">
        <f t="shared" si="1"/>
        <v>324000</v>
      </c>
      <c r="G96" s="152"/>
    </row>
    <row r="97" spans="1:10" x14ac:dyDescent="0.25">
      <c r="A97" s="20"/>
      <c r="B97" s="253" t="s">
        <v>1869</v>
      </c>
      <c r="C97" s="220">
        <v>8</v>
      </c>
      <c r="D97" s="169" t="s">
        <v>178</v>
      </c>
      <c r="E97" s="103">
        <v>57000</v>
      </c>
      <c r="F97" s="74">
        <f t="shared" si="1"/>
        <v>456000</v>
      </c>
      <c r="G97" s="152"/>
    </row>
    <row r="98" spans="1:10" x14ac:dyDescent="0.25">
      <c r="A98" s="20"/>
      <c r="B98" s="253" t="s">
        <v>1870</v>
      </c>
      <c r="C98" s="220">
        <v>4</v>
      </c>
      <c r="D98" s="169" t="s">
        <v>150</v>
      </c>
      <c r="E98" s="103">
        <v>54000</v>
      </c>
      <c r="F98" s="74">
        <f t="shared" si="1"/>
        <v>216000</v>
      </c>
      <c r="G98" s="152"/>
    </row>
    <row r="99" spans="1:10" x14ac:dyDescent="0.25">
      <c r="A99" s="20"/>
      <c r="B99" s="253" t="s">
        <v>1871</v>
      </c>
      <c r="C99" s="220">
        <v>8</v>
      </c>
      <c r="D99" s="169" t="s">
        <v>112</v>
      </c>
      <c r="E99" s="103">
        <v>12000</v>
      </c>
      <c r="F99" s="74">
        <f t="shared" si="1"/>
        <v>96000</v>
      </c>
      <c r="G99" s="152"/>
    </row>
    <row r="100" spans="1:10" x14ac:dyDescent="0.25">
      <c r="A100" s="20"/>
      <c r="B100" s="253" t="s">
        <v>1872</v>
      </c>
      <c r="C100" s="220">
        <v>21</v>
      </c>
      <c r="D100" s="169" t="s">
        <v>139</v>
      </c>
      <c r="E100" s="103">
        <v>114000</v>
      </c>
      <c r="F100" s="74">
        <f t="shared" si="1"/>
        <v>2394000</v>
      </c>
      <c r="G100" s="152"/>
    </row>
    <row r="101" spans="1:10" x14ac:dyDescent="0.25">
      <c r="A101" s="20"/>
      <c r="B101" s="253" t="s">
        <v>1873</v>
      </c>
      <c r="C101" s="220">
        <v>6</v>
      </c>
      <c r="D101" s="169" t="s">
        <v>112</v>
      </c>
      <c r="E101" s="103">
        <v>174000</v>
      </c>
      <c r="F101" s="74">
        <f t="shared" si="1"/>
        <v>1044000</v>
      </c>
      <c r="G101" s="152"/>
    </row>
    <row r="102" spans="1:10" x14ac:dyDescent="0.25">
      <c r="A102" s="20"/>
      <c r="B102" s="336"/>
      <c r="C102" s="377"/>
      <c r="D102" s="378"/>
      <c r="E102" s="75"/>
      <c r="F102" s="362"/>
      <c r="G102" s="179"/>
    </row>
    <row r="103" spans="1:10" x14ac:dyDescent="0.25">
      <c r="A103" s="184"/>
      <c r="B103" s="1850" t="s">
        <v>27</v>
      </c>
      <c r="C103" s="1850"/>
      <c r="D103" s="1850"/>
      <c r="E103" s="1850"/>
      <c r="F103" s="187">
        <f>SUM(F63:F102)</f>
        <v>50037000</v>
      </c>
      <c r="G103" s="187" t="s">
        <v>2387</v>
      </c>
      <c r="I103" s="175">
        <f>F103</f>
        <v>50037000</v>
      </c>
      <c r="J103" s="175"/>
    </row>
    <row r="104" spans="1:10" x14ac:dyDescent="0.25">
      <c r="A104" s="240"/>
      <c r="B104" s="240"/>
      <c r="C104" s="240"/>
      <c r="D104" s="240"/>
      <c r="E104" s="240"/>
      <c r="F104" s="240"/>
      <c r="G104" s="240"/>
    </row>
    <row r="105" spans="1:10" x14ac:dyDescent="0.25">
      <c r="A105" s="1807" t="s">
        <v>614</v>
      </c>
      <c r="B105" s="1807"/>
      <c r="C105" s="5" t="s">
        <v>28</v>
      </c>
      <c r="D105" s="1808" t="s">
        <v>1698</v>
      </c>
      <c r="E105" s="1808"/>
      <c r="F105" s="1808"/>
      <c r="G105" s="5"/>
    </row>
    <row r="106" spans="1:10" x14ac:dyDescent="0.25">
      <c r="A106" s="1807" t="s">
        <v>29</v>
      </c>
      <c r="B106" s="1807"/>
      <c r="C106" s="5"/>
      <c r="D106" s="1809" t="s">
        <v>2990</v>
      </c>
      <c r="E106" s="1809"/>
      <c r="F106" s="1809"/>
      <c r="G106" s="5"/>
    </row>
    <row r="107" spans="1:10" x14ac:dyDescent="0.25">
      <c r="A107" s="1"/>
      <c r="B107" s="3"/>
      <c r="C107" s="5"/>
      <c r="D107" s="7"/>
      <c r="E107" s="17"/>
      <c r="F107" s="17"/>
      <c r="G107" s="5"/>
    </row>
    <row r="108" spans="1:10" x14ac:dyDescent="0.25">
      <c r="A108" s="1"/>
      <c r="B108" s="3"/>
      <c r="C108" s="5"/>
      <c r="D108" s="7"/>
      <c r="E108" s="17"/>
      <c r="F108" s="17"/>
      <c r="G108" s="5"/>
    </row>
    <row r="109" spans="1:10" x14ac:dyDescent="0.25">
      <c r="A109" s="1807"/>
      <c r="B109" s="1807"/>
      <c r="C109" s="5"/>
      <c r="D109" s="7"/>
      <c r="E109" s="1807"/>
      <c r="F109" s="1807"/>
      <c r="G109" s="5"/>
    </row>
    <row r="110" spans="1:10" x14ac:dyDescent="0.25">
      <c r="A110" s="1807" t="s">
        <v>30</v>
      </c>
      <c r="B110" s="1807"/>
      <c r="C110" s="5"/>
      <c r="D110" s="1807" t="s">
        <v>2991</v>
      </c>
      <c r="E110" s="1807"/>
      <c r="F110" s="1807"/>
      <c r="G110" s="5"/>
    </row>
    <row r="111" spans="1:10" x14ac:dyDescent="0.25">
      <c r="A111" s="2037" t="s">
        <v>0</v>
      </c>
      <c r="B111" s="2037"/>
      <c r="C111" s="2037"/>
      <c r="D111" s="2037"/>
      <c r="E111" s="2037"/>
      <c r="F111" s="2037"/>
      <c r="G111" s="2037"/>
    </row>
    <row r="112" spans="1:10" x14ac:dyDescent="0.25">
      <c r="A112" s="2037" t="s">
        <v>1</v>
      </c>
      <c r="B112" s="2037"/>
      <c r="C112" s="2037"/>
      <c r="D112" s="2037"/>
      <c r="E112" s="2037"/>
      <c r="F112" s="2037"/>
      <c r="G112" s="2037"/>
    </row>
    <row r="113" spans="1:7" x14ac:dyDescent="0.25">
      <c r="A113" s="2037" t="s">
        <v>1697</v>
      </c>
      <c r="B113" s="2037"/>
      <c r="C113" s="2037"/>
      <c r="D113" s="2037"/>
      <c r="E113" s="2037"/>
      <c r="F113" s="2037"/>
      <c r="G113" s="2037"/>
    </row>
    <row r="114" spans="1:7" x14ac:dyDescent="0.25">
      <c r="A114" s="1095"/>
      <c r="B114" s="1095"/>
      <c r="C114" s="1118"/>
      <c r="D114" s="1118"/>
      <c r="E114" s="1119"/>
      <c r="F114" s="1095"/>
      <c r="G114" s="440"/>
    </row>
    <row r="115" spans="1:7" x14ac:dyDescent="0.25">
      <c r="A115" s="1120" t="s">
        <v>549</v>
      </c>
      <c r="B115" s="1120" t="s">
        <v>486</v>
      </c>
      <c r="C115" s="1120"/>
      <c r="D115" s="1120"/>
      <c r="E115" s="440"/>
      <c r="F115" s="440"/>
      <c r="G115" s="1119"/>
    </row>
    <row r="116" spans="1:7" x14ac:dyDescent="0.25">
      <c r="A116" s="1121" t="s">
        <v>550</v>
      </c>
      <c r="B116" s="1122" t="s">
        <v>2390</v>
      </c>
      <c r="C116" s="1120"/>
      <c r="D116" s="1120"/>
      <c r="E116" s="1123" t="s">
        <v>6</v>
      </c>
      <c r="F116" s="1123"/>
      <c r="G116" s="1120"/>
    </row>
    <row r="117" spans="1:7" ht="60" x14ac:dyDescent="0.25">
      <c r="A117" s="1121" t="s">
        <v>551</v>
      </c>
      <c r="B117" s="1122" t="s">
        <v>2820</v>
      </c>
      <c r="C117" s="1120"/>
      <c r="D117" s="1120"/>
      <c r="E117" s="1124" t="s">
        <v>9</v>
      </c>
      <c r="F117" s="1125"/>
      <c r="G117" s="1120"/>
    </row>
    <row r="118" spans="1:7" ht="30" x14ac:dyDescent="0.25">
      <c r="A118" s="1126" t="s">
        <v>464</v>
      </c>
      <c r="B118" s="1120" t="s">
        <v>63</v>
      </c>
      <c r="C118" s="1120"/>
      <c r="D118" s="1120"/>
      <c r="E118" s="1120"/>
      <c r="F118" s="1120"/>
      <c r="G118" s="1120"/>
    </row>
    <row r="119" spans="1:7" x14ac:dyDescent="0.25">
      <c r="A119" s="1120" t="s">
        <v>64</v>
      </c>
      <c r="B119" s="1120"/>
      <c r="C119" s="1120"/>
      <c r="D119" s="1127"/>
      <c r="E119" s="1128"/>
      <c r="F119" s="1120"/>
      <c r="G119" s="1120"/>
    </row>
    <row r="120" spans="1:7" x14ac:dyDescent="0.25">
      <c r="A120" s="440"/>
      <c r="B120" s="440"/>
      <c r="C120" s="440"/>
      <c r="D120" s="440"/>
      <c r="E120" s="440"/>
      <c r="F120" s="440"/>
      <c r="G120" s="440"/>
    </row>
    <row r="121" spans="1:7" ht="30" x14ac:dyDescent="0.25">
      <c r="A121" s="1097" t="s">
        <v>31</v>
      </c>
      <c r="B121" s="1097" t="s">
        <v>12</v>
      </c>
      <c r="C121" s="2038" t="s">
        <v>13</v>
      </c>
      <c r="D121" s="2039"/>
      <c r="E121" s="1129" t="s">
        <v>14</v>
      </c>
      <c r="F121" s="1099" t="s">
        <v>15</v>
      </c>
      <c r="G121" s="1130" t="s">
        <v>405</v>
      </c>
    </row>
    <row r="122" spans="1:7" x14ac:dyDescent="0.25">
      <c r="A122" s="1131">
        <v>1</v>
      </c>
      <c r="B122" s="1131">
        <v>2</v>
      </c>
      <c r="C122" s="2040">
        <v>3</v>
      </c>
      <c r="D122" s="2041"/>
      <c r="E122" s="1105">
        <v>4</v>
      </c>
      <c r="F122" s="1103">
        <v>5</v>
      </c>
      <c r="G122" s="1132">
        <v>6</v>
      </c>
    </row>
    <row r="123" spans="1:7" ht="43.5" x14ac:dyDescent="0.25">
      <c r="A123" s="1111"/>
      <c r="B123" s="1133" t="s">
        <v>2391</v>
      </c>
      <c r="C123" s="1107"/>
      <c r="D123" s="1108"/>
      <c r="E123" s="1109"/>
      <c r="F123" s="1110"/>
      <c r="G123" s="1134"/>
    </row>
    <row r="124" spans="1:7" x14ac:dyDescent="0.25">
      <c r="A124" s="1101" t="s">
        <v>2392</v>
      </c>
      <c r="B124" s="1102" t="s">
        <v>553</v>
      </c>
      <c r="C124" s="1103"/>
      <c r="D124" s="1104"/>
      <c r="E124" s="1105"/>
      <c r="F124" s="1103"/>
      <c r="G124" s="1131"/>
    </row>
    <row r="125" spans="1:7" x14ac:dyDescent="0.25">
      <c r="A125" s="1101" t="s">
        <v>2393</v>
      </c>
      <c r="B125" s="1102" t="s">
        <v>88</v>
      </c>
      <c r="C125" s="1103"/>
      <c r="D125" s="1104"/>
      <c r="E125" s="1105"/>
      <c r="F125" s="1103"/>
      <c r="G125" s="1131"/>
    </row>
    <row r="126" spans="1:7" ht="30" x14ac:dyDescent="0.25">
      <c r="A126" s="1101" t="s">
        <v>2394</v>
      </c>
      <c r="B126" s="1102" t="s">
        <v>354</v>
      </c>
      <c r="C126" s="1134"/>
      <c r="D126" s="1134"/>
      <c r="E126" s="1109"/>
      <c r="F126" s="1110"/>
      <c r="G126" s="1134"/>
    </row>
    <row r="127" spans="1:7" ht="30" x14ac:dyDescent="0.25">
      <c r="A127" s="1111"/>
      <c r="B127" s="1102" t="s">
        <v>2395</v>
      </c>
      <c r="C127" s="1134">
        <v>35</v>
      </c>
      <c r="D127" s="1134" t="s">
        <v>565</v>
      </c>
      <c r="E127" s="1109">
        <v>15000</v>
      </c>
      <c r="F127" s="1110">
        <f>E127*C127</f>
        <v>525000</v>
      </c>
      <c r="G127" s="1134"/>
    </row>
    <row r="128" spans="1:7" x14ac:dyDescent="0.25">
      <c r="A128" s="1111"/>
      <c r="B128" s="1111"/>
      <c r="C128" s="1134"/>
      <c r="D128" s="1134"/>
      <c r="E128" s="1109"/>
      <c r="F128" s="1110"/>
      <c r="G128" s="1134"/>
    </row>
    <row r="129" spans="1:7" ht="30" x14ac:dyDescent="0.25">
      <c r="A129" s="1101" t="s">
        <v>2396</v>
      </c>
      <c r="B129" s="1102" t="s">
        <v>376</v>
      </c>
      <c r="C129" s="1134"/>
      <c r="D129" s="1134"/>
      <c r="E129" s="1109"/>
      <c r="F129" s="1110"/>
      <c r="G129" s="1134"/>
    </row>
    <row r="130" spans="1:7" x14ac:dyDescent="0.25">
      <c r="A130" s="1111"/>
      <c r="B130" s="1102" t="s">
        <v>377</v>
      </c>
      <c r="C130" s="1134">
        <v>1</v>
      </c>
      <c r="D130" s="1134" t="s">
        <v>102</v>
      </c>
      <c r="E130" s="1109">
        <v>90000</v>
      </c>
      <c r="F130" s="1110">
        <f>E130*C130</f>
        <v>90000</v>
      </c>
      <c r="G130" s="1134"/>
    </row>
    <row r="131" spans="1:7" x14ac:dyDescent="0.25">
      <c r="A131" s="1111"/>
      <c r="B131" s="1102"/>
      <c r="C131" s="1134"/>
      <c r="D131" s="1134"/>
      <c r="E131" s="1109"/>
      <c r="F131" s="1110"/>
      <c r="G131" s="1134"/>
    </row>
    <row r="132" spans="1:7" x14ac:dyDescent="0.25">
      <c r="A132" s="1101" t="s">
        <v>2397</v>
      </c>
      <c r="B132" s="1102" t="s">
        <v>574</v>
      </c>
      <c r="C132" s="1134"/>
      <c r="D132" s="1134"/>
      <c r="E132" s="1109"/>
      <c r="F132" s="1110"/>
      <c r="G132" s="1134"/>
    </row>
    <row r="133" spans="1:7" x14ac:dyDescent="0.25">
      <c r="A133" s="1111"/>
      <c r="B133" s="1102" t="s">
        <v>496</v>
      </c>
      <c r="C133" s="1134">
        <v>1</v>
      </c>
      <c r="D133" s="1134" t="s">
        <v>102</v>
      </c>
      <c r="E133" s="1109">
        <v>50000</v>
      </c>
      <c r="F133" s="1110">
        <f>E133*C133</f>
        <v>50000</v>
      </c>
      <c r="G133" s="1134"/>
    </row>
    <row r="134" spans="1:7" x14ac:dyDescent="0.25">
      <c r="A134" s="1111"/>
      <c r="B134" s="1102" t="s">
        <v>321</v>
      </c>
      <c r="C134" s="1134">
        <v>5</v>
      </c>
      <c r="D134" s="1134" t="s">
        <v>186</v>
      </c>
      <c r="E134" s="1109">
        <v>1000</v>
      </c>
      <c r="F134" s="1110">
        <f>E134*C134</f>
        <v>5000</v>
      </c>
      <c r="G134" s="1134"/>
    </row>
    <row r="135" spans="1:7" x14ac:dyDescent="0.25">
      <c r="A135" s="1111"/>
      <c r="B135" s="1102" t="s">
        <v>335</v>
      </c>
      <c r="C135" s="1134">
        <v>1</v>
      </c>
      <c r="D135" s="1134" t="s">
        <v>336</v>
      </c>
      <c r="E135" s="1109">
        <v>10000</v>
      </c>
      <c r="F135" s="1110">
        <f>E135*C135</f>
        <v>10000</v>
      </c>
      <c r="G135" s="1134"/>
    </row>
    <row r="136" spans="1:7" x14ac:dyDescent="0.25">
      <c r="A136" s="1111"/>
      <c r="B136" s="1102"/>
      <c r="C136" s="1134"/>
      <c r="D136" s="1134"/>
      <c r="E136" s="1109"/>
      <c r="F136" s="1110"/>
      <c r="G136" s="1134"/>
    </row>
    <row r="137" spans="1:7" x14ac:dyDescent="0.25">
      <c r="A137" s="1101" t="s">
        <v>2398</v>
      </c>
      <c r="B137" s="1102" t="s">
        <v>2399</v>
      </c>
      <c r="C137" s="1134"/>
      <c r="D137" s="1134"/>
      <c r="E137" s="1135"/>
      <c r="F137" s="1110"/>
      <c r="G137" s="1134"/>
    </row>
    <row r="138" spans="1:7" ht="30" x14ac:dyDescent="0.25">
      <c r="A138" s="1101" t="s">
        <v>2400</v>
      </c>
      <c r="B138" s="1102" t="s">
        <v>2401</v>
      </c>
      <c r="C138" s="1134"/>
      <c r="D138" s="1134"/>
      <c r="E138" s="1109"/>
      <c r="F138" s="1110"/>
      <c r="G138" s="1134"/>
    </row>
    <row r="139" spans="1:7" ht="30" x14ac:dyDescent="0.25">
      <c r="A139" s="1101" t="s">
        <v>2402</v>
      </c>
      <c r="B139" s="1102" t="s">
        <v>578</v>
      </c>
      <c r="C139" s="1134"/>
      <c r="D139" s="1134"/>
      <c r="E139" s="1109"/>
      <c r="F139" s="1110"/>
      <c r="G139" s="1134"/>
    </row>
    <row r="140" spans="1:7" x14ac:dyDescent="0.25">
      <c r="A140" s="1111"/>
      <c r="B140" s="1102" t="s">
        <v>2403</v>
      </c>
      <c r="C140" s="1136">
        <v>2500</v>
      </c>
      <c r="D140" s="1134" t="s">
        <v>129</v>
      </c>
      <c r="E140" s="1117">
        <v>3000</v>
      </c>
      <c r="F140" s="1110">
        <f t="shared" ref="F140:F145" si="2">E140*C140</f>
        <v>7500000</v>
      </c>
      <c r="G140" s="1137"/>
    </row>
    <row r="141" spans="1:7" x14ac:dyDescent="0.25">
      <c r="A141" s="1111"/>
      <c r="B141" s="1102" t="s">
        <v>2404</v>
      </c>
      <c r="C141" s="1138">
        <v>130</v>
      </c>
      <c r="D141" s="1134" t="s">
        <v>1938</v>
      </c>
      <c r="E141" s="1109">
        <v>20000</v>
      </c>
      <c r="F141" s="1110">
        <f t="shared" si="2"/>
        <v>2600000</v>
      </c>
      <c r="G141" s="1138"/>
    </row>
    <row r="142" spans="1:7" ht="30" x14ac:dyDescent="0.25">
      <c r="A142" s="1139"/>
      <c r="B142" s="1102" t="s">
        <v>2405</v>
      </c>
      <c r="C142" s="1138">
        <v>130</v>
      </c>
      <c r="D142" s="1134" t="s">
        <v>2406</v>
      </c>
      <c r="E142" s="1109">
        <v>30000</v>
      </c>
      <c r="F142" s="1110">
        <f t="shared" si="2"/>
        <v>3900000</v>
      </c>
      <c r="G142" s="1138"/>
    </row>
    <row r="143" spans="1:7" x14ac:dyDescent="0.25">
      <c r="A143" s="1139"/>
      <c r="B143" s="1102" t="s">
        <v>2407</v>
      </c>
      <c r="C143" s="1138">
        <v>15</v>
      </c>
      <c r="D143" s="1134" t="s">
        <v>1938</v>
      </c>
      <c r="E143" s="1109">
        <v>20000</v>
      </c>
      <c r="F143" s="1110">
        <f t="shared" si="2"/>
        <v>300000</v>
      </c>
      <c r="G143" s="1138"/>
    </row>
    <row r="144" spans="1:7" x14ac:dyDescent="0.25">
      <c r="A144" s="1139"/>
      <c r="B144" s="1102" t="s">
        <v>2408</v>
      </c>
      <c r="C144" s="1138">
        <v>65</v>
      </c>
      <c r="D144" s="1134" t="s">
        <v>2409</v>
      </c>
      <c r="E144" s="1109">
        <v>100000</v>
      </c>
      <c r="F144" s="1110">
        <f t="shared" si="2"/>
        <v>6500000</v>
      </c>
      <c r="G144" s="1138"/>
    </row>
    <row r="145" spans="1:10" x14ac:dyDescent="0.25">
      <c r="A145" s="1139"/>
      <c r="B145" s="1102" t="s">
        <v>2410</v>
      </c>
      <c r="C145" s="1138">
        <v>39</v>
      </c>
      <c r="D145" s="1134" t="s">
        <v>2411</v>
      </c>
      <c r="E145" s="1109">
        <v>50000</v>
      </c>
      <c r="F145" s="1110">
        <f t="shared" si="2"/>
        <v>1950000</v>
      </c>
      <c r="G145" s="1138"/>
    </row>
    <row r="146" spans="1:10" x14ac:dyDescent="0.25">
      <c r="A146" s="1139"/>
      <c r="B146" s="1140"/>
      <c r="C146" s="1141"/>
      <c r="D146" s="1142"/>
      <c r="E146" s="1143"/>
      <c r="F146" s="1110"/>
      <c r="G146" s="1138"/>
    </row>
    <row r="147" spans="1:10" x14ac:dyDescent="0.25">
      <c r="A147" s="1139"/>
      <c r="B147" s="2042" t="s">
        <v>27</v>
      </c>
      <c r="C147" s="2043"/>
      <c r="D147" s="2043"/>
      <c r="E147" s="2044"/>
      <c r="F147" s="1117">
        <f>SUM(F126:F146)</f>
        <v>23430000</v>
      </c>
      <c r="G147" s="1106" t="s">
        <v>2387</v>
      </c>
      <c r="I147" s="175">
        <f>F147</f>
        <v>23430000</v>
      </c>
      <c r="J147" s="175"/>
    </row>
    <row r="148" spans="1:10" x14ac:dyDescent="0.25">
      <c r="A148" s="1807" t="s">
        <v>614</v>
      </c>
      <c r="B148" s="1807"/>
      <c r="C148" s="5" t="s">
        <v>28</v>
      </c>
      <c r="D148" s="1808" t="s">
        <v>1698</v>
      </c>
      <c r="E148" s="1808"/>
      <c r="F148" s="1808"/>
      <c r="G148" s="5"/>
    </row>
    <row r="149" spans="1:10" x14ac:dyDescent="0.25">
      <c r="A149" s="1807" t="s">
        <v>29</v>
      </c>
      <c r="B149" s="1807"/>
      <c r="C149" s="5"/>
      <c r="D149" s="1809" t="s">
        <v>2990</v>
      </c>
      <c r="E149" s="1809"/>
      <c r="F149" s="1809"/>
      <c r="G149" s="5"/>
    </row>
    <row r="150" spans="1:10" x14ac:dyDescent="0.25">
      <c r="A150" s="1"/>
      <c r="B150" s="3"/>
      <c r="C150" s="5"/>
      <c r="D150" s="7"/>
      <c r="E150" s="17"/>
      <c r="F150" s="17"/>
      <c r="G150" s="5"/>
    </row>
    <row r="151" spans="1:10" x14ac:dyDescent="0.25">
      <c r="A151" s="1"/>
      <c r="B151" s="3"/>
      <c r="C151" s="5"/>
      <c r="D151" s="7"/>
      <c r="E151" s="17"/>
      <c r="F151" s="17"/>
      <c r="G151" s="5"/>
    </row>
    <row r="152" spans="1:10" x14ac:dyDescent="0.25">
      <c r="A152" s="1807"/>
      <c r="B152" s="1807"/>
      <c r="C152" s="5"/>
      <c r="D152" s="7"/>
      <c r="E152" s="1807"/>
      <c r="F152" s="1807"/>
      <c r="G152" s="5"/>
    </row>
    <row r="153" spans="1:10" x14ac:dyDescent="0.25">
      <c r="A153" s="1807" t="s">
        <v>30</v>
      </c>
      <c r="B153" s="1807"/>
      <c r="C153" s="5"/>
      <c r="D153" s="1807" t="s">
        <v>2991</v>
      </c>
      <c r="E153" s="1807"/>
      <c r="F153" s="1807"/>
      <c r="G153" s="5"/>
    </row>
    <row r="154" spans="1:10" x14ac:dyDescent="0.25">
      <c r="A154" s="136"/>
      <c r="B154" s="136"/>
      <c r="C154" s="5"/>
      <c r="D154" s="136"/>
      <c r="E154" s="136"/>
      <c r="F154" s="136"/>
      <c r="G154" s="5"/>
    </row>
    <row r="155" spans="1:10" x14ac:dyDescent="0.25">
      <c r="A155" s="136"/>
      <c r="B155" s="136"/>
      <c r="C155" s="5"/>
      <c r="G155" s="5"/>
    </row>
    <row r="156" spans="1:10" x14ac:dyDescent="0.25">
      <c r="A156" s="2028" t="s">
        <v>1247</v>
      </c>
      <c r="B156" s="2028"/>
      <c r="C156" s="2028"/>
      <c r="D156" s="2028"/>
      <c r="E156" s="2028"/>
      <c r="F156" s="2028"/>
      <c r="G156" s="2028"/>
    </row>
    <row r="157" spans="1:10" x14ac:dyDescent="0.25">
      <c r="A157" s="2028" t="s">
        <v>1</v>
      </c>
      <c r="B157" s="2028"/>
      <c r="C157" s="2028"/>
      <c r="D157" s="2028"/>
      <c r="E157" s="2028"/>
      <c r="F157" s="2028"/>
      <c r="G157" s="2028"/>
    </row>
    <row r="158" spans="1:10" x14ac:dyDescent="0.25">
      <c r="A158" s="2028" t="s">
        <v>1697</v>
      </c>
      <c r="B158" s="2028"/>
      <c r="C158" s="2028"/>
      <c r="D158" s="2028"/>
      <c r="E158" s="2028"/>
      <c r="F158" s="2028"/>
      <c r="G158" s="2028"/>
    </row>
    <row r="159" spans="1:10" x14ac:dyDescent="0.25">
      <c r="A159" s="1276"/>
      <c r="B159" s="1277"/>
      <c r="C159" s="1278"/>
      <c r="D159" s="1278"/>
      <c r="E159" s="1279"/>
      <c r="F159" s="1279"/>
      <c r="G159" s="1279"/>
    </row>
    <row r="160" spans="1:10" ht="15" customHeight="1" x14ac:dyDescent="0.25">
      <c r="A160" s="1279" t="s">
        <v>1913</v>
      </c>
      <c r="B160" s="1280" t="s">
        <v>2376</v>
      </c>
      <c r="C160" s="1281"/>
      <c r="D160" s="1281"/>
      <c r="E160" s="1282"/>
      <c r="F160" s="1282"/>
      <c r="G160" s="1279"/>
    </row>
    <row r="161" spans="1:12" x14ac:dyDescent="0.25">
      <c r="A161" s="1283" t="s">
        <v>814</v>
      </c>
      <c r="B161" s="1284" t="s">
        <v>2377</v>
      </c>
      <c r="C161" s="1281"/>
      <c r="D161" s="1281"/>
      <c r="E161" s="1282" t="s">
        <v>1915</v>
      </c>
      <c r="F161" s="1282"/>
      <c r="G161" s="1279"/>
    </row>
    <row r="162" spans="1:12" ht="30" x14ac:dyDescent="0.25">
      <c r="A162" s="1285" t="s">
        <v>858</v>
      </c>
      <c r="B162" s="1286" t="s">
        <v>2619</v>
      </c>
      <c r="C162" s="1281"/>
      <c r="D162" s="1281"/>
      <c r="E162" s="1282" t="s">
        <v>1917</v>
      </c>
      <c r="F162" s="1282"/>
      <c r="G162" s="1283"/>
    </row>
    <row r="163" spans="1:12" ht="24" x14ac:dyDescent="0.25">
      <c r="A163" s="1285" t="s">
        <v>1918</v>
      </c>
      <c r="B163" s="1286" t="s">
        <v>2380</v>
      </c>
      <c r="C163" s="1281"/>
      <c r="D163" s="1281"/>
      <c r="E163" s="1282"/>
      <c r="F163" s="1282"/>
      <c r="G163" s="1283"/>
    </row>
    <row r="164" spans="1:12" x14ac:dyDescent="0.25">
      <c r="A164" s="1279" t="s">
        <v>1920</v>
      </c>
      <c r="B164" s="1280" t="s">
        <v>63</v>
      </c>
      <c r="C164" s="1281"/>
      <c r="D164" s="1281"/>
      <c r="E164" s="1279"/>
      <c r="F164" s="1279"/>
      <c r="G164" s="1279"/>
    </row>
    <row r="165" spans="1:12" x14ac:dyDescent="0.25">
      <c r="A165" s="1283" t="s">
        <v>64</v>
      </c>
      <c r="B165" s="1284" t="s">
        <v>65</v>
      </c>
      <c r="C165" s="1281"/>
      <c r="D165" s="1281"/>
      <c r="E165" s="1283"/>
      <c r="F165" s="1283"/>
      <c r="G165" s="1283"/>
    </row>
    <row r="166" spans="1:12" x14ac:dyDescent="0.25">
      <c r="A166" s="1287"/>
      <c r="B166" s="1288"/>
      <c r="C166" s="1289"/>
      <c r="D166" s="1289"/>
      <c r="E166" s="1287"/>
      <c r="F166" s="1287"/>
      <c r="G166" s="1287"/>
    </row>
    <row r="167" spans="1:12" ht="24" x14ac:dyDescent="0.25">
      <c r="A167" s="1290" t="s">
        <v>31</v>
      </c>
      <c r="B167" s="1290" t="s">
        <v>12</v>
      </c>
      <c r="C167" s="2033" t="s">
        <v>13</v>
      </c>
      <c r="D167" s="2034"/>
      <c r="E167" s="1292" t="s">
        <v>14</v>
      </c>
      <c r="F167" s="1291" t="s">
        <v>15</v>
      </c>
      <c r="G167" s="1293" t="s">
        <v>301</v>
      </c>
    </row>
    <row r="168" spans="1:12" x14ac:dyDescent="0.25">
      <c r="A168" s="1156">
        <v>1</v>
      </c>
      <c r="B168" s="1294">
        <v>2</v>
      </c>
      <c r="C168" s="2035">
        <v>3</v>
      </c>
      <c r="D168" s="2036"/>
      <c r="E168" s="1296">
        <v>4</v>
      </c>
      <c r="F168" s="1295">
        <v>5</v>
      </c>
      <c r="G168" s="1275">
        <v>7</v>
      </c>
    </row>
    <row r="169" spans="1:12" x14ac:dyDescent="0.25">
      <c r="A169" s="1297" t="s">
        <v>2378</v>
      </c>
      <c r="B169" s="1298" t="s">
        <v>1962</v>
      </c>
      <c r="C169" s="1299"/>
      <c r="D169" s="1300"/>
      <c r="E169" s="1301"/>
      <c r="F169" s="1302"/>
      <c r="G169" s="1275"/>
    </row>
    <row r="170" spans="1:12" ht="15.75" thickBot="1" x14ac:dyDescent="0.3">
      <c r="A170" s="1269"/>
      <c r="B170" s="1270" t="s">
        <v>2379</v>
      </c>
      <c r="C170" s="1271">
        <v>1</v>
      </c>
      <c r="D170" s="1272" t="s">
        <v>204</v>
      </c>
      <c r="E170" s="1273">
        <v>500000000</v>
      </c>
      <c r="F170" s="1274">
        <f>E170*C170</f>
        <v>500000000</v>
      </c>
      <c r="G170" s="1275"/>
      <c r="L170" s="175"/>
    </row>
    <row r="171" spans="1:12" ht="15.75" thickBot="1" x14ac:dyDescent="0.3">
      <c r="A171" s="1304"/>
      <c r="B171" s="2029" t="s">
        <v>613</v>
      </c>
      <c r="C171" s="2030"/>
      <c r="D171" s="2030"/>
      <c r="E171" s="2031"/>
      <c r="F171" s="1303">
        <f>F170</f>
        <v>500000000</v>
      </c>
      <c r="G171" s="1305"/>
    </row>
    <row r="172" spans="1:12" ht="15.75" thickBot="1" x14ac:dyDescent="0.3">
      <c r="A172" s="1304"/>
      <c r="B172" s="2029" t="s">
        <v>27</v>
      </c>
      <c r="C172" s="2030"/>
      <c r="D172" s="2030"/>
      <c r="E172" s="2031"/>
      <c r="F172" s="1303">
        <f>F171</f>
        <v>500000000</v>
      </c>
      <c r="G172" s="1305"/>
    </row>
    <row r="173" spans="1:12" x14ac:dyDescent="0.25">
      <c r="A173" s="495"/>
      <c r="B173" s="495"/>
      <c r="C173" s="495"/>
      <c r="D173" s="495"/>
      <c r="E173" s="495"/>
      <c r="F173" s="495"/>
      <c r="G173" s="495"/>
    </row>
    <row r="174" spans="1:12" x14ac:dyDescent="0.25">
      <c r="A174" s="2026" t="s">
        <v>614</v>
      </c>
      <c r="B174" s="2026"/>
      <c r="C174" s="1306" t="s">
        <v>28</v>
      </c>
      <c r="D174" s="2032" t="s">
        <v>1698</v>
      </c>
      <c r="E174" s="2032"/>
      <c r="F174" s="2032"/>
      <c r="G174" s="1306"/>
    </row>
    <row r="175" spans="1:12" x14ac:dyDescent="0.25">
      <c r="A175" s="2026" t="s">
        <v>29</v>
      </c>
      <c r="B175" s="2026"/>
      <c r="C175" s="1306"/>
      <c r="D175" s="2027" t="s">
        <v>1699</v>
      </c>
      <c r="E175" s="2027"/>
      <c r="F175" s="2027"/>
      <c r="G175" s="1306"/>
    </row>
    <row r="176" spans="1:12" x14ac:dyDescent="0.25">
      <c r="A176" s="1309"/>
      <c r="B176" s="1310"/>
      <c r="C176" s="1306"/>
      <c r="D176" s="1308"/>
      <c r="E176" s="1307"/>
      <c r="F176" s="1307"/>
      <c r="G176" s="1306"/>
    </row>
    <row r="177" spans="1:7" x14ac:dyDescent="0.25">
      <c r="A177" s="1309"/>
      <c r="B177" s="1310"/>
      <c r="C177" s="1306"/>
      <c r="D177" s="1308"/>
      <c r="E177" s="1307"/>
      <c r="F177" s="1307"/>
      <c r="G177" s="1306"/>
    </row>
    <row r="178" spans="1:7" x14ac:dyDescent="0.25">
      <c r="A178" s="2026"/>
      <c r="B178" s="2026"/>
      <c r="C178" s="1306"/>
      <c r="D178" s="1308"/>
      <c r="E178" s="2026"/>
      <c r="F178" s="2026"/>
      <c r="G178" s="1306"/>
    </row>
    <row r="179" spans="1:7" x14ac:dyDescent="0.25">
      <c r="A179" s="2026" t="s">
        <v>30</v>
      </c>
      <c r="B179" s="2026"/>
      <c r="C179" s="1306"/>
      <c r="D179" s="2026" t="s">
        <v>615</v>
      </c>
      <c r="E179" s="2026"/>
      <c r="F179" s="2026"/>
      <c r="G179" s="1306"/>
    </row>
    <row r="181" spans="1:7" x14ac:dyDescent="0.25">
      <c r="A181" s="1800" t="s">
        <v>0</v>
      </c>
      <c r="B181" s="1800"/>
      <c r="C181" s="1800"/>
      <c r="D181" s="1800"/>
      <c r="E181" s="1800"/>
      <c r="F181" s="1800"/>
      <c r="G181" s="1800"/>
    </row>
    <row r="182" spans="1:7" x14ac:dyDescent="0.25">
      <c r="A182" s="1800" t="s">
        <v>1</v>
      </c>
      <c r="B182" s="1800"/>
      <c r="C182" s="1800"/>
      <c r="D182" s="1800"/>
      <c r="E182" s="1800"/>
      <c r="F182" s="1800"/>
      <c r="G182" s="1800"/>
    </row>
    <row r="183" spans="1:7" x14ac:dyDescent="0.25">
      <c r="A183" s="1800" t="s">
        <v>1697</v>
      </c>
      <c r="B183" s="1800"/>
      <c r="C183" s="1800"/>
      <c r="D183" s="1800"/>
      <c r="E183" s="1800"/>
      <c r="F183" s="1800"/>
      <c r="G183" s="1800"/>
    </row>
    <row r="184" spans="1:7" x14ac:dyDescent="0.25">
      <c r="A184" s="138"/>
      <c r="B184" s="138"/>
      <c r="C184" s="138"/>
      <c r="D184" s="138"/>
      <c r="E184" s="138"/>
      <c r="F184" s="138"/>
      <c r="G184" s="138"/>
    </row>
    <row r="185" spans="1:7" x14ac:dyDescent="0.25">
      <c r="A185" s="262" t="s">
        <v>296</v>
      </c>
      <c r="B185" s="349" t="s">
        <v>486</v>
      </c>
      <c r="C185" s="262"/>
      <c r="D185" s="262"/>
      <c r="E185" s="347"/>
      <c r="F185" s="347"/>
    </row>
    <row r="186" spans="1:7" x14ac:dyDescent="0.25">
      <c r="A186" s="262" t="s">
        <v>297</v>
      </c>
      <c r="B186" s="349" t="s">
        <v>487</v>
      </c>
      <c r="C186" s="262"/>
      <c r="D186" s="262"/>
      <c r="E186" s="8" t="s">
        <v>6</v>
      </c>
      <c r="F186" s="8"/>
    </row>
    <row r="187" spans="1:7" ht="25.5" x14ac:dyDescent="0.25">
      <c r="A187" s="306" t="s">
        <v>298</v>
      </c>
      <c r="B187" s="263" t="s">
        <v>501</v>
      </c>
      <c r="C187" s="263"/>
      <c r="D187" s="264"/>
      <c r="E187" s="67" t="s">
        <v>9</v>
      </c>
      <c r="F187" s="67"/>
    </row>
    <row r="188" spans="1:7" x14ac:dyDescent="0.25">
      <c r="A188" s="262" t="s">
        <v>502</v>
      </c>
      <c r="B188" s="262" t="s">
        <v>63</v>
      </c>
      <c r="C188" s="262"/>
      <c r="D188" s="262"/>
      <c r="E188" s="262"/>
      <c r="F188" s="262"/>
    </row>
    <row r="189" spans="1:7" x14ac:dyDescent="0.25">
      <c r="A189" s="262" t="s">
        <v>64</v>
      </c>
      <c r="B189" s="262" t="s">
        <v>65</v>
      </c>
      <c r="C189" s="262"/>
      <c r="D189" s="265"/>
      <c r="E189" s="266"/>
      <c r="F189" s="262"/>
    </row>
    <row r="190" spans="1:7" x14ac:dyDescent="0.25">
      <c r="A190" s="3"/>
      <c r="B190" s="3"/>
      <c r="C190" s="3"/>
      <c r="D190" s="3"/>
      <c r="E190" s="3"/>
      <c r="F190" s="3"/>
    </row>
    <row r="191" spans="1:7" ht="24" x14ac:dyDescent="0.25">
      <c r="A191" s="144" t="s">
        <v>300</v>
      </c>
      <c r="B191" s="144" t="s">
        <v>12</v>
      </c>
      <c r="C191" s="1804" t="s">
        <v>13</v>
      </c>
      <c r="D191" s="1804"/>
      <c r="E191" s="11" t="s">
        <v>14</v>
      </c>
      <c r="F191" s="165" t="s">
        <v>15</v>
      </c>
      <c r="G191" s="267" t="s">
        <v>301</v>
      </c>
    </row>
    <row r="192" spans="1:7" x14ac:dyDescent="0.25">
      <c r="A192" s="144">
        <v>1</v>
      </c>
      <c r="B192" s="144">
        <v>2</v>
      </c>
      <c r="C192" s="1811">
        <v>3</v>
      </c>
      <c r="D192" s="1812"/>
      <c r="E192" s="33">
        <v>4</v>
      </c>
      <c r="F192" s="165">
        <v>5</v>
      </c>
      <c r="G192" s="268">
        <v>6</v>
      </c>
    </row>
    <row r="193" spans="1:7" x14ac:dyDescent="0.25">
      <c r="A193" s="2" t="s">
        <v>489</v>
      </c>
      <c r="B193" s="153" t="s">
        <v>351</v>
      </c>
      <c r="C193" s="6"/>
      <c r="D193" s="25"/>
      <c r="E193" s="21"/>
      <c r="F193" s="258"/>
      <c r="G193" s="32"/>
    </row>
    <row r="194" spans="1:7" x14ac:dyDescent="0.25">
      <c r="A194" s="2" t="s">
        <v>490</v>
      </c>
      <c r="B194" s="153" t="s">
        <v>88</v>
      </c>
      <c r="C194" s="6"/>
      <c r="D194" s="25"/>
      <c r="E194" s="21"/>
      <c r="F194" s="258"/>
      <c r="G194" s="32"/>
    </row>
    <row r="195" spans="1:7" x14ac:dyDescent="0.25">
      <c r="A195" s="2" t="s">
        <v>491</v>
      </c>
      <c r="B195" s="4" t="s">
        <v>354</v>
      </c>
      <c r="C195" s="6"/>
      <c r="D195" s="25"/>
      <c r="E195" s="12"/>
      <c r="F195" s="258"/>
      <c r="G195" s="32"/>
    </row>
    <row r="196" spans="1:7" x14ac:dyDescent="0.25">
      <c r="A196" s="16"/>
      <c r="B196" s="4" t="s">
        <v>503</v>
      </c>
      <c r="C196" s="6">
        <v>32</v>
      </c>
      <c r="D196" s="25" t="s">
        <v>315</v>
      </c>
      <c r="E196" s="12">
        <v>15000</v>
      </c>
      <c r="F196" s="258">
        <f>E196*C196</f>
        <v>480000</v>
      </c>
      <c r="G196" s="32"/>
    </row>
    <row r="197" spans="1:7" x14ac:dyDescent="0.25">
      <c r="A197" s="16"/>
      <c r="B197" s="4"/>
      <c r="C197" s="6"/>
      <c r="D197" s="25"/>
      <c r="E197" s="12"/>
      <c r="F197" s="258"/>
      <c r="G197" s="32"/>
    </row>
    <row r="198" spans="1:7" x14ac:dyDescent="0.25">
      <c r="A198" s="2" t="s">
        <v>504</v>
      </c>
      <c r="B198" s="4" t="s">
        <v>376</v>
      </c>
      <c r="C198" s="6"/>
      <c r="D198" s="25"/>
      <c r="E198" s="12"/>
      <c r="F198" s="258"/>
      <c r="G198" s="32"/>
    </row>
    <row r="199" spans="1:7" x14ac:dyDescent="0.25">
      <c r="A199" s="16"/>
      <c r="B199" s="4" t="s">
        <v>377</v>
      </c>
      <c r="C199" s="6">
        <v>1</v>
      </c>
      <c r="D199" s="25" t="s">
        <v>102</v>
      </c>
      <c r="E199" s="12">
        <v>90000</v>
      </c>
      <c r="F199" s="258">
        <f>E199*C199</f>
        <v>90000</v>
      </c>
      <c r="G199" s="32"/>
    </row>
    <row r="200" spans="1:7" x14ac:dyDescent="0.25">
      <c r="A200" s="16"/>
      <c r="B200" s="4"/>
      <c r="C200" s="6"/>
      <c r="D200" s="25"/>
      <c r="E200" s="12"/>
      <c r="F200" s="258"/>
      <c r="G200" s="32"/>
    </row>
    <row r="201" spans="1:7" x14ac:dyDescent="0.25">
      <c r="A201" s="2" t="s">
        <v>493</v>
      </c>
      <c r="B201" s="4" t="s">
        <v>495</v>
      </c>
      <c r="C201" s="6"/>
      <c r="D201" s="25"/>
      <c r="E201" s="12"/>
      <c r="F201" s="258"/>
      <c r="G201" s="32"/>
    </row>
    <row r="202" spans="1:7" x14ac:dyDescent="0.25">
      <c r="A202" s="16"/>
      <c r="B202" s="4" t="s">
        <v>496</v>
      </c>
      <c r="C202" s="6">
        <v>1</v>
      </c>
      <c r="D202" s="25" t="s">
        <v>102</v>
      </c>
      <c r="E202" s="12">
        <v>50000</v>
      </c>
      <c r="F202" s="258">
        <f>E202*C202</f>
        <v>50000</v>
      </c>
      <c r="G202" s="32"/>
    </row>
    <row r="203" spans="1:7" x14ac:dyDescent="0.25">
      <c r="A203" s="16"/>
      <c r="B203" s="4" t="s">
        <v>321</v>
      </c>
      <c r="C203" s="6">
        <v>5</v>
      </c>
      <c r="D203" s="25" t="s">
        <v>186</v>
      </c>
      <c r="E203" s="12">
        <v>1000</v>
      </c>
      <c r="F203" s="258">
        <f>E203*C203</f>
        <v>5000</v>
      </c>
      <c r="G203" s="32"/>
    </row>
    <row r="204" spans="1:7" x14ac:dyDescent="0.25">
      <c r="A204" s="16"/>
      <c r="B204" s="4" t="s">
        <v>335</v>
      </c>
      <c r="C204" s="6">
        <v>1</v>
      </c>
      <c r="D204" s="25" t="s">
        <v>336</v>
      </c>
      <c r="E204" s="12">
        <v>10000</v>
      </c>
      <c r="F204" s="258">
        <f>E204*C204</f>
        <v>10000</v>
      </c>
      <c r="G204" s="32"/>
    </row>
    <row r="205" spans="1:7" x14ac:dyDescent="0.25">
      <c r="A205" s="16"/>
      <c r="B205" s="4"/>
      <c r="C205" s="6"/>
      <c r="D205" s="25"/>
      <c r="E205" s="12"/>
      <c r="F205" s="258"/>
      <c r="G205" s="32"/>
    </row>
    <row r="206" spans="1:7" x14ac:dyDescent="0.25">
      <c r="A206" s="16" t="s">
        <v>497</v>
      </c>
      <c r="B206" s="4" t="s">
        <v>415</v>
      </c>
      <c r="C206" s="6"/>
      <c r="D206" s="25"/>
      <c r="E206" s="21"/>
      <c r="F206" s="258"/>
      <c r="G206" s="32"/>
    </row>
    <row r="207" spans="1:7" ht="24.75" x14ac:dyDescent="0.25">
      <c r="A207" s="16" t="s">
        <v>498</v>
      </c>
      <c r="B207" s="4" t="s">
        <v>484</v>
      </c>
      <c r="C207" s="6"/>
      <c r="D207" s="25"/>
      <c r="E207" s="21"/>
      <c r="F207" s="258"/>
      <c r="G207" s="32"/>
    </row>
    <row r="208" spans="1:7" x14ac:dyDescent="0.25">
      <c r="A208" s="16"/>
      <c r="B208" s="4" t="s">
        <v>499</v>
      </c>
      <c r="C208" s="6">
        <v>2</v>
      </c>
      <c r="D208" s="25" t="s">
        <v>461</v>
      </c>
      <c r="E208" s="21">
        <v>300000</v>
      </c>
      <c r="F208" s="258">
        <f>E208*C208</f>
        <v>600000</v>
      </c>
      <c r="G208" s="32"/>
    </row>
    <row r="209" spans="1:10" x14ac:dyDescent="0.25">
      <c r="A209" s="16"/>
      <c r="B209" s="16"/>
      <c r="C209" s="6"/>
      <c r="D209" s="25"/>
      <c r="E209" s="21"/>
      <c r="F209" s="258"/>
      <c r="G209" s="32"/>
    </row>
    <row r="210" spans="1:10" x14ac:dyDescent="0.25">
      <c r="A210" s="236"/>
      <c r="B210" s="1861" t="s">
        <v>27</v>
      </c>
      <c r="C210" s="1805"/>
      <c r="D210" s="1805"/>
      <c r="E210" s="1806"/>
      <c r="F210" s="189">
        <f>SUM(F195:F208)</f>
        <v>1235000</v>
      </c>
      <c r="G210" s="66" t="s">
        <v>1682</v>
      </c>
      <c r="J210" s="175">
        <f>F210</f>
        <v>1235000</v>
      </c>
    </row>
    <row r="212" spans="1:10" x14ac:dyDescent="0.25">
      <c r="A212" s="1807" t="s">
        <v>614</v>
      </c>
      <c r="B212" s="1807"/>
      <c r="C212" s="5" t="s">
        <v>28</v>
      </c>
      <c r="D212" s="1808" t="s">
        <v>1698</v>
      </c>
      <c r="E212" s="1808"/>
      <c r="F212" s="1808"/>
      <c r="G212" s="5"/>
    </row>
    <row r="213" spans="1:10" x14ac:dyDescent="0.25">
      <c r="A213" s="1807" t="s">
        <v>29</v>
      </c>
      <c r="B213" s="1807"/>
      <c r="C213" s="5"/>
      <c r="D213" s="1809" t="s">
        <v>2994</v>
      </c>
      <c r="E213" s="1809"/>
      <c r="F213" s="1809"/>
      <c r="G213" s="5"/>
    </row>
    <row r="214" spans="1:10" x14ac:dyDescent="0.25">
      <c r="A214" s="1"/>
      <c r="B214" s="3"/>
      <c r="C214" s="5"/>
      <c r="D214" s="7"/>
      <c r="E214" s="17"/>
      <c r="F214" s="17"/>
      <c r="G214" s="5"/>
    </row>
    <row r="215" spans="1:10" x14ac:dyDescent="0.25">
      <c r="A215" s="1"/>
      <c r="B215" s="3"/>
      <c r="C215" s="5"/>
      <c r="D215" s="7"/>
      <c r="E215" s="17"/>
      <c r="F215" s="17"/>
      <c r="G215" s="5"/>
    </row>
    <row r="216" spans="1:10" x14ac:dyDescent="0.25">
      <c r="A216" s="1807"/>
      <c r="B216" s="1807"/>
      <c r="C216" s="5"/>
      <c r="D216" s="7"/>
      <c r="E216" s="1807"/>
      <c r="F216" s="1807"/>
      <c r="G216" s="5"/>
    </row>
    <row r="217" spans="1:10" x14ac:dyDescent="0.25">
      <c r="A217" s="1807" t="s">
        <v>30</v>
      </c>
      <c r="B217" s="1807"/>
      <c r="C217" s="5"/>
      <c r="D217" s="1807" t="s">
        <v>2995</v>
      </c>
      <c r="E217" s="1807"/>
      <c r="F217" s="1807"/>
      <c r="G217" s="5"/>
    </row>
    <row r="220" spans="1:10" x14ac:dyDescent="0.25">
      <c r="A220" s="1800" t="s">
        <v>0</v>
      </c>
      <c r="B220" s="1800"/>
      <c r="C220" s="1800"/>
      <c r="D220" s="1800"/>
      <c r="E220" s="1800"/>
      <c r="F220" s="1800"/>
      <c r="G220" s="1800"/>
    </row>
    <row r="221" spans="1:10" x14ac:dyDescent="0.25">
      <c r="A221" s="1800" t="s">
        <v>1</v>
      </c>
      <c r="B221" s="1800"/>
      <c r="C221" s="1800"/>
      <c r="D221" s="1800"/>
      <c r="E221" s="1800"/>
      <c r="F221" s="1800"/>
      <c r="G221" s="1800"/>
    </row>
    <row r="222" spans="1:10" x14ac:dyDescent="0.25">
      <c r="A222" s="1800" t="s">
        <v>1697</v>
      </c>
      <c r="B222" s="1800"/>
      <c r="C222" s="1800"/>
      <c r="D222" s="1800"/>
      <c r="E222" s="1800"/>
      <c r="F222" s="1800"/>
      <c r="G222" s="1800"/>
    </row>
    <row r="223" spans="1:10" x14ac:dyDescent="0.25">
      <c r="A223" s="138"/>
      <c r="B223" s="138"/>
      <c r="C223" s="138"/>
      <c r="D223" s="138"/>
      <c r="E223" s="138"/>
      <c r="F223" s="138"/>
      <c r="G223" s="138"/>
    </row>
    <row r="224" spans="1:10" x14ac:dyDescent="0.25">
      <c r="A224" s="162" t="s">
        <v>549</v>
      </c>
      <c r="B224" s="162" t="s">
        <v>486</v>
      </c>
      <c r="C224" s="162"/>
      <c r="D224" s="162"/>
      <c r="E224" s="240"/>
      <c r="F224" s="240"/>
      <c r="G224" s="23"/>
    </row>
    <row r="225" spans="1:7" x14ac:dyDescent="0.25">
      <c r="A225" s="360" t="s">
        <v>550</v>
      </c>
      <c r="B225" s="17" t="s">
        <v>487</v>
      </c>
      <c r="C225" s="162"/>
      <c r="D225" s="162"/>
      <c r="E225" s="8" t="s">
        <v>6</v>
      </c>
      <c r="F225" s="8"/>
      <c r="G225" s="162"/>
    </row>
    <row r="226" spans="1:7" x14ac:dyDescent="0.25">
      <c r="A226" s="360" t="s">
        <v>551</v>
      </c>
      <c r="B226" s="71" t="s">
        <v>552</v>
      </c>
      <c r="C226" s="162"/>
      <c r="D226" s="162"/>
      <c r="E226" s="72" t="s">
        <v>9</v>
      </c>
      <c r="F226" s="67"/>
      <c r="G226" s="162"/>
    </row>
    <row r="227" spans="1:7" ht="24.75" x14ac:dyDescent="0.25">
      <c r="A227" s="139" t="s">
        <v>464</v>
      </c>
      <c r="B227" s="162" t="s">
        <v>63</v>
      </c>
      <c r="C227" s="162"/>
      <c r="D227" s="162"/>
      <c r="E227" s="162"/>
      <c r="F227" s="162"/>
      <c r="G227" s="162"/>
    </row>
    <row r="228" spans="1:7" x14ac:dyDescent="0.25">
      <c r="A228" s="162" t="s">
        <v>64</v>
      </c>
      <c r="B228" s="162"/>
      <c r="C228" s="162"/>
      <c r="D228" s="68"/>
      <c r="E228" s="69"/>
      <c r="F228" s="162"/>
      <c r="G228" s="162"/>
    </row>
    <row r="229" spans="1:7" ht="24" x14ac:dyDescent="0.25">
      <c r="A229" s="144" t="s">
        <v>300</v>
      </c>
      <c r="B229" s="144" t="s">
        <v>12</v>
      </c>
      <c r="C229" s="1804" t="s">
        <v>13</v>
      </c>
      <c r="D229" s="1804"/>
      <c r="E229" s="11" t="s">
        <v>14</v>
      </c>
      <c r="F229" s="165" t="s">
        <v>15</v>
      </c>
      <c r="G229" s="267" t="s">
        <v>301</v>
      </c>
    </row>
    <row r="230" spans="1:7" x14ac:dyDescent="0.25">
      <c r="A230" s="144">
        <v>1</v>
      </c>
      <c r="B230" s="144">
        <v>2</v>
      </c>
      <c r="C230" s="1811">
        <v>3</v>
      </c>
      <c r="D230" s="1812"/>
      <c r="E230" s="33">
        <v>4</v>
      </c>
      <c r="F230" s="165">
        <v>5</v>
      </c>
      <c r="G230" s="268">
        <v>6</v>
      </c>
    </row>
    <row r="231" spans="1:7" x14ac:dyDescent="0.25">
      <c r="A231" s="2" t="s">
        <v>489</v>
      </c>
      <c r="B231" s="4" t="s">
        <v>553</v>
      </c>
      <c r="C231" s="142"/>
      <c r="D231" s="143"/>
      <c r="E231" s="73"/>
      <c r="F231" s="142"/>
      <c r="G231" s="145"/>
    </row>
    <row r="232" spans="1:7" x14ac:dyDescent="0.25">
      <c r="A232" s="2" t="s">
        <v>490</v>
      </c>
      <c r="B232" s="4" t="s">
        <v>88</v>
      </c>
      <c r="C232" s="142"/>
      <c r="D232" s="143"/>
      <c r="E232" s="73"/>
      <c r="F232" s="142"/>
      <c r="G232" s="145"/>
    </row>
    <row r="233" spans="1:7" x14ac:dyDescent="0.25">
      <c r="A233" s="16" t="s">
        <v>491</v>
      </c>
      <c r="B233" s="4" t="s">
        <v>354</v>
      </c>
      <c r="C233" s="6"/>
      <c r="D233" s="25"/>
      <c r="E233" s="12"/>
      <c r="F233" s="74"/>
      <c r="G233" s="152"/>
    </row>
    <row r="234" spans="1:7" x14ac:dyDescent="0.25">
      <c r="A234" s="16"/>
      <c r="B234" s="4" t="s">
        <v>554</v>
      </c>
      <c r="C234" s="6">
        <f>28</f>
        <v>28</v>
      </c>
      <c r="D234" s="25" t="s">
        <v>315</v>
      </c>
      <c r="E234" s="12">
        <v>15000</v>
      </c>
      <c r="F234" s="74">
        <f>E234*C234</f>
        <v>420000</v>
      </c>
      <c r="G234" s="152"/>
    </row>
    <row r="235" spans="1:7" x14ac:dyDescent="0.25">
      <c r="A235" s="20"/>
      <c r="B235" s="16"/>
      <c r="C235" s="6"/>
      <c r="D235" s="25"/>
      <c r="E235" s="12"/>
      <c r="F235" s="74"/>
      <c r="G235" s="152"/>
    </row>
    <row r="236" spans="1:7" x14ac:dyDescent="0.25">
      <c r="A236" s="16" t="s">
        <v>493</v>
      </c>
      <c r="B236" s="4" t="s">
        <v>376</v>
      </c>
      <c r="C236" s="6"/>
      <c r="D236" s="25"/>
      <c r="E236" s="12"/>
      <c r="F236" s="74"/>
      <c r="G236" s="152"/>
    </row>
    <row r="237" spans="1:7" x14ac:dyDescent="0.25">
      <c r="A237" s="20"/>
      <c r="B237" s="16" t="s">
        <v>377</v>
      </c>
      <c r="C237" s="6">
        <v>1</v>
      </c>
      <c r="D237" s="25" t="s">
        <v>102</v>
      </c>
      <c r="E237" s="12">
        <v>90000</v>
      </c>
      <c r="F237" s="74">
        <f>E237*C237</f>
        <v>90000</v>
      </c>
      <c r="G237" s="152"/>
    </row>
    <row r="238" spans="1:7" x14ac:dyDescent="0.25">
      <c r="A238" s="20"/>
      <c r="B238" s="16"/>
      <c r="C238" s="6"/>
      <c r="D238" s="25"/>
      <c r="E238" s="12"/>
      <c r="F238" s="74"/>
      <c r="G238" s="152"/>
    </row>
    <row r="239" spans="1:7" x14ac:dyDescent="0.25">
      <c r="A239" s="16" t="s">
        <v>497</v>
      </c>
      <c r="B239" s="16" t="s">
        <v>340</v>
      </c>
      <c r="C239" s="6"/>
      <c r="D239" s="25"/>
      <c r="E239" s="21"/>
      <c r="F239" s="74"/>
      <c r="G239" s="152"/>
    </row>
    <row r="240" spans="1:7" ht="24.75" x14ac:dyDescent="0.25">
      <c r="A240" s="16" t="s">
        <v>498</v>
      </c>
      <c r="B240" s="4" t="s">
        <v>484</v>
      </c>
      <c r="C240" s="6"/>
      <c r="D240" s="25"/>
      <c r="E240" s="21"/>
      <c r="F240" s="74"/>
      <c r="G240" s="152"/>
    </row>
    <row r="241" spans="1:16" x14ac:dyDescent="0.25">
      <c r="A241" s="16"/>
      <c r="B241" s="4" t="s">
        <v>555</v>
      </c>
      <c r="C241" s="6">
        <v>2</v>
      </c>
      <c r="D241" s="25" t="s">
        <v>461</v>
      </c>
      <c r="E241" s="21">
        <v>300000</v>
      </c>
      <c r="F241" s="74">
        <f>E241*C241</f>
        <v>600000</v>
      </c>
      <c r="G241" s="152"/>
    </row>
    <row r="242" spans="1:16" x14ac:dyDescent="0.25">
      <c r="A242" s="16"/>
      <c r="B242" s="4"/>
      <c r="C242" s="6"/>
      <c r="D242" s="25"/>
      <c r="E242" s="21"/>
      <c r="F242" s="74"/>
      <c r="G242" s="152"/>
    </row>
    <row r="243" spans="1:16" x14ac:dyDescent="0.25">
      <c r="A243" s="20" t="s">
        <v>556</v>
      </c>
      <c r="B243" s="16" t="s">
        <v>516</v>
      </c>
      <c r="C243" s="6"/>
      <c r="D243" s="25"/>
      <c r="E243" s="21"/>
      <c r="F243" s="74"/>
      <c r="G243" s="152"/>
    </row>
    <row r="244" spans="1:16" x14ac:dyDescent="0.25">
      <c r="A244" s="20" t="s">
        <v>557</v>
      </c>
      <c r="B244" s="4" t="s">
        <v>518</v>
      </c>
      <c r="C244" s="6"/>
      <c r="D244" s="25"/>
      <c r="E244" s="21"/>
      <c r="F244" s="74"/>
      <c r="G244" s="152"/>
    </row>
    <row r="245" spans="1:16" x14ac:dyDescent="0.25">
      <c r="A245" s="20"/>
      <c r="B245" s="4" t="s">
        <v>519</v>
      </c>
      <c r="C245" s="6">
        <v>28</v>
      </c>
      <c r="D245" s="25" t="s">
        <v>520</v>
      </c>
      <c r="E245" s="21">
        <v>1500000</v>
      </c>
      <c r="F245" s="74">
        <f>E245*C245</f>
        <v>42000000</v>
      </c>
      <c r="G245" s="152"/>
    </row>
    <row r="246" spans="1:16" x14ac:dyDescent="0.25">
      <c r="A246" s="20"/>
      <c r="B246" s="16"/>
      <c r="C246" s="6"/>
      <c r="D246" s="25"/>
      <c r="E246" s="21"/>
      <c r="F246" s="74"/>
      <c r="G246" s="32"/>
    </row>
    <row r="247" spans="1:16" x14ac:dyDescent="0.25">
      <c r="A247" s="16"/>
      <c r="B247" s="4"/>
      <c r="C247" s="6"/>
      <c r="D247" s="25"/>
      <c r="E247" s="21"/>
      <c r="F247" s="74"/>
      <c r="G247" s="32"/>
    </row>
    <row r="248" spans="1:16" x14ac:dyDescent="0.25">
      <c r="A248" s="20"/>
      <c r="B248" s="336"/>
      <c r="C248" s="377"/>
      <c r="D248" s="378"/>
      <c r="E248" s="75"/>
      <c r="F248" s="362"/>
      <c r="G248" s="32"/>
    </row>
    <row r="249" spans="1:16" x14ac:dyDescent="0.25">
      <c r="A249" s="184"/>
      <c r="B249" s="1850" t="s">
        <v>27</v>
      </c>
      <c r="C249" s="1850"/>
      <c r="D249" s="1850"/>
      <c r="E249" s="1850"/>
      <c r="F249" s="74">
        <f>SUM(F233:F248)</f>
        <v>43110000</v>
      </c>
      <c r="G249" s="32" t="s">
        <v>1690</v>
      </c>
      <c r="P249" s="175">
        <f>F249</f>
        <v>43110000</v>
      </c>
    </row>
    <row r="251" spans="1:16" x14ac:dyDescent="0.25">
      <c r="A251" s="1807" t="s">
        <v>614</v>
      </c>
      <c r="B251" s="1807"/>
      <c r="C251" s="5" t="s">
        <v>28</v>
      </c>
      <c r="D251" s="1808" t="s">
        <v>1698</v>
      </c>
      <c r="E251" s="1808"/>
      <c r="F251" s="1808"/>
      <c r="G251" s="5"/>
    </row>
    <row r="252" spans="1:16" x14ac:dyDescent="0.25">
      <c r="A252" s="1807" t="s">
        <v>29</v>
      </c>
      <c r="B252" s="1807"/>
      <c r="C252" s="5"/>
      <c r="D252" s="1809" t="s">
        <v>2988</v>
      </c>
      <c r="E252" s="1809"/>
      <c r="F252" s="1809"/>
      <c r="G252" s="5"/>
    </row>
    <row r="253" spans="1:16" x14ac:dyDescent="0.25">
      <c r="A253" s="1"/>
      <c r="B253" s="3"/>
      <c r="C253" s="5"/>
      <c r="D253" s="7"/>
      <c r="E253" s="17"/>
      <c r="F253" s="17"/>
      <c r="G253" s="5"/>
    </row>
    <row r="254" spans="1:16" x14ac:dyDescent="0.25">
      <c r="A254" s="1"/>
      <c r="B254" s="3"/>
      <c r="C254" s="5"/>
      <c r="D254" s="7"/>
      <c r="E254" s="17"/>
      <c r="F254" s="17"/>
      <c r="G254" s="5"/>
    </row>
    <row r="255" spans="1:16" x14ac:dyDescent="0.25">
      <c r="A255" s="1807"/>
      <c r="B255" s="1807"/>
      <c r="C255" s="5"/>
      <c r="D255" s="7"/>
      <c r="E255" s="1807"/>
      <c r="F255" s="1807"/>
      <c r="G255" s="5"/>
    </row>
    <row r="256" spans="1:16" x14ac:dyDescent="0.25">
      <c r="A256" s="1807" t="s">
        <v>30</v>
      </c>
      <c r="B256" s="1807"/>
      <c r="C256" s="5"/>
      <c r="D256" s="1807" t="s">
        <v>2998</v>
      </c>
      <c r="E256" s="1807"/>
      <c r="F256" s="1807"/>
      <c r="G256" s="5"/>
    </row>
    <row r="257" spans="1:7" x14ac:dyDescent="0.25">
      <c r="A257" s="136"/>
      <c r="B257" s="136"/>
      <c r="C257" s="5"/>
      <c r="D257" s="136"/>
      <c r="E257" s="136"/>
      <c r="F257" s="136"/>
      <c r="G257" s="5"/>
    </row>
    <row r="258" spans="1:7" x14ac:dyDescent="0.25">
      <c r="A258" s="136"/>
      <c r="B258" s="136"/>
      <c r="C258" s="5"/>
      <c r="D258" s="136"/>
      <c r="E258" s="136"/>
      <c r="F258" s="136"/>
      <c r="G258" s="5"/>
    </row>
    <row r="259" spans="1:7" x14ac:dyDescent="0.25">
      <c r="A259" s="136"/>
      <c r="B259" s="136"/>
      <c r="C259" s="5"/>
      <c r="D259" s="136"/>
      <c r="E259" s="136"/>
      <c r="F259" s="136"/>
      <c r="G259" s="5"/>
    </row>
    <row r="260" spans="1:7" x14ac:dyDescent="0.25">
      <c r="A260" s="1800" t="s">
        <v>0</v>
      </c>
      <c r="B260" s="1800"/>
      <c r="C260" s="1800"/>
      <c r="D260" s="1800"/>
      <c r="E260" s="1800"/>
      <c r="F260" s="1800"/>
      <c r="G260" s="1800"/>
    </row>
    <row r="261" spans="1:7" x14ac:dyDescent="0.25">
      <c r="A261" s="1800" t="s">
        <v>1</v>
      </c>
      <c r="B261" s="1800"/>
      <c r="C261" s="1800"/>
      <c r="D261" s="1800"/>
      <c r="E261" s="1800"/>
      <c r="F261" s="1800"/>
      <c r="G261" s="1800"/>
    </row>
    <row r="262" spans="1:7" x14ac:dyDescent="0.25">
      <c r="A262" s="1800" t="s">
        <v>1697</v>
      </c>
      <c r="B262" s="1800"/>
      <c r="C262" s="1800"/>
      <c r="D262" s="1800"/>
      <c r="E262" s="1800"/>
      <c r="F262" s="1800"/>
      <c r="G262" s="1800"/>
    </row>
    <row r="263" spans="1:7" x14ac:dyDescent="0.25">
      <c r="A263" s="138"/>
      <c r="B263" s="138"/>
      <c r="C263" s="138"/>
      <c r="D263" s="138"/>
      <c r="E263" s="138"/>
      <c r="F263" s="138"/>
      <c r="G263" s="138"/>
    </row>
    <row r="264" spans="1:7" x14ac:dyDescent="0.25">
      <c r="A264" s="262" t="s">
        <v>296</v>
      </c>
      <c r="B264" s="349" t="s">
        <v>486</v>
      </c>
      <c r="C264" s="262"/>
      <c r="D264" s="162"/>
      <c r="E264" s="23"/>
      <c r="F264" s="23"/>
    </row>
    <row r="265" spans="1:7" x14ac:dyDescent="0.25">
      <c r="A265" s="262" t="s">
        <v>297</v>
      </c>
      <c r="B265" s="349" t="s">
        <v>487</v>
      </c>
      <c r="C265" s="262"/>
      <c r="D265" s="162"/>
      <c r="F265" s="8"/>
    </row>
    <row r="266" spans="1:7" x14ac:dyDescent="0.25">
      <c r="A266" s="263" t="s">
        <v>298</v>
      </c>
      <c r="B266" s="263" t="s">
        <v>505</v>
      </c>
      <c r="C266" s="263"/>
      <c r="D266" s="139"/>
      <c r="F266" s="67"/>
    </row>
    <row r="267" spans="1:7" x14ac:dyDescent="0.25">
      <c r="A267" s="162" t="s">
        <v>502</v>
      </c>
      <c r="B267" s="162" t="s">
        <v>63</v>
      </c>
      <c r="C267" s="162"/>
      <c r="D267" s="162"/>
      <c r="E267" s="162"/>
      <c r="F267" s="162"/>
    </row>
    <row r="268" spans="1:7" x14ac:dyDescent="0.25">
      <c r="A268" s="162" t="s">
        <v>64</v>
      </c>
      <c r="B268" s="162" t="s">
        <v>506</v>
      </c>
      <c r="C268" s="162"/>
      <c r="D268" s="68"/>
      <c r="E268" s="69"/>
      <c r="F268" s="162"/>
    </row>
    <row r="269" spans="1:7" ht="24" x14ac:dyDescent="0.25">
      <c r="A269" s="144" t="s">
        <v>500</v>
      </c>
      <c r="B269" s="144" t="s">
        <v>12</v>
      </c>
      <c r="C269" s="1804" t="s">
        <v>13</v>
      </c>
      <c r="D269" s="1804"/>
      <c r="E269" s="11" t="s">
        <v>14</v>
      </c>
      <c r="F269" s="144" t="s">
        <v>15</v>
      </c>
      <c r="G269" s="145" t="s">
        <v>301</v>
      </c>
    </row>
    <row r="270" spans="1:7" x14ac:dyDescent="0.25">
      <c r="A270" s="146">
        <v>1</v>
      </c>
      <c r="B270" s="146">
        <v>2</v>
      </c>
      <c r="C270" s="1801">
        <v>3</v>
      </c>
      <c r="D270" s="1802"/>
      <c r="E270" s="54">
        <v>4</v>
      </c>
      <c r="F270" s="167">
        <v>5</v>
      </c>
      <c r="G270" s="147">
        <v>6</v>
      </c>
    </row>
    <row r="271" spans="1:7" x14ac:dyDescent="0.25">
      <c r="A271" s="2" t="s">
        <v>507</v>
      </c>
      <c r="B271" s="2" t="s">
        <v>351</v>
      </c>
      <c r="C271" s="167"/>
      <c r="D271" s="168"/>
      <c r="E271" s="70"/>
      <c r="F271" s="167"/>
      <c r="G271" s="146"/>
    </row>
    <row r="272" spans="1:7" x14ac:dyDescent="0.25">
      <c r="A272" s="2" t="s">
        <v>508</v>
      </c>
      <c r="B272" s="2" t="s">
        <v>88</v>
      </c>
      <c r="C272" s="167"/>
      <c r="D272" s="168"/>
      <c r="E272" s="70"/>
      <c r="F272" s="167"/>
      <c r="G272" s="146"/>
    </row>
    <row r="273" spans="1:7" x14ac:dyDescent="0.25">
      <c r="A273" s="16" t="s">
        <v>509</v>
      </c>
      <c r="B273" s="4" t="s">
        <v>354</v>
      </c>
      <c r="C273" s="6"/>
      <c r="D273" s="25"/>
      <c r="E273" s="12"/>
      <c r="F273" s="258"/>
      <c r="G273" s="152"/>
    </row>
    <row r="274" spans="1:7" x14ac:dyDescent="0.25">
      <c r="A274" s="16"/>
      <c r="B274" s="4" t="s">
        <v>510</v>
      </c>
      <c r="C274" s="6">
        <v>20</v>
      </c>
      <c r="D274" s="25" t="s">
        <v>315</v>
      </c>
      <c r="E274" s="12">
        <v>15000</v>
      </c>
      <c r="F274" s="258">
        <f>E274*C274</f>
        <v>300000</v>
      </c>
      <c r="G274" s="152"/>
    </row>
    <row r="275" spans="1:7" x14ac:dyDescent="0.25">
      <c r="A275" s="16"/>
      <c r="B275" s="4"/>
      <c r="C275" s="6"/>
      <c r="D275" s="25"/>
      <c r="E275" s="12"/>
      <c r="F275" s="258"/>
      <c r="G275" s="152"/>
    </row>
    <row r="276" spans="1:7" x14ac:dyDescent="0.25">
      <c r="A276" s="16" t="s">
        <v>511</v>
      </c>
      <c r="B276" s="4" t="s">
        <v>376</v>
      </c>
      <c r="C276" s="6"/>
      <c r="D276" s="25"/>
      <c r="E276" s="12"/>
      <c r="F276" s="258"/>
      <c r="G276" s="152"/>
    </row>
    <row r="277" spans="1:7" x14ac:dyDescent="0.25">
      <c r="A277" s="16"/>
      <c r="B277" s="4" t="s">
        <v>377</v>
      </c>
      <c r="C277" s="6">
        <v>1</v>
      </c>
      <c r="D277" s="25" t="s">
        <v>102</v>
      </c>
      <c r="E277" s="12">
        <v>90000</v>
      </c>
      <c r="F277" s="258">
        <f>E277*C277</f>
        <v>90000</v>
      </c>
      <c r="G277" s="152"/>
    </row>
    <row r="278" spans="1:7" x14ac:dyDescent="0.25">
      <c r="A278" s="16"/>
      <c r="B278" s="4"/>
      <c r="C278" s="6"/>
      <c r="D278" s="25"/>
      <c r="E278" s="12"/>
      <c r="F278" s="258"/>
      <c r="G278" s="152"/>
    </row>
    <row r="279" spans="1:7" x14ac:dyDescent="0.25">
      <c r="A279" s="16" t="s">
        <v>1453</v>
      </c>
      <c r="B279" s="4" t="s">
        <v>495</v>
      </c>
      <c r="C279" s="6"/>
      <c r="D279" s="25"/>
      <c r="E279" s="12"/>
      <c r="F279" s="258"/>
      <c r="G279" s="152"/>
    </row>
    <row r="280" spans="1:7" x14ac:dyDescent="0.25">
      <c r="A280" s="16"/>
      <c r="B280" s="4" t="s">
        <v>496</v>
      </c>
      <c r="C280" s="6">
        <v>2</v>
      </c>
      <c r="D280" s="25" t="s">
        <v>102</v>
      </c>
      <c r="E280" s="12">
        <v>50000</v>
      </c>
      <c r="F280" s="258">
        <f>E280*C280</f>
        <v>100000</v>
      </c>
      <c r="G280" s="152"/>
    </row>
    <row r="281" spans="1:7" x14ac:dyDescent="0.25">
      <c r="A281" s="16"/>
      <c r="B281" s="4" t="s">
        <v>321</v>
      </c>
      <c r="C281" s="6">
        <v>10</v>
      </c>
      <c r="D281" s="25" t="s">
        <v>186</v>
      </c>
      <c r="E281" s="12">
        <v>1000</v>
      </c>
      <c r="F281" s="258">
        <f>E281*C281</f>
        <v>10000</v>
      </c>
      <c r="G281" s="152"/>
    </row>
    <row r="282" spans="1:7" x14ac:dyDescent="0.25">
      <c r="A282" s="16"/>
      <c r="B282" s="4" t="s">
        <v>335</v>
      </c>
      <c r="C282" s="6">
        <v>2</v>
      </c>
      <c r="D282" s="25" t="s">
        <v>336</v>
      </c>
      <c r="E282" s="12">
        <v>10000</v>
      </c>
      <c r="F282" s="258">
        <f>E282*C282</f>
        <v>20000</v>
      </c>
      <c r="G282" s="152"/>
    </row>
    <row r="283" spans="1:7" x14ac:dyDescent="0.25">
      <c r="A283" s="16"/>
      <c r="B283" s="4"/>
      <c r="C283" s="6"/>
      <c r="D283" s="25"/>
      <c r="E283" s="12"/>
      <c r="F283" s="258"/>
      <c r="G283" s="152"/>
    </row>
    <row r="284" spans="1:7" x14ac:dyDescent="0.25">
      <c r="A284" s="16" t="s">
        <v>512</v>
      </c>
      <c r="B284" s="4" t="s">
        <v>415</v>
      </c>
      <c r="C284" s="6"/>
      <c r="D284" s="25"/>
      <c r="E284" s="21"/>
      <c r="F284" s="258"/>
      <c r="G284" s="152"/>
    </row>
    <row r="285" spans="1:7" ht="24.75" x14ac:dyDescent="0.25">
      <c r="A285" s="16" t="s">
        <v>513</v>
      </c>
      <c r="B285" s="4" t="s">
        <v>484</v>
      </c>
      <c r="C285" s="6"/>
      <c r="D285" s="25"/>
      <c r="E285" s="21"/>
      <c r="F285" s="258"/>
      <c r="G285" s="152"/>
    </row>
    <row r="286" spans="1:7" x14ac:dyDescent="0.25">
      <c r="A286" s="16"/>
      <c r="B286" s="4" t="s">
        <v>514</v>
      </c>
      <c r="C286" s="6">
        <v>2</v>
      </c>
      <c r="D286" s="25" t="s">
        <v>461</v>
      </c>
      <c r="E286" s="21">
        <v>300000</v>
      </c>
      <c r="F286" s="258">
        <f>E286*C286</f>
        <v>600000</v>
      </c>
      <c r="G286" s="152"/>
    </row>
    <row r="287" spans="1:7" x14ac:dyDescent="0.25">
      <c r="A287" s="20" t="s">
        <v>515</v>
      </c>
      <c r="B287" s="4" t="s">
        <v>516</v>
      </c>
      <c r="C287" s="6"/>
      <c r="D287" s="25"/>
      <c r="E287" s="21"/>
      <c r="F287" s="258"/>
      <c r="G287" s="152"/>
    </row>
    <row r="288" spans="1:7" x14ac:dyDescent="0.25">
      <c r="A288" s="20" t="s">
        <v>517</v>
      </c>
      <c r="B288" s="4" t="s">
        <v>518</v>
      </c>
      <c r="C288" s="6"/>
      <c r="D288" s="25"/>
      <c r="E288" s="21"/>
      <c r="F288" s="258"/>
      <c r="G288" s="152"/>
    </row>
    <row r="289" spans="1:16" x14ac:dyDescent="0.25">
      <c r="A289" s="20"/>
      <c r="B289" s="4" t="s">
        <v>519</v>
      </c>
      <c r="C289" s="6">
        <v>12</v>
      </c>
      <c r="D289" s="25" t="s">
        <v>520</v>
      </c>
      <c r="E289" s="21">
        <v>1500000</v>
      </c>
      <c r="F289" s="258">
        <f>E289*C289</f>
        <v>18000000</v>
      </c>
      <c r="G289" s="152"/>
    </row>
    <row r="290" spans="1:16" x14ac:dyDescent="0.25">
      <c r="A290" s="16"/>
      <c r="B290" s="4"/>
      <c r="C290" s="6"/>
      <c r="D290" s="25"/>
      <c r="E290" s="21"/>
      <c r="F290" s="258"/>
      <c r="G290" s="32"/>
    </row>
    <row r="291" spans="1:16" x14ac:dyDescent="0.25">
      <c r="A291" s="16"/>
      <c r="B291" s="4"/>
      <c r="C291" s="6"/>
      <c r="D291" s="25"/>
      <c r="E291" s="21"/>
      <c r="F291" s="189"/>
      <c r="G291" s="32"/>
    </row>
    <row r="292" spans="1:16" x14ac:dyDescent="0.25">
      <c r="A292" s="16"/>
      <c r="B292" s="1861" t="s">
        <v>27</v>
      </c>
      <c r="C292" s="1805"/>
      <c r="D292" s="1805"/>
      <c r="E292" s="1806"/>
      <c r="F292" s="189">
        <f>SUM(F273:F291)</f>
        <v>19120000</v>
      </c>
      <c r="G292" s="32" t="s">
        <v>1690</v>
      </c>
      <c r="P292" s="175">
        <f>F292</f>
        <v>19120000</v>
      </c>
    </row>
    <row r="294" spans="1:16" x14ac:dyDescent="0.25">
      <c r="A294" s="1807" t="s">
        <v>614</v>
      </c>
      <c r="B294" s="1807"/>
      <c r="C294" s="5" t="s">
        <v>28</v>
      </c>
      <c r="D294" s="1808" t="s">
        <v>1698</v>
      </c>
      <c r="E294" s="1808"/>
      <c r="F294" s="1808"/>
      <c r="G294" s="5"/>
    </row>
    <row r="295" spans="1:16" x14ac:dyDescent="0.25">
      <c r="A295" s="1807" t="s">
        <v>29</v>
      </c>
      <c r="B295" s="1807"/>
      <c r="C295" s="5"/>
      <c r="D295" s="1809" t="s">
        <v>2988</v>
      </c>
      <c r="E295" s="1809"/>
      <c r="F295" s="1809"/>
      <c r="G295" s="5"/>
    </row>
    <row r="296" spans="1:16" x14ac:dyDescent="0.25">
      <c r="A296" s="1"/>
      <c r="B296" s="3"/>
      <c r="C296" s="5"/>
      <c r="D296" s="7"/>
      <c r="E296" s="17"/>
      <c r="F296" s="17"/>
      <c r="G296" s="5"/>
    </row>
    <row r="297" spans="1:16" x14ac:dyDescent="0.25">
      <c r="A297" s="1"/>
      <c r="B297" s="3"/>
      <c r="C297" s="5"/>
      <c r="D297" s="7"/>
      <c r="E297" s="17"/>
      <c r="F297" s="17"/>
      <c r="G297" s="5"/>
    </row>
    <row r="298" spans="1:16" x14ac:dyDescent="0.25">
      <c r="A298" s="1807"/>
      <c r="B298" s="1807"/>
      <c r="C298" s="5"/>
      <c r="D298" s="7"/>
      <c r="E298" s="1807"/>
      <c r="F298" s="1807"/>
      <c r="G298" s="5"/>
    </row>
    <row r="299" spans="1:16" x14ac:dyDescent="0.25">
      <c r="A299" s="1807" t="s">
        <v>30</v>
      </c>
      <c r="B299" s="1807"/>
      <c r="C299" s="5"/>
      <c r="D299" s="1807" t="s">
        <v>2998</v>
      </c>
      <c r="E299" s="1807"/>
      <c r="F299" s="1807"/>
      <c r="G299" s="5"/>
    </row>
    <row r="300" spans="1:16" x14ac:dyDescent="0.25">
      <c r="A300" s="1800" t="s">
        <v>0</v>
      </c>
      <c r="B300" s="1800"/>
      <c r="C300" s="1800"/>
      <c r="D300" s="1800"/>
      <c r="E300" s="1800"/>
      <c r="F300" s="1800"/>
      <c r="G300" s="138"/>
    </row>
    <row r="301" spans="1:16" x14ac:dyDescent="0.25">
      <c r="A301" s="1800" t="s">
        <v>1</v>
      </c>
      <c r="B301" s="1800"/>
      <c r="C301" s="1800"/>
      <c r="D301" s="1800"/>
      <c r="E301" s="1800"/>
      <c r="F301" s="1800"/>
      <c r="G301" s="138"/>
    </row>
    <row r="302" spans="1:16" x14ac:dyDescent="0.25">
      <c r="A302" s="1800" t="s">
        <v>1697</v>
      </c>
      <c r="B302" s="1800"/>
      <c r="C302" s="1800"/>
      <c r="D302" s="1800"/>
      <c r="E302" s="1800"/>
      <c r="F302" s="1800"/>
      <c r="G302" s="138"/>
    </row>
    <row r="303" spans="1:16" x14ac:dyDescent="0.25">
      <c r="A303" s="138"/>
      <c r="B303" s="138"/>
      <c r="C303" s="138"/>
      <c r="D303" s="138"/>
      <c r="E303" s="138"/>
      <c r="F303" s="138"/>
      <c r="G303" s="138"/>
    </row>
    <row r="304" spans="1:16" x14ac:dyDescent="0.25">
      <c r="A304" s="304" t="s">
        <v>296</v>
      </c>
      <c r="B304" s="295" t="s">
        <v>486</v>
      </c>
      <c r="C304" s="304"/>
      <c r="D304" s="304"/>
      <c r="E304" s="8"/>
      <c r="F304" s="8"/>
    </row>
    <row r="305" spans="1:7" x14ac:dyDescent="0.25">
      <c r="A305" s="304" t="s">
        <v>297</v>
      </c>
      <c r="B305" s="295" t="s">
        <v>487</v>
      </c>
      <c r="C305" s="304"/>
      <c r="D305" s="304"/>
      <c r="E305" s="67"/>
      <c r="F305" s="8" t="s">
        <v>6</v>
      </c>
    </row>
    <row r="306" spans="1:7" x14ac:dyDescent="0.25">
      <c r="A306" s="306" t="s">
        <v>298</v>
      </c>
      <c r="B306" s="306" t="s">
        <v>488</v>
      </c>
      <c r="C306" s="306"/>
      <c r="D306" s="306"/>
      <c r="E306" s="306"/>
      <c r="F306" s="67" t="s">
        <v>9</v>
      </c>
    </row>
    <row r="307" spans="1:7" x14ac:dyDescent="0.25">
      <c r="A307" s="298" t="s">
        <v>62</v>
      </c>
      <c r="B307" s="298" t="s">
        <v>63</v>
      </c>
      <c r="C307" s="298"/>
      <c r="D307" s="5"/>
      <c r="E307" s="5"/>
      <c r="F307" s="5"/>
    </row>
    <row r="308" spans="1:7" x14ac:dyDescent="0.25">
      <c r="A308" s="298" t="s">
        <v>64</v>
      </c>
      <c r="B308" s="298" t="s">
        <v>65</v>
      </c>
      <c r="C308" s="298"/>
      <c r="D308" s="1808"/>
      <c r="E308" s="1808"/>
      <c r="F308" s="5"/>
    </row>
    <row r="309" spans="1:7" x14ac:dyDescent="0.25">
      <c r="A309" s="3"/>
      <c r="B309" s="3"/>
      <c r="C309" s="3"/>
      <c r="D309" s="3"/>
      <c r="E309" s="3"/>
      <c r="F309" s="3"/>
    </row>
    <row r="310" spans="1:7" ht="24" x14ac:dyDescent="0.25">
      <c r="A310" s="144" t="s">
        <v>500</v>
      </c>
      <c r="B310" s="144" t="s">
        <v>12</v>
      </c>
      <c r="C310" s="1804" t="s">
        <v>13</v>
      </c>
      <c r="D310" s="1804"/>
      <c r="E310" s="11" t="s">
        <v>14</v>
      </c>
      <c r="F310" s="144" t="s">
        <v>15</v>
      </c>
      <c r="G310" s="145" t="s">
        <v>301</v>
      </c>
    </row>
    <row r="311" spans="1:7" x14ac:dyDescent="0.25">
      <c r="A311" s="146">
        <v>1</v>
      </c>
      <c r="B311" s="146">
        <v>2</v>
      </c>
      <c r="C311" s="1801">
        <v>3</v>
      </c>
      <c r="D311" s="1802"/>
      <c r="E311" s="54">
        <v>4</v>
      </c>
      <c r="F311" s="167">
        <v>5</v>
      </c>
      <c r="G311" s="147">
        <v>6</v>
      </c>
    </row>
    <row r="312" spans="1:7" x14ac:dyDescent="0.25">
      <c r="A312" s="2" t="s">
        <v>489</v>
      </c>
      <c r="B312" s="153" t="s">
        <v>351</v>
      </c>
      <c r="C312" s="167"/>
      <c r="D312" s="168"/>
      <c r="E312" s="70"/>
      <c r="F312" s="167"/>
      <c r="G312" s="20"/>
    </row>
    <row r="313" spans="1:7" x14ac:dyDescent="0.25">
      <c r="A313" s="2" t="s">
        <v>490</v>
      </c>
      <c r="B313" s="153" t="s">
        <v>88</v>
      </c>
      <c r="C313" s="167"/>
      <c r="D313" s="168"/>
      <c r="E313" s="70"/>
      <c r="F313" s="167"/>
      <c r="G313" s="20"/>
    </row>
    <row r="314" spans="1:7" x14ac:dyDescent="0.25">
      <c r="A314" s="16" t="s">
        <v>491</v>
      </c>
      <c r="B314" s="4" t="s">
        <v>354</v>
      </c>
      <c r="C314" s="6"/>
      <c r="D314" s="25"/>
      <c r="E314" s="12"/>
      <c r="F314" s="258"/>
      <c r="G314" s="179"/>
    </row>
    <row r="315" spans="1:7" x14ac:dyDescent="0.25">
      <c r="A315" s="16"/>
      <c r="B315" s="4" t="s">
        <v>492</v>
      </c>
      <c r="C315" s="6">
        <v>60</v>
      </c>
      <c r="D315" s="25" t="s">
        <v>315</v>
      </c>
      <c r="E315" s="12">
        <v>15000</v>
      </c>
      <c r="F315" s="258">
        <f>E315*C315</f>
        <v>900000</v>
      </c>
      <c r="G315" s="179"/>
    </row>
    <row r="316" spans="1:7" x14ac:dyDescent="0.25">
      <c r="A316" s="16"/>
      <c r="B316" s="4"/>
      <c r="C316" s="6"/>
      <c r="D316" s="25"/>
      <c r="E316" s="12"/>
      <c r="F316" s="258"/>
      <c r="G316" s="179"/>
    </row>
    <row r="317" spans="1:7" x14ac:dyDescent="0.25">
      <c r="A317" s="16" t="s">
        <v>493</v>
      </c>
      <c r="B317" s="4" t="s">
        <v>376</v>
      </c>
      <c r="C317" s="6"/>
      <c r="D317" s="25"/>
      <c r="E317" s="12"/>
      <c r="F317" s="258"/>
      <c r="G317" s="179"/>
    </row>
    <row r="318" spans="1:7" x14ac:dyDescent="0.25">
      <c r="A318" s="16"/>
      <c r="B318" s="4" t="s">
        <v>377</v>
      </c>
      <c r="C318" s="6">
        <v>1</v>
      </c>
      <c r="D318" s="25" t="s">
        <v>102</v>
      </c>
      <c r="E318" s="12">
        <v>90000</v>
      </c>
      <c r="F318" s="258">
        <f>E318*C318</f>
        <v>90000</v>
      </c>
      <c r="G318" s="179"/>
    </row>
    <row r="319" spans="1:7" x14ac:dyDescent="0.25">
      <c r="A319" s="16"/>
      <c r="B319" s="4"/>
      <c r="C319" s="6"/>
      <c r="D319" s="25"/>
      <c r="E319" s="12"/>
      <c r="F319" s="258"/>
      <c r="G319" s="179"/>
    </row>
    <row r="320" spans="1:7" x14ac:dyDescent="0.25">
      <c r="A320" s="16" t="s">
        <v>494</v>
      </c>
      <c r="B320" s="4" t="s">
        <v>495</v>
      </c>
      <c r="C320" s="6"/>
      <c r="D320" s="25"/>
      <c r="E320" s="12"/>
      <c r="F320" s="258"/>
      <c r="G320" s="179"/>
    </row>
    <row r="321" spans="1:20" x14ac:dyDescent="0.25">
      <c r="A321" s="16"/>
      <c r="B321" s="4" t="s">
        <v>496</v>
      </c>
      <c r="C321" s="6">
        <v>1</v>
      </c>
      <c r="D321" s="25" t="s">
        <v>102</v>
      </c>
      <c r="E321" s="12">
        <v>50000</v>
      </c>
      <c r="F321" s="258">
        <f>E321*C321</f>
        <v>50000</v>
      </c>
      <c r="G321" s="179"/>
    </row>
    <row r="322" spans="1:20" x14ac:dyDescent="0.25">
      <c r="A322" s="16"/>
      <c r="B322" s="4" t="s">
        <v>321</v>
      </c>
      <c r="C322" s="6">
        <v>5</v>
      </c>
      <c r="D322" s="25" t="s">
        <v>186</v>
      </c>
      <c r="E322" s="12">
        <v>1000</v>
      </c>
      <c r="F322" s="258">
        <f>E322*C322</f>
        <v>5000</v>
      </c>
      <c r="G322" s="179"/>
    </row>
    <row r="323" spans="1:20" x14ac:dyDescent="0.25">
      <c r="A323" s="16"/>
      <c r="B323" s="4" t="s">
        <v>335</v>
      </c>
      <c r="C323" s="6">
        <v>1</v>
      </c>
      <c r="D323" s="25" t="s">
        <v>336</v>
      </c>
      <c r="E323" s="12">
        <v>10000</v>
      </c>
      <c r="F323" s="258">
        <f>E323*C323</f>
        <v>10000</v>
      </c>
      <c r="G323" s="179"/>
    </row>
    <row r="324" spans="1:20" x14ac:dyDescent="0.25">
      <c r="A324" s="16"/>
      <c r="B324" s="4"/>
      <c r="C324" s="6"/>
      <c r="D324" s="25"/>
      <c r="E324" s="12"/>
      <c r="F324" s="258"/>
      <c r="G324" s="179"/>
    </row>
    <row r="325" spans="1:20" x14ac:dyDescent="0.25">
      <c r="A325" s="16" t="s">
        <v>497</v>
      </c>
      <c r="B325" s="4" t="s">
        <v>415</v>
      </c>
      <c r="C325" s="6"/>
      <c r="D325" s="25"/>
      <c r="E325" s="21"/>
      <c r="F325" s="258"/>
      <c r="G325" s="179"/>
    </row>
    <row r="326" spans="1:20" ht="24.75" x14ac:dyDescent="0.25">
      <c r="A326" s="16" t="s">
        <v>498</v>
      </c>
      <c r="B326" s="4" t="s">
        <v>484</v>
      </c>
      <c r="C326" s="6"/>
      <c r="D326" s="25"/>
      <c r="E326" s="21"/>
      <c r="F326" s="258"/>
      <c r="G326" s="179"/>
    </row>
    <row r="327" spans="1:20" x14ac:dyDescent="0.25">
      <c r="A327" s="16"/>
      <c r="B327" s="4" t="s">
        <v>499</v>
      </c>
      <c r="C327" s="6">
        <v>2</v>
      </c>
      <c r="D327" s="25" t="s">
        <v>461</v>
      </c>
      <c r="E327" s="21">
        <v>300000</v>
      </c>
      <c r="F327" s="258">
        <f>E327*C327</f>
        <v>600000</v>
      </c>
      <c r="G327" s="179"/>
    </row>
    <row r="328" spans="1:20" x14ac:dyDescent="0.25">
      <c r="A328" s="16"/>
      <c r="B328" s="16"/>
      <c r="C328" s="6"/>
      <c r="D328" s="25"/>
      <c r="E328" s="21"/>
      <c r="F328" s="258"/>
      <c r="G328" s="179"/>
    </row>
    <row r="329" spans="1:20" ht="24.75" x14ac:dyDescent="0.25">
      <c r="A329" s="236"/>
      <c r="B329" s="1861" t="s">
        <v>27</v>
      </c>
      <c r="C329" s="1805"/>
      <c r="D329" s="1805"/>
      <c r="E329" s="1806"/>
      <c r="F329" s="189">
        <f>SUM(F314:F327)</f>
        <v>1655000</v>
      </c>
      <c r="G329" s="179" t="s">
        <v>2626</v>
      </c>
      <c r="S329" s="175">
        <f>F329</f>
        <v>1655000</v>
      </c>
      <c r="T329" s="175"/>
    </row>
    <row r="331" spans="1:20" x14ac:dyDescent="0.25">
      <c r="A331" s="1807" t="s">
        <v>614</v>
      </c>
      <c r="B331" s="1807"/>
      <c r="C331" s="5" t="s">
        <v>28</v>
      </c>
      <c r="D331" s="1808" t="s">
        <v>1698</v>
      </c>
      <c r="E331" s="1808"/>
      <c r="F331" s="1808"/>
      <c r="G331" s="5"/>
    </row>
    <row r="332" spans="1:20" x14ac:dyDescent="0.25">
      <c r="A332" s="1807" t="s">
        <v>29</v>
      </c>
      <c r="B332" s="1807"/>
      <c r="C332" s="5"/>
      <c r="D332" s="1809" t="s">
        <v>2994</v>
      </c>
      <c r="E332" s="1809"/>
      <c r="F332" s="1809"/>
      <c r="G332" s="5"/>
    </row>
    <row r="333" spans="1:20" x14ac:dyDescent="0.25">
      <c r="A333" s="1"/>
      <c r="B333" s="3"/>
      <c r="C333" s="5"/>
      <c r="D333" s="7"/>
      <c r="E333" s="17"/>
      <c r="F333" s="17"/>
      <c r="G333" s="5"/>
    </row>
    <row r="334" spans="1:20" x14ac:dyDescent="0.25">
      <c r="A334" s="1"/>
      <c r="B334" s="3"/>
      <c r="C334" s="5"/>
      <c r="D334" s="7"/>
      <c r="E334" s="17"/>
      <c r="F334" s="17"/>
      <c r="G334" s="5"/>
    </row>
    <row r="335" spans="1:20" x14ac:dyDescent="0.25">
      <c r="A335" s="1807"/>
      <c r="B335" s="1807"/>
      <c r="C335" s="5"/>
      <c r="D335" s="7"/>
      <c r="E335" s="1807"/>
      <c r="F335" s="1807"/>
      <c r="G335" s="5"/>
    </row>
    <row r="336" spans="1:20" x14ac:dyDescent="0.25">
      <c r="A336" s="1807" t="s">
        <v>30</v>
      </c>
      <c r="B336" s="1807"/>
      <c r="C336" s="5"/>
      <c r="D336" s="1807" t="s">
        <v>2995</v>
      </c>
      <c r="E336" s="1807"/>
      <c r="F336" s="1807"/>
      <c r="G336" s="5"/>
    </row>
    <row r="337" spans="1:7" x14ac:dyDescent="0.25">
      <c r="A337" s="136"/>
      <c r="B337" s="136"/>
      <c r="C337" s="5"/>
      <c r="D337" s="136"/>
      <c r="E337" s="136"/>
      <c r="F337" s="136"/>
      <c r="G337" s="5"/>
    </row>
    <row r="338" spans="1:7" x14ac:dyDescent="0.25">
      <c r="A338" s="1865" t="s">
        <v>0</v>
      </c>
      <c r="B338" s="1865"/>
      <c r="C338" s="1865"/>
      <c r="D338" s="1865"/>
      <c r="E338" s="1865"/>
      <c r="F338" s="1865"/>
      <c r="G338" s="684"/>
    </row>
    <row r="339" spans="1:7" x14ac:dyDescent="0.25">
      <c r="A339" s="1865" t="s">
        <v>1</v>
      </c>
      <c r="B339" s="1865"/>
      <c r="C339" s="1865"/>
      <c r="D339" s="1865"/>
      <c r="E339" s="1865"/>
      <c r="F339" s="1865"/>
      <c r="G339" s="684"/>
    </row>
    <row r="340" spans="1:7" x14ac:dyDescent="0.25">
      <c r="A340" s="1865" t="s">
        <v>1697</v>
      </c>
      <c r="B340" s="1865"/>
      <c r="C340" s="1865"/>
      <c r="D340" s="1865"/>
      <c r="E340" s="1865"/>
      <c r="F340" s="1865"/>
      <c r="G340" s="684"/>
    </row>
    <row r="341" spans="1:7" x14ac:dyDescent="0.25">
      <c r="A341" s="597"/>
      <c r="B341" s="597"/>
      <c r="C341" s="597"/>
      <c r="D341" s="597"/>
      <c r="E341" s="597"/>
      <c r="F341" s="597"/>
      <c r="G341" s="684"/>
    </row>
    <row r="342" spans="1:7" x14ac:dyDescent="0.25">
      <c r="A342" s="240" t="s">
        <v>296</v>
      </c>
      <c r="B342" s="240" t="s">
        <v>1987</v>
      </c>
      <c r="C342" s="240"/>
      <c r="D342" s="240"/>
      <c r="E342" s="240"/>
      <c r="F342" s="240"/>
      <c r="G342" s="278"/>
    </row>
    <row r="343" spans="1:7" x14ac:dyDescent="0.25">
      <c r="A343" s="240" t="s">
        <v>297</v>
      </c>
      <c r="B343" s="240" t="s">
        <v>1988</v>
      </c>
      <c r="C343" s="240"/>
      <c r="D343" s="240"/>
      <c r="E343" s="240" t="s">
        <v>6</v>
      </c>
      <c r="F343" s="240"/>
      <c r="G343" s="278"/>
    </row>
    <row r="344" spans="1:7" ht="69" customHeight="1" x14ac:dyDescent="0.25">
      <c r="A344" s="825" t="s">
        <v>298</v>
      </c>
      <c r="B344" s="827" t="s">
        <v>1989</v>
      </c>
      <c r="C344" s="827"/>
      <c r="D344" s="826"/>
      <c r="E344" s="826" t="s">
        <v>1849</v>
      </c>
      <c r="F344" s="825"/>
      <c r="G344" s="826"/>
    </row>
    <row r="345" spans="1:7" ht="30" x14ac:dyDescent="0.25">
      <c r="A345" s="827" t="s">
        <v>502</v>
      </c>
      <c r="B345" s="828" t="s">
        <v>63</v>
      </c>
      <c r="C345" s="828"/>
      <c r="D345" s="828"/>
      <c r="E345" s="828"/>
      <c r="F345" s="828"/>
      <c r="G345" s="827"/>
    </row>
    <row r="346" spans="1:7" ht="30" x14ac:dyDescent="0.25">
      <c r="A346" s="278" t="s">
        <v>64</v>
      </c>
      <c r="B346" s="240" t="s">
        <v>65</v>
      </c>
      <c r="C346" s="240"/>
      <c r="D346" s="240"/>
      <c r="E346" s="240"/>
      <c r="F346" s="240"/>
      <c r="G346" s="278"/>
    </row>
    <row r="347" spans="1:7" ht="30" x14ac:dyDescent="0.25">
      <c r="A347" s="361" t="s">
        <v>300</v>
      </c>
      <c r="B347" s="361" t="s">
        <v>12</v>
      </c>
      <c r="C347" s="2024" t="s">
        <v>13</v>
      </c>
      <c r="D347" s="2025"/>
      <c r="E347" s="361" t="s">
        <v>14</v>
      </c>
      <c r="F347" s="361" t="s">
        <v>15</v>
      </c>
      <c r="G347" s="361" t="s">
        <v>301</v>
      </c>
    </row>
    <row r="348" spans="1:7" x14ac:dyDescent="0.25">
      <c r="A348" s="346">
        <v>1</v>
      </c>
      <c r="B348" s="346">
        <v>2</v>
      </c>
      <c r="C348" s="2046">
        <v>3</v>
      </c>
      <c r="D348" s="2047"/>
      <c r="E348" s="346">
        <v>4</v>
      </c>
      <c r="F348" s="346">
        <v>5</v>
      </c>
      <c r="G348" s="831">
        <v>6</v>
      </c>
    </row>
    <row r="349" spans="1:7" x14ac:dyDescent="0.25">
      <c r="A349" s="896"/>
      <c r="B349" s="897" t="s">
        <v>1990</v>
      </c>
      <c r="C349" s="898"/>
      <c r="D349" s="899"/>
      <c r="E349" s="900"/>
      <c r="F349" s="896"/>
      <c r="G349" s="252"/>
    </row>
    <row r="350" spans="1:7" x14ac:dyDescent="0.25">
      <c r="A350" s="901" t="s">
        <v>1991</v>
      </c>
      <c r="B350" s="902" t="s">
        <v>323</v>
      </c>
      <c r="C350" s="898"/>
      <c r="D350" s="899"/>
      <c r="E350" s="900"/>
      <c r="F350" s="896"/>
      <c r="G350" s="252"/>
    </row>
    <row r="351" spans="1:7" x14ac:dyDescent="0.25">
      <c r="A351" s="901" t="s">
        <v>1992</v>
      </c>
      <c r="B351" s="902" t="s">
        <v>88</v>
      </c>
      <c r="C351" s="898"/>
      <c r="D351" s="900"/>
      <c r="E351" s="900"/>
      <c r="F351" s="896"/>
      <c r="G351" s="252"/>
    </row>
    <row r="352" spans="1:7" x14ac:dyDescent="0.25">
      <c r="A352" s="901" t="s">
        <v>1993</v>
      </c>
      <c r="B352" s="897" t="s">
        <v>845</v>
      </c>
      <c r="C352" s="898"/>
      <c r="D352" s="903"/>
      <c r="E352" s="900"/>
      <c r="F352" s="896"/>
      <c r="G352" s="241"/>
    </row>
    <row r="353" spans="1:19" x14ac:dyDescent="0.25">
      <c r="A353" s="901"/>
      <c r="B353" s="904" t="s">
        <v>1851</v>
      </c>
      <c r="C353" s="898">
        <v>5</v>
      </c>
      <c r="D353" s="900" t="s">
        <v>102</v>
      </c>
      <c r="E353" s="905">
        <v>5000</v>
      </c>
      <c r="F353" s="906">
        <f>C353*E353</f>
        <v>25000</v>
      </c>
      <c r="G353" s="252"/>
    </row>
    <row r="354" spans="1:19" x14ac:dyDescent="0.25">
      <c r="A354" s="901"/>
      <c r="B354" s="904" t="s">
        <v>646</v>
      </c>
      <c r="C354" s="898">
        <v>5</v>
      </c>
      <c r="D354" s="900" t="s">
        <v>102</v>
      </c>
      <c r="E354" s="905">
        <v>6000</v>
      </c>
      <c r="F354" s="906">
        <f>C354*E354</f>
        <v>30000</v>
      </c>
      <c r="G354" s="252"/>
    </row>
    <row r="355" spans="1:19" x14ac:dyDescent="0.25">
      <c r="A355" s="901"/>
      <c r="B355" s="904" t="s">
        <v>663</v>
      </c>
      <c r="C355" s="898">
        <v>2</v>
      </c>
      <c r="D355" s="900" t="s">
        <v>102</v>
      </c>
      <c r="E355" s="905">
        <v>8000</v>
      </c>
      <c r="F355" s="906">
        <f>C355*E355</f>
        <v>16000</v>
      </c>
      <c r="G355" s="252"/>
    </row>
    <row r="356" spans="1:19" x14ac:dyDescent="0.25">
      <c r="A356" s="901"/>
      <c r="B356" s="904" t="s">
        <v>686</v>
      </c>
      <c r="C356" s="898">
        <v>2</v>
      </c>
      <c r="D356" s="900" t="s">
        <v>102</v>
      </c>
      <c r="E356" s="905">
        <v>8000</v>
      </c>
      <c r="F356" s="906">
        <f>C356*E356</f>
        <v>16000</v>
      </c>
      <c r="G356" s="252"/>
    </row>
    <row r="357" spans="1:19" x14ac:dyDescent="0.25">
      <c r="A357" s="901" t="s">
        <v>1994</v>
      </c>
      <c r="B357" s="897" t="s">
        <v>354</v>
      </c>
      <c r="C357" s="907"/>
      <c r="D357" s="900"/>
      <c r="E357" s="908"/>
      <c r="F357" s="909"/>
      <c r="G357" s="252"/>
    </row>
    <row r="358" spans="1:19" x14ac:dyDescent="0.25">
      <c r="A358" s="901"/>
      <c r="B358" s="910" t="s">
        <v>1995</v>
      </c>
      <c r="C358" s="911">
        <v>30</v>
      </c>
      <c r="D358" s="900" t="s">
        <v>315</v>
      </c>
      <c r="E358" s="912">
        <v>15000</v>
      </c>
      <c r="F358" s="913">
        <f>C358*E358</f>
        <v>450000</v>
      </c>
      <c r="G358" s="252"/>
    </row>
    <row r="359" spans="1:19" x14ac:dyDescent="0.25">
      <c r="A359" s="901" t="s">
        <v>1996</v>
      </c>
      <c r="B359" s="897" t="s">
        <v>1997</v>
      </c>
      <c r="C359" s="911"/>
      <c r="D359" s="914"/>
      <c r="E359" s="908"/>
      <c r="F359" s="913"/>
      <c r="G359" s="252"/>
    </row>
    <row r="360" spans="1:19" x14ac:dyDescent="0.25">
      <c r="A360" s="901" t="s">
        <v>1998</v>
      </c>
      <c r="B360" s="897" t="s">
        <v>376</v>
      </c>
      <c r="C360" s="915"/>
      <c r="D360" s="903"/>
      <c r="E360" s="908"/>
      <c r="F360" s="913"/>
      <c r="G360" s="32"/>
    </row>
    <row r="361" spans="1:19" x14ac:dyDescent="0.25">
      <c r="A361" s="901"/>
      <c r="B361" s="910" t="s">
        <v>377</v>
      </c>
      <c r="C361" s="907">
        <v>1</v>
      </c>
      <c r="D361" s="900" t="s">
        <v>102</v>
      </c>
      <c r="E361" s="912">
        <v>90000</v>
      </c>
      <c r="F361" s="913">
        <f>C361*E361</f>
        <v>90000</v>
      </c>
      <c r="G361" s="32"/>
    </row>
    <row r="362" spans="1:19" x14ac:dyDescent="0.25">
      <c r="A362" s="901" t="s">
        <v>1999</v>
      </c>
      <c r="B362" s="897" t="s">
        <v>340</v>
      </c>
      <c r="C362" s="907"/>
      <c r="D362" s="900"/>
      <c r="E362" s="908"/>
      <c r="F362" s="913"/>
      <c r="G362" s="32"/>
    </row>
    <row r="363" spans="1:19" ht="24" x14ac:dyDescent="0.25">
      <c r="A363" s="901" t="s">
        <v>2000</v>
      </c>
      <c r="B363" s="902" t="s">
        <v>809</v>
      </c>
      <c r="C363" s="907"/>
      <c r="D363" s="900"/>
      <c r="E363" s="908"/>
      <c r="F363" s="913"/>
      <c r="G363" s="32"/>
    </row>
    <row r="364" spans="1:19" x14ac:dyDescent="0.25">
      <c r="A364" s="901"/>
      <c r="B364" s="910" t="s">
        <v>2001</v>
      </c>
      <c r="C364" s="898">
        <v>2</v>
      </c>
      <c r="D364" s="899" t="s">
        <v>315</v>
      </c>
      <c r="E364" s="912">
        <v>300000</v>
      </c>
      <c r="F364" s="913">
        <f>C364*E364</f>
        <v>600000</v>
      </c>
      <c r="G364" s="32"/>
    </row>
    <row r="365" spans="1:19" x14ac:dyDescent="0.25">
      <c r="A365" s="32"/>
      <c r="B365" s="916"/>
      <c r="C365" s="916"/>
      <c r="D365" s="847"/>
      <c r="E365" s="847"/>
      <c r="F365" s="32"/>
      <c r="G365" s="32"/>
    </row>
    <row r="366" spans="1:19" ht="30" x14ac:dyDescent="0.25">
      <c r="A366" s="32"/>
      <c r="B366" s="1883" t="s">
        <v>27</v>
      </c>
      <c r="C366" s="2048"/>
      <c r="D366" s="2048"/>
      <c r="E366" s="1885"/>
      <c r="F366" s="917">
        <f>SUM(F353:F364)</f>
        <v>1227000</v>
      </c>
      <c r="G366" s="66" t="s">
        <v>2625</v>
      </c>
      <c r="K366" s="286"/>
      <c r="R366" s="286">
        <f>F366</f>
        <v>1227000</v>
      </c>
      <c r="S366" s="286"/>
    </row>
    <row r="368" spans="1:19" x14ac:dyDescent="0.25">
      <c r="A368" s="1807" t="s">
        <v>614</v>
      </c>
      <c r="B368" s="1807"/>
      <c r="C368" s="5" t="s">
        <v>28</v>
      </c>
      <c r="D368" s="1808" t="s">
        <v>1700</v>
      </c>
      <c r="E368" s="1808"/>
      <c r="F368" s="1808"/>
      <c r="G368" s="5"/>
    </row>
    <row r="369" spans="1:7" x14ac:dyDescent="0.25">
      <c r="A369" s="1807" t="s">
        <v>29</v>
      </c>
      <c r="B369" s="1807"/>
      <c r="C369" s="5"/>
      <c r="D369" s="1809" t="s">
        <v>2996</v>
      </c>
      <c r="E369" s="1809"/>
      <c r="F369" s="1809"/>
      <c r="G369" s="5"/>
    </row>
    <row r="370" spans="1:7" x14ac:dyDescent="0.25">
      <c r="A370" s="1"/>
      <c r="B370" s="3"/>
      <c r="C370" s="5"/>
      <c r="D370" s="7"/>
      <c r="E370" s="17"/>
      <c r="F370" s="17"/>
      <c r="G370" s="5"/>
    </row>
    <row r="371" spans="1:7" x14ac:dyDescent="0.25">
      <c r="A371" s="1"/>
      <c r="B371" s="3"/>
      <c r="C371" s="5"/>
      <c r="D371" s="7"/>
      <c r="E371" s="17"/>
      <c r="F371" s="17"/>
      <c r="G371" s="5"/>
    </row>
    <row r="372" spans="1:7" x14ac:dyDescent="0.25">
      <c r="A372" s="1807"/>
      <c r="B372" s="1807"/>
      <c r="C372" s="5"/>
      <c r="D372" s="7"/>
      <c r="E372" s="1807"/>
      <c r="F372" s="1807"/>
      <c r="G372" s="5"/>
    </row>
    <row r="373" spans="1:7" x14ac:dyDescent="0.25">
      <c r="A373" s="1807" t="s">
        <v>30</v>
      </c>
      <c r="B373" s="1807"/>
      <c r="C373" s="5"/>
      <c r="D373" s="1807" t="s">
        <v>2993</v>
      </c>
      <c r="E373" s="1807"/>
      <c r="F373" s="1807"/>
      <c r="G373" s="5"/>
    </row>
    <row r="374" spans="1:7" x14ac:dyDescent="0.25">
      <c r="A374" s="136"/>
      <c r="B374" s="136"/>
      <c r="C374" s="5"/>
      <c r="D374" s="136"/>
      <c r="E374" s="136"/>
      <c r="F374" s="136"/>
      <c r="G374" s="5"/>
    </row>
    <row r="375" spans="1:7" x14ac:dyDescent="0.25">
      <c r="A375" s="1800" t="s">
        <v>0</v>
      </c>
      <c r="B375" s="1800"/>
      <c r="C375" s="1800"/>
      <c r="D375" s="1800"/>
      <c r="E375" s="1800"/>
      <c r="F375" s="1800"/>
      <c r="G375" s="1800"/>
    </row>
    <row r="376" spans="1:7" x14ac:dyDescent="0.25">
      <c r="A376" s="1800" t="s">
        <v>1</v>
      </c>
      <c r="B376" s="1800"/>
      <c r="C376" s="1800"/>
      <c r="D376" s="1800"/>
      <c r="E376" s="1800"/>
      <c r="F376" s="1800"/>
      <c r="G376" s="1800"/>
    </row>
    <row r="377" spans="1:7" x14ac:dyDescent="0.25">
      <c r="A377" s="1800" t="s">
        <v>607</v>
      </c>
      <c r="B377" s="1800"/>
      <c r="C377" s="1800"/>
      <c r="D377" s="1800"/>
      <c r="E377" s="1800"/>
      <c r="F377" s="1800"/>
      <c r="G377" s="1800"/>
    </row>
    <row r="378" spans="1:7" x14ac:dyDescent="0.25">
      <c r="A378" s="138"/>
      <c r="B378" s="138"/>
      <c r="C378" s="138"/>
      <c r="D378" s="138"/>
      <c r="E378" s="138"/>
      <c r="F378" s="138"/>
      <c r="G378" s="138"/>
    </row>
    <row r="379" spans="1:7" x14ac:dyDescent="0.25">
      <c r="A379" s="304" t="s">
        <v>296</v>
      </c>
      <c r="B379" s="295" t="s">
        <v>486</v>
      </c>
      <c r="C379" s="304"/>
      <c r="D379" s="304"/>
      <c r="E379" s="334"/>
      <c r="F379" s="334"/>
    </row>
    <row r="380" spans="1:7" x14ac:dyDescent="0.25">
      <c r="A380" s="304" t="s">
        <v>297</v>
      </c>
      <c r="B380" s="296" t="s">
        <v>558</v>
      </c>
      <c r="C380" s="304"/>
      <c r="D380" s="304"/>
      <c r="E380" s="334"/>
      <c r="F380" s="304"/>
    </row>
    <row r="381" spans="1:7" ht="66.75" customHeight="1" x14ac:dyDescent="0.25">
      <c r="A381" s="306" t="s">
        <v>298</v>
      </c>
      <c r="B381" s="306" t="s">
        <v>559</v>
      </c>
      <c r="C381" s="306"/>
      <c r="D381" s="306"/>
      <c r="E381" s="306"/>
      <c r="F381" s="306"/>
    </row>
    <row r="382" spans="1:7" x14ac:dyDescent="0.25">
      <c r="A382" s="298" t="s">
        <v>62</v>
      </c>
      <c r="B382" s="298" t="s">
        <v>63</v>
      </c>
      <c r="C382" s="298"/>
      <c r="D382" s="5"/>
      <c r="E382" s="5"/>
      <c r="F382" s="5"/>
    </row>
    <row r="383" spans="1:7" x14ac:dyDescent="0.25">
      <c r="A383" s="298" t="s">
        <v>64</v>
      </c>
      <c r="B383" s="298" t="s">
        <v>65</v>
      </c>
      <c r="C383" s="298"/>
      <c r="D383" s="1808"/>
      <c r="E383" s="1808"/>
      <c r="F383" s="5"/>
    </row>
    <row r="384" spans="1:7" x14ac:dyDescent="0.25">
      <c r="A384" s="3"/>
      <c r="B384" s="3"/>
      <c r="C384" s="3"/>
      <c r="D384" s="3"/>
      <c r="E384" s="3"/>
      <c r="F384" s="3"/>
    </row>
    <row r="385" spans="1:7" ht="24" x14ac:dyDescent="0.25">
      <c r="A385" s="144" t="s">
        <v>300</v>
      </c>
      <c r="B385" s="144" t="s">
        <v>12</v>
      </c>
      <c r="C385" s="1804" t="s">
        <v>13</v>
      </c>
      <c r="D385" s="1804"/>
      <c r="E385" s="11" t="s">
        <v>14</v>
      </c>
      <c r="F385" s="165" t="s">
        <v>15</v>
      </c>
      <c r="G385" s="267" t="s">
        <v>301</v>
      </c>
    </row>
    <row r="386" spans="1:7" x14ac:dyDescent="0.25">
      <c r="A386" s="144">
        <v>1</v>
      </c>
      <c r="B386" s="144">
        <v>2</v>
      </c>
      <c r="C386" s="1811">
        <v>3</v>
      </c>
      <c r="D386" s="1812"/>
      <c r="E386" s="33">
        <v>4</v>
      </c>
      <c r="F386" s="165">
        <v>5</v>
      </c>
      <c r="G386" s="268">
        <v>6</v>
      </c>
    </row>
    <row r="387" spans="1:7" x14ac:dyDescent="0.25">
      <c r="A387" s="2" t="s">
        <v>562</v>
      </c>
      <c r="B387" s="4" t="s">
        <v>553</v>
      </c>
      <c r="C387" s="167"/>
      <c r="D387" s="168"/>
      <c r="E387" s="70"/>
      <c r="F387" s="167"/>
      <c r="G387" s="20"/>
    </row>
    <row r="388" spans="1:7" x14ac:dyDescent="0.25">
      <c r="A388" s="2" t="s">
        <v>563</v>
      </c>
      <c r="B388" s="4" t="s">
        <v>88</v>
      </c>
      <c r="C388" s="167"/>
      <c r="D388" s="168"/>
      <c r="E388" s="70"/>
      <c r="F388" s="167"/>
      <c r="G388" s="20"/>
    </row>
    <row r="389" spans="1:7" x14ac:dyDescent="0.25">
      <c r="A389" s="2" t="s">
        <v>564</v>
      </c>
      <c r="B389" s="4" t="s">
        <v>354</v>
      </c>
      <c r="C389" s="6"/>
      <c r="D389" s="25"/>
      <c r="E389" s="12"/>
      <c r="F389" s="258"/>
      <c r="G389" s="20"/>
    </row>
    <row r="390" spans="1:7" x14ac:dyDescent="0.25">
      <c r="A390" s="16"/>
      <c r="B390" s="16" t="s">
        <v>571</v>
      </c>
      <c r="C390" s="6">
        <v>30</v>
      </c>
      <c r="D390" s="25" t="s">
        <v>565</v>
      </c>
      <c r="E390" s="12">
        <v>15000</v>
      </c>
      <c r="F390" s="258">
        <f>E390*C390</f>
        <v>450000</v>
      </c>
      <c r="G390" s="20"/>
    </row>
    <row r="391" spans="1:7" x14ac:dyDescent="0.25">
      <c r="A391" s="16"/>
      <c r="B391" s="16"/>
      <c r="C391" s="6"/>
      <c r="D391" s="25"/>
      <c r="E391" s="12"/>
      <c r="F391" s="258"/>
      <c r="G391" s="20"/>
    </row>
    <row r="392" spans="1:7" x14ac:dyDescent="0.25">
      <c r="A392" s="2" t="s">
        <v>566</v>
      </c>
      <c r="B392" s="4" t="s">
        <v>376</v>
      </c>
      <c r="C392" s="6"/>
      <c r="D392" s="25"/>
      <c r="E392" s="12"/>
      <c r="F392" s="258"/>
      <c r="G392" s="20"/>
    </row>
    <row r="393" spans="1:7" x14ac:dyDescent="0.25">
      <c r="A393" s="16"/>
      <c r="B393" s="16" t="s">
        <v>377</v>
      </c>
      <c r="C393" s="6">
        <v>1</v>
      </c>
      <c r="D393" s="25" t="s">
        <v>102</v>
      </c>
      <c r="E393" s="12">
        <v>90000</v>
      </c>
      <c r="F393" s="258">
        <f>E393*C393</f>
        <v>90000</v>
      </c>
      <c r="G393" s="20"/>
    </row>
    <row r="394" spans="1:7" x14ac:dyDescent="0.25">
      <c r="A394" s="16"/>
      <c r="B394" s="16"/>
      <c r="C394" s="6"/>
      <c r="D394" s="25"/>
      <c r="E394" s="12"/>
      <c r="F394" s="258"/>
      <c r="G394" s="20"/>
    </row>
    <row r="395" spans="1:7" x14ac:dyDescent="0.25">
      <c r="A395" s="2" t="s">
        <v>567</v>
      </c>
      <c r="B395" s="16" t="s">
        <v>495</v>
      </c>
      <c r="C395" s="6"/>
      <c r="D395" s="25"/>
      <c r="E395" s="12"/>
      <c r="F395" s="258"/>
      <c r="G395" s="20"/>
    </row>
    <row r="396" spans="1:7" x14ac:dyDescent="0.25">
      <c r="A396" s="16"/>
      <c r="B396" s="16" t="s">
        <v>496</v>
      </c>
      <c r="C396" s="6">
        <v>1</v>
      </c>
      <c r="D396" s="183" t="s">
        <v>102</v>
      </c>
      <c r="E396" s="12">
        <v>50000</v>
      </c>
      <c r="F396" s="258">
        <f>E396*C396</f>
        <v>50000</v>
      </c>
      <c r="G396" s="20"/>
    </row>
    <row r="397" spans="1:7" x14ac:dyDescent="0.25">
      <c r="A397" s="16"/>
      <c r="B397" s="16" t="s">
        <v>1454</v>
      </c>
      <c r="C397" s="6">
        <v>5</v>
      </c>
      <c r="D397" s="183" t="s">
        <v>186</v>
      </c>
      <c r="E397" s="12">
        <v>3000</v>
      </c>
      <c r="F397" s="258">
        <f>E397*C397</f>
        <v>15000</v>
      </c>
      <c r="G397" s="20"/>
    </row>
    <row r="398" spans="1:7" x14ac:dyDescent="0.25">
      <c r="A398" s="16"/>
      <c r="B398" s="16"/>
      <c r="C398" s="6"/>
      <c r="D398" s="25"/>
      <c r="E398" s="12"/>
      <c r="F398" s="258"/>
      <c r="G398" s="20"/>
    </row>
    <row r="399" spans="1:7" x14ac:dyDescent="0.25">
      <c r="A399" s="16" t="s">
        <v>568</v>
      </c>
      <c r="B399" s="16" t="s">
        <v>569</v>
      </c>
      <c r="C399" s="6"/>
      <c r="D399" s="25"/>
      <c r="E399" s="21"/>
      <c r="F399" s="258"/>
      <c r="G399" s="20"/>
    </row>
    <row r="400" spans="1:7" ht="24.75" x14ac:dyDescent="0.25">
      <c r="A400" s="16" t="s">
        <v>570</v>
      </c>
      <c r="B400" s="4" t="s">
        <v>484</v>
      </c>
      <c r="C400" s="6"/>
      <c r="D400" s="25"/>
      <c r="E400" s="21"/>
      <c r="F400" s="258"/>
      <c r="G400" s="20"/>
    </row>
    <row r="401" spans="1:10" x14ac:dyDescent="0.25">
      <c r="A401" s="16"/>
      <c r="B401" s="4" t="s">
        <v>572</v>
      </c>
      <c r="C401" s="6">
        <v>2</v>
      </c>
      <c r="D401" s="25" t="s">
        <v>461</v>
      </c>
      <c r="E401" s="21">
        <v>300000</v>
      </c>
      <c r="F401" s="258">
        <f>E401*C401</f>
        <v>600000</v>
      </c>
      <c r="G401" s="179"/>
    </row>
    <row r="402" spans="1:10" x14ac:dyDescent="0.25">
      <c r="A402" s="16"/>
      <c r="B402" s="242"/>
      <c r="C402" s="220"/>
      <c r="D402" s="169"/>
      <c r="E402" s="82"/>
      <c r="F402" s="290"/>
      <c r="G402" s="20"/>
    </row>
    <row r="403" spans="1:10" x14ac:dyDescent="0.25">
      <c r="A403" s="16"/>
      <c r="B403" s="1832" t="s">
        <v>27</v>
      </c>
      <c r="C403" s="1832"/>
      <c r="D403" s="1832"/>
      <c r="E403" s="1832"/>
      <c r="F403" s="189">
        <f>SUM(F389:F402)</f>
        <v>1205000</v>
      </c>
      <c r="G403" s="20" t="s">
        <v>1682</v>
      </c>
      <c r="I403" s="175"/>
      <c r="J403" s="175">
        <f>F403</f>
        <v>1205000</v>
      </c>
    </row>
    <row r="405" spans="1:10" x14ac:dyDescent="0.25">
      <c r="A405" s="1807" t="s">
        <v>614</v>
      </c>
      <c r="B405" s="1807"/>
      <c r="C405" s="5" t="s">
        <v>28</v>
      </c>
      <c r="D405" s="1808" t="s">
        <v>1698</v>
      </c>
      <c r="E405" s="1808"/>
      <c r="F405" s="1808"/>
      <c r="G405" s="5"/>
    </row>
    <row r="406" spans="1:10" x14ac:dyDescent="0.25">
      <c r="A406" s="1807" t="s">
        <v>29</v>
      </c>
      <c r="B406" s="1807"/>
      <c r="C406" s="5"/>
      <c r="D406" s="1809" t="s">
        <v>2990</v>
      </c>
      <c r="E406" s="1809"/>
      <c r="F406" s="1809"/>
      <c r="G406" s="5"/>
    </row>
    <row r="407" spans="1:10" x14ac:dyDescent="0.25">
      <c r="A407" s="1"/>
      <c r="B407" s="3"/>
      <c r="C407" s="5"/>
      <c r="D407" s="7"/>
      <c r="E407" s="17"/>
      <c r="F407" s="17"/>
      <c r="G407" s="5"/>
    </row>
    <row r="408" spans="1:10" x14ac:dyDescent="0.25">
      <c r="A408" s="1"/>
      <c r="B408" s="3"/>
      <c r="C408" s="5"/>
      <c r="D408" s="7"/>
      <c r="E408" s="17"/>
      <c r="F408" s="17"/>
      <c r="G408" s="5"/>
    </row>
    <row r="409" spans="1:10" x14ac:dyDescent="0.25">
      <c r="A409" s="1807"/>
      <c r="B409" s="1807"/>
      <c r="C409" s="5"/>
      <c r="D409" s="7"/>
      <c r="E409" s="1807"/>
      <c r="F409" s="1807"/>
      <c r="G409" s="5"/>
    </row>
    <row r="410" spans="1:10" x14ac:dyDescent="0.25">
      <c r="A410" s="1807" t="s">
        <v>30</v>
      </c>
      <c r="B410" s="1807"/>
      <c r="C410" s="5"/>
      <c r="D410" s="1807" t="s">
        <v>2991</v>
      </c>
      <c r="E410" s="1807"/>
      <c r="F410" s="1807"/>
      <c r="G410" s="5"/>
    </row>
    <row r="411" spans="1:10" x14ac:dyDescent="0.25">
      <c r="A411" s="1807" t="s">
        <v>0</v>
      </c>
      <c r="B411" s="1807"/>
      <c r="C411" s="1807"/>
      <c r="D411" s="1807"/>
      <c r="E411" s="1807"/>
      <c r="F411" s="1807"/>
    </row>
    <row r="412" spans="1:10" x14ac:dyDescent="0.25">
      <c r="A412" s="1807" t="s">
        <v>1</v>
      </c>
      <c r="B412" s="1807"/>
      <c r="C412" s="1807"/>
      <c r="D412" s="1807"/>
      <c r="E412" s="1807"/>
      <c r="F412" s="1807"/>
    </row>
    <row r="413" spans="1:10" x14ac:dyDescent="0.25">
      <c r="A413" s="1807" t="s">
        <v>1697</v>
      </c>
      <c r="B413" s="1807"/>
      <c r="C413" s="1807"/>
      <c r="D413" s="1807"/>
      <c r="E413" s="1807"/>
      <c r="F413" s="1807"/>
    </row>
    <row r="414" spans="1:10" x14ac:dyDescent="0.25">
      <c r="A414" s="5"/>
      <c r="B414" s="5"/>
      <c r="C414" s="136"/>
      <c r="D414" s="136"/>
      <c r="E414" s="23"/>
      <c r="F414" s="5"/>
    </row>
    <row r="415" spans="1:10" x14ac:dyDescent="0.25">
      <c r="A415" s="162" t="s">
        <v>549</v>
      </c>
      <c r="B415" s="162" t="s">
        <v>486</v>
      </c>
      <c r="C415" s="162"/>
      <c r="D415" s="162"/>
      <c r="E415" s="240"/>
      <c r="F415" s="240"/>
      <c r="G415" s="23"/>
    </row>
    <row r="416" spans="1:10" x14ac:dyDescent="0.25">
      <c r="A416" s="360" t="s">
        <v>550</v>
      </c>
      <c r="B416" s="71" t="s">
        <v>1874</v>
      </c>
      <c r="C416" s="162"/>
      <c r="D416" s="162"/>
      <c r="E416" s="8" t="s">
        <v>6</v>
      </c>
      <c r="F416" s="8"/>
      <c r="G416" s="162"/>
    </row>
    <row r="417" spans="1:7" ht="36" x14ac:dyDescent="0.25">
      <c r="A417" s="360" t="s">
        <v>551</v>
      </c>
      <c r="B417" s="71" t="s">
        <v>1875</v>
      </c>
      <c r="C417" s="162"/>
      <c r="D417" s="162"/>
      <c r="E417" s="72" t="s">
        <v>9</v>
      </c>
      <c r="F417" s="67"/>
      <c r="G417" s="162"/>
    </row>
    <row r="418" spans="1:7" ht="24.75" x14ac:dyDescent="0.25">
      <c r="A418" s="139" t="s">
        <v>464</v>
      </c>
      <c r="B418" s="162" t="s">
        <v>63</v>
      </c>
      <c r="C418" s="162"/>
      <c r="D418" s="162"/>
      <c r="E418" s="162"/>
      <c r="F418" s="162"/>
      <c r="G418" s="162"/>
    </row>
    <row r="419" spans="1:7" x14ac:dyDescent="0.25">
      <c r="A419" s="162" t="s">
        <v>64</v>
      </c>
      <c r="B419" s="162"/>
      <c r="C419" s="162"/>
      <c r="D419" s="68"/>
      <c r="E419" s="69"/>
      <c r="F419" s="162"/>
      <c r="G419" s="162"/>
    </row>
    <row r="421" spans="1:7" ht="24" x14ac:dyDescent="0.25">
      <c r="A421" s="144" t="s">
        <v>31</v>
      </c>
      <c r="B421" s="144" t="s">
        <v>12</v>
      </c>
      <c r="C421" s="1811" t="s">
        <v>13</v>
      </c>
      <c r="D421" s="1812"/>
      <c r="E421" s="80" t="s">
        <v>14</v>
      </c>
      <c r="F421" s="165" t="s">
        <v>15</v>
      </c>
      <c r="G421" s="145" t="s">
        <v>35</v>
      </c>
    </row>
    <row r="422" spans="1:7" x14ac:dyDescent="0.25">
      <c r="A422" s="146">
        <v>1</v>
      </c>
      <c r="B422" s="146">
        <v>2</v>
      </c>
      <c r="C422" s="1801">
        <v>3</v>
      </c>
      <c r="D422" s="1802"/>
      <c r="E422" s="70">
        <v>4</v>
      </c>
      <c r="F422" s="167">
        <v>5</v>
      </c>
      <c r="G422" s="147">
        <v>6</v>
      </c>
    </row>
    <row r="423" spans="1:7" x14ac:dyDescent="0.25">
      <c r="A423" s="2" t="s">
        <v>1876</v>
      </c>
      <c r="B423" s="4" t="s">
        <v>553</v>
      </c>
      <c r="C423" s="167"/>
      <c r="D423" s="168"/>
      <c r="E423" s="70"/>
      <c r="F423" s="167"/>
      <c r="G423" s="20"/>
    </row>
    <row r="424" spans="1:7" x14ac:dyDescent="0.25">
      <c r="A424" s="2" t="s">
        <v>1877</v>
      </c>
      <c r="B424" s="4" t="s">
        <v>88</v>
      </c>
      <c r="C424" s="167"/>
      <c r="D424" s="168"/>
      <c r="E424" s="70"/>
      <c r="F424" s="167"/>
      <c r="G424" s="20"/>
    </row>
    <row r="425" spans="1:7" x14ac:dyDescent="0.25">
      <c r="A425" s="2" t="s">
        <v>1878</v>
      </c>
      <c r="B425" s="4" t="s">
        <v>354</v>
      </c>
      <c r="C425" s="6"/>
      <c r="D425" s="25"/>
      <c r="E425" s="12"/>
      <c r="F425" s="258"/>
      <c r="G425" s="20"/>
    </row>
    <row r="426" spans="1:7" x14ac:dyDescent="0.25">
      <c r="A426" s="16"/>
      <c r="B426" s="4" t="s">
        <v>1879</v>
      </c>
      <c r="C426" s="6">
        <v>20</v>
      </c>
      <c r="D426" s="25" t="s">
        <v>565</v>
      </c>
      <c r="E426" s="12">
        <v>15000</v>
      </c>
      <c r="F426" s="258">
        <f>E426*C426</f>
        <v>300000</v>
      </c>
      <c r="G426" s="20"/>
    </row>
    <row r="427" spans="1:7" x14ac:dyDescent="0.25">
      <c r="A427" s="16"/>
      <c r="B427" s="4"/>
      <c r="C427" s="6"/>
      <c r="D427" s="25"/>
      <c r="E427" s="12"/>
      <c r="F427" s="258"/>
      <c r="G427" s="20"/>
    </row>
    <row r="428" spans="1:7" x14ac:dyDescent="0.25">
      <c r="A428" s="16"/>
      <c r="B428" s="4"/>
      <c r="C428" s="6"/>
      <c r="D428" s="25"/>
      <c r="E428" s="12"/>
      <c r="F428" s="258"/>
      <c r="G428" s="20"/>
    </row>
    <row r="429" spans="1:7" x14ac:dyDescent="0.25">
      <c r="A429" s="2" t="s">
        <v>1880</v>
      </c>
      <c r="B429" s="4" t="s">
        <v>376</v>
      </c>
      <c r="C429" s="6"/>
      <c r="D429" s="25"/>
      <c r="E429" s="12"/>
      <c r="F429" s="258"/>
      <c r="G429" s="20"/>
    </row>
    <row r="430" spans="1:7" x14ac:dyDescent="0.25">
      <c r="A430" s="16"/>
      <c r="B430" s="16" t="s">
        <v>377</v>
      </c>
      <c r="C430" s="6">
        <v>1</v>
      </c>
      <c r="D430" s="25" t="s">
        <v>102</v>
      </c>
      <c r="E430" s="12">
        <v>90000</v>
      </c>
      <c r="F430" s="258">
        <f>E430*C430</f>
        <v>90000</v>
      </c>
      <c r="G430" s="20"/>
    </row>
    <row r="431" spans="1:7" x14ac:dyDescent="0.25">
      <c r="A431" s="16"/>
      <c r="B431" s="16"/>
      <c r="C431" s="6"/>
      <c r="D431" s="25"/>
      <c r="E431" s="12"/>
      <c r="F431" s="258"/>
      <c r="G431" s="20"/>
    </row>
    <row r="432" spans="1:7" x14ac:dyDescent="0.25">
      <c r="A432" s="2" t="s">
        <v>1881</v>
      </c>
      <c r="B432" s="16" t="s">
        <v>340</v>
      </c>
      <c r="C432" s="6"/>
      <c r="D432" s="25"/>
      <c r="E432" s="21"/>
      <c r="F432" s="258"/>
      <c r="G432" s="20"/>
    </row>
    <row r="433" spans="1:7" ht="24.75" x14ac:dyDescent="0.25">
      <c r="A433" s="16" t="s">
        <v>1882</v>
      </c>
      <c r="B433" s="4" t="s">
        <v>575</v>
      </c>
      <c r="C433" s="6"/>
      <c r="D433" s="25"/>
      <c r="E433" s="21"/>
      <c r="F433" s="258"/>
      <c r="G433" s="20"/>
    </row>
    <row r="434" spans="1:7" x14ac:dyDescent="0.25">
      <c r="A434" s="16"/>
      <c r="B434" s="16" t="s">
        <v>471</v>
      </c>
      <c r="C434" s="6">
        <v>1</v>
      </c>
      <c r="D434" s="25" t="s">
        <v>315</v>
      </c>
      <c r="E434" s="21">
        <v>300000</v>
      </c>
      <c r="F434" s="258">
        <f>E434*C434</f>
        <v>300000</v>
      </c>
      <c r="G434" s="20"/>
    </row>
    <row r="435" spans="1:7" x14ac:dyDescent="0.25">
      <c r="A435" s="16"/>
      <c r="B435" s="16" t="s">
        <v>596</v>
      </c>
      <c r="C435" s="6">
        <v>1</v>
      </c>
      <c r="D435" s="25" t="s">
        <v>315</v>
      </c>
      <c r="E435" s="21">
        <v>250000</v>
      </c>
      <c r="F435" s="258">
        <f>E435*C435</f>
        <v>250000</v>
      </c>
      <c r="G435" s="20"/>
    </row>
    <row r="436" spans="1:7" x14ac:dyDescent="0.25">
      <c r="A436" s="16"/>
      <c r="B436" s="16" t="s">
        <v>576</v>
      </c>
      <c r="C436" s="6">
        <v>3</v>
      </c>
      <c r="D436" s="25" t="s">
        <v>315</v>
      </c>
      <c r="E436" s="21">
        <v>200000</v>
      </c>
      <c r="F436" s="258">
        <f>E436*C436</f>
        <v>600000</v>
      </c>
      <c r="G436" s="20"/>
    </row>
    <row r="437" spans="1:7" x14ac:dyDescent="0.25">
      <c r="A437" s="2"/>
      <c r="B437" s="4"/>
      <c r="C437" s="6"/>
      <c r="D437" s="25"/>
      <c r="E437" s="21"/>
      <c r="F437" s="258"/>
      <c r="G437" s="20"/>
    </row>
    <row r="438" spans="1:7" x14ac:dyDescent="0.25">
      <c r="A438" s="2" t="s">
        <v>1883</v>
      </c>
      <c r="B438" s="4" t="s">
        <v>1884</v>
      </c>
      <c r="C438" s="6">
        <v>2</v>
      </c>
      <c r="D438" s="25" t="s">
        <v>461</v>
      </c>
      <c r="E438" s="21">
        <v>300000</v>
      </c>
      <c r="F438" s="258">
        <f>E438*C438</f>
        <v>600000</v>
      </c>
      <c r="G438" s="20"/>
    </row>
    <row r="439" spans="1:7" x14ac:dyDescent="0.25">
      <c r="A439" s="16"/>
      <c r="B439" s="16"/>
      <c r="C439" s="6"/>
      <c r="D439" s="25"/>
      <c r="E439" s="12"/>
      <c r="F439" s="258"/>
      <c r="G439" s="20"/>
    </row>
    <row r="440" spans="1:7" ht="24.75" x14ac:dyDescent="0.25">
      <c r="A440" s="2" t="s">
        <v>1885</v>
      </c>
      <c r="B440" s="4" t="s">
        <v>577</v>
      </c>
      <c r="C440" s="6"/>
      <c r="D440" s="25"/>
      <c r="E440" s="12"/>
      <c r="F440" s="258"/>
      <c r="G440" s="20"/>
    </row>
    <row r="441" spans="1:7" ht="24.75" x14ac:dyDescent="0.25">
      <c r="A441" s="2" t="s">
        <v>1886</v>
      </c>
      <c r="B441" s="4" t="s">
        <v>578</v>
      </c>
      <c r="C441" s="6"/>
      <c r="D441" s="25"/>
      <c r="E441" s="12"/>
      <c r="F441" s="258"/>
      <c r="G441" s="20"/>
    </row>
    <row r="442" spans="1:7" x14ac:dyDescent="0.25">
      <c r="A442" s="2"/>
      <c r="B442" s="4" t="s">
        <v>1887</v>
      </c>
      <c r="C442" s="6">
        <v>30</v>
      </c>
      <c r="D442" s="25" t="s">
        <v>123</v>
      </c>
      <c r="E442" s="12">
        <v>15000</v>
      </c>
      <c r="F442" s="258">
        <f t="shared" ref="F442:F461" si="3">E442*C442</f>
        <v>450000</v>
      </c>
      <c r="G442" s="20"/>
    </row>
    <row r="443" spans="1:7" x14ac:dyDescent="0.25">
      <c r="A443" s="2"/>
      <c r="B443" s="4" t="s">
        <v>1888</v>
      </c>
      <c r="C443" s="6">
        <v>22</v>
      </c>
      <c r="D443" s="25" t="s">
        <v>539</v>
      </c>
      <c r="E443" s="12">
        <v>35000</v>
      </c>
      <c r="F443" s="258">
        <f t="shared" si="3"/>
        <v>770000</v>
      </c>
      <c r="G443" s="20"/>
    </row>
    <row r="444" spans="1:7" x14ac:dyDescent="0.25">
      <c r="A444" s="2"/>
      <c r="B444" s="4" t="s">
        <v>1889</v>
      </c>
      <c r="C444" s="6">
        <v>44</v>
      </c>
      <c r="D444" s="25" t="s">
        <v>581</v>
      </c>
      <c r="E444" s="12">
        <v>25000</v>
      </c>
      <c r="F444" s="258">
        <f t="shared" si="3"/>
        <v>1100000</v>
      </c>
      <c r="G444" s="20"/>
    </row>
    <row r="445" spans="1:7" x14ac:dyDescent="0.25">
      <c r="A445" s="2"/>
      <c r="B445" s="4" t="s">
        <v>1890</v>
      </c>
      <c r="C445" s="6">
        <v>11</v>
      </c>
      <c r="D445" s="25" t="s">
        <v>1891</v>
      </c>
      <c r="E445" s="12">
        <v>25000</v>
      </c>
      <c r="F445" s="258">
        <f t="shared" si="3"/>
        <v>275000</v>
      </c>
      <c r="G445" s="20"/>
    </row>
    <row r="446" spans="1:7" x14ac:dyDescent="0.25">
      <c r="A446" s="2"/>
      <c r="B446" s="4" t="s">
        <v>1892</v>
      </c>
      <c r="C446" s="6">
        <v>10</v>
      </c>
      <c r="D446" s="25" t="s">
        <v>123</v>
      </c>
      <c r="E446" s="12">
        <v>21000</v>
      </c>
      <c r="F446" s="258">
        <f t="shared" si="3"/>
        <v>210000</v>
      </c>
      <c r="G446" s="20"/>
    </row>
    <row r="447" spans="1:7" x14ac:dyDescent="0.25">
      <c r="A447" s="2"/>
      <c r="B447" s="4" t="s">
        <v>659</v>
      </c>
      <c r="C447" s="6">
        <v>10</v>
      </c>
      <c r="D447" s="25" t="s">
        <v>565</v>
      </c>
      <c r="E447" s="12">
        <v>11000</v>
      </c>
      <c r="F447" s="258">
        <f t="shared" si="3"/>
        <v>110000</v>
      </c>
      <c r="G447" s="20"/>
    </row>
    <row r="448" spans="1:7" x14ac:dyDescent="0.25">
      <c r="A448" s="2"/>
      <c r="B448" s="198" t="s">
        <v>1893</v>
      </c>
      <c r="C448" s="213">
        <v>10</v>
      </c>
      <c r="D448" s="214" t="s">
        <v>123</v>
      </c>
      <c r="E448" s="105">
        <v>42000</v>
      </c>
      <c r="F448" s="258">
        <f t="shared" si="3"/>
        <v>420000</v>
      </c>
      <c r="G448" s="20"/>
    </row>
    <row r="449" spans="1:7" x14ac:dyDescent="0.25">
      <c r="A449" s="2"/>
      <c r="B449" s="198" t="s">
        <v>1894</v>
      </c>
      <c r="C449" s="213">
        <v>10</v>
      </c>
      <c r="D449" s="214" t="s">
        <v>123</v>
      </c>
      <c r="E449" s="105">
        <v>20000</v>
      </c>
      <c r="F449" s="258">
        <f t="shared" si="3"/>
        <v>200000</v>
      </c>
      <c r="G449" s="20"/>
    </row>
    <row r="450" spans="1:7" x14ac:dyDescent="0.25">
      <c r="A450" s="2"/>
      <c r="B450" s="198" t="s">
        <v>1895</v>
      </c>
      <c r="C450" s="213">
        <v>10</v>
      </c>
      <c r="D450" s="214" t="s">
        <v>123</v>
      </c>
      <c r="E450" s="105">
        <v>87750</v>
      </c>
      <c r="F450" s="258">
        <f t="shared" si="3"/>
        <v>877500</v>
      </c>
      <c r="G450" s="20"/>
    </row>
    <row r="451" spans="1:7" x14ac:dyDescent="0.25">
      <c r="A451" s="2"/>
      <c r="B451" s="198" t="s">
        <v>1896</v>
      </c>
      <c r="C451" s="213">
        <v>10</v>
      </c>
      <c r="D451" s="214" t="s">
        <v>123</v>
      </c>
      <c r="E451" s="105">
        <v>100000</v>
      </c>
      <c r="F451" s="258">
        <f t="shared" si="3"/>
        <v>1000000</v>
      </c>
      <c r="G451" s="20"/>
    </row>
    <row r="452" spans="1:7" x14ac:dyDescent="0.25">
      <c r="A452" s="2"/>
      <c r="B452" s="198" t="s">
        <v>1897</v>
      </c>
      <c r="C452" s="213">
        <v>10</v>
      </c>
      <c r="D452" s="214" t="s">
        <v>123</v>
      </c>
      <c r="E452" s="105">
        <v>150000</v>
      </c>
      <c r="F452" s="258">
        <f t="shared" si="3"/>
        <v>1500000</v>
      </c>
      <c r="G452" s="20"/>
    </row>
    <row r="453" spans="1:7" x14ac:dyDescent="0.25">
      <c r="A453" s="2"/>
      <c r="B453" s="198" t="s">
        <v>1898</v>
      </c>
      <c r="C453" s="213">
        <v>2</v>
      </c>
      <c r="D453" s="214" t="s">
        <v>123</v>
      </c>
      <c r="E453" s="105">
        <v>20898</v>
      </c>
      <c r="F453" s="258">
        <f t="shared" si="3"/>
        <v>41796</v>
      </c>
      <c r="G453" s="20"/>
    </row>
    <row r="454" spans="1:7" x14ac:dyDescent="0.25">
      <c r="A454" s="2"/>
      <c r="B454" s="198" t="s">
        <v>1899</v>
      </c>
      <c r="C454" s="213">
        <v>10</v>
      </c>
      <c r="D454" s="214" t="s">
        <v>123</v>
      </c>
      <c r="E454" s="105">
        <v>60000</v>
      </c>
      <c r="F454" s="258">
        <f t="shared" si="3"/>
        <v>600000</v>
      </c>
      <c r="G454" s="20"/>
    </row>
    <row r="455" spans="1:7" x14ac:dyDescent="0.25">
      <c r="A455" s="2"/>
      <c r="B455" s="198" t="s">
        <v>1900</v>
      </c>
      <c r="C455" s="213">
        <v>10</v>
      </c>
      <c r="D455" s="214" t="s">
        <v>123</v>
      </c>
      <c r="E455" s="105">
        <v>70000</v>
      </c>
      <c r="F455" s="258">
        <f t="shared" si="3"/>
        <v>700000</v>
      </c>
      <c r="G455" s="20"/>
    </row>
    <row r="456" spans="1:7" x14ac:dyDescent="0.25">
      <c r="A456" s="2"/>
      <c r="B456" s="194" t="s">
        <v>1901</v>
      </c>
      <c r="C456" s="213">
        <v>10</v>
      </c>
      <c r="D456" s="214" t="s">
        <v>123</v>
      </c>
      <c r="E456" s="105">
        <v>263000</v>
      </c>
      <c r="F456" s="258">
        <f t="shared" si="3"/>
        <v>2630000</v>
      </c>
      <c r="G456" s="20"/>
    </row>
    <row r="457" spans="1:7" x14ac:dyDescent="0.25">
      <c r="A457" s="2"/>
      <c r="B457" s="194" t="s">
        <v>1902</v>
      </c>
      <c r="C457" s="213">
        <v>10</v>
      </c>
      <c r="D457" s="214" t="s">
        <v>1903</v>
      </c>
      <c r="E457" s="105">
        <v>37000</v>
      </c>
      <c r="F457" s="258">
        <f t="shared" si="3"/>
        <v>370000</v>
      </c>
      <c r="G457" s="20"/>
    </row>
    <row r="458" spans="1:7" x14ac:dyDescent="0.25">
      <c r="A458" s="2"/>
      <c r="B458" s="198" t="s">
        <v>1904</v>
      </c>
      <c r="C458" s="213">
        <v>10</v>
      </c>
      <c r="D458" s="214" t="s">
        <v>123</v>
      </c>
      <c r="E458" s="105">
        <v>1181700</v>
      </c>
      <c r="F458" s="258">
        <f t="shared" si="3"/>
        <v>11817000</v>
      </c>
      <c r="G458" s="20"/>
    </row>
    <row r="459" spans="1:7" x14ac:dyDescent="0.25">
      <c r="A459" s="2"/>
      <c r="B459" s="198" t="s">
        <v>1905</v>
      </c>
      <c r="C459" s="213">
        <v>10</v>
      </c>
      <c r="D459" s="214" t="s">
        <v>123</v>
      </c>
      <c r="E459" s="105">
        <v>1813500</v>
      </c>
      <c r="F459" s="258">
        <f t="shared" si="3"/>
        <v>18135000</v>
      </c>
      <c r="G459" s="20"/>
    </row>
    <row r="460" spans="1:7" x14ac:dyDescent="0.25">
      <c r="A460" s="2"/>
      <c r="B460" s="198" t="s">
        <v>1906</v>
      </c>
      <c r="C460" s="213">
        <v>10</v>
      </c>
      <c r="D460" s="214" t="s">
        <v>123</v>
      </c>
      <c r="E460" s="105">
        <v>234000</v>
      </c>
      <c r="F460" s="258">
        <f t="shared" si="3"/>
        <v>2340000</v>
      </c>
      <c r="G460" s="20"/>
    </row>
    <row r="461" spans="1:7" x14ac:dyDescent="0.25">
      <c r="A461" s="2"/>
      <c r="B461" s="198" t="s">
        <v>1907</v>
      </c>
      <c r="C461" s="213">
        <v>10</v>
      </c>
      <c r="D461" s="214" t="s">
        <v>123</v>
      </c>
      <c r="E461" s="105">
        <v>59000</v>
      </c>
      <c r="F461" s="258">
        <f t="shared" si="3"/>
        <v>590000</v>
      </c>
      <c r="G461" s="20"/>
    </row>
    <row r="462" spans="1:7" x14ac:dyDescent="0.25">
      <c r="A462" s="2"/>
      <c r="B462" s="198"/>
      <c r="C462" s="213"/>
      <c r="D462" s="214"/>
      <c r="E462" s="105"/>
      <c r="F462" s="258"/>
      <c r="G462" s="20"/>
    </row>
    <row r="463" spans="1:7" x14ac:dyDescent="0.25">
      <c r="A463" s="2"/>
      <c r="B463" s="198"/>
      <c r="C463" s="213"/>
      <c r="D463" s="214"/>
      <c r="E463" s="105"/>
      <c r="F463" s="258"/>
      <c r="G463" s="20"/>
    </row>
    <row r="464" spans="1:7" x14ac:dyDescent="0.25">
      <c r="A464" s="2"/>
      <c r="B464" s="198"/>
      <c r="C464" s="213"/>
      <c r="D464" s="214"/>
      <c r="E464" s="105"/>
      <c r="F464" s="258"/>
      <c r="G464" s="20"/>
    </row>
    <row r="465" spans="1:11" x14ac:dyDescent="0.25">
      <c r="A465" s="236"/>
      <c r="B465" s="1832" t="s">
        <v>27</v>
      </c>
      <c r="C465" s="1832"/>
      <c r="D465" s="1832"/>
      <c r="E465" s="1832"/>
      <c r="F465" s="189">
        <f>SUM(F425:F464)</f>
        <v>46276296</v>
      </c>
      <c r="G465" s="20" t="s">
        <v>2620</v>
      </c>
      <c r="I465" s="175"/>
      <c r="K465" s="175">
        <f>F465</f>
        <v>46276296</v>
      </c>
    </row>
    <row r="466" spans="1:11" x14ac:dyDescent="0.25">
      <c r="A466" s="5"/>
      <c r="B466" s="363"/>
      <c r="C466" s="363"/>
      <c r="D466" s="363"/>
      <c r="E466" s="363"/>
      <c r="F466" s="364"/>
      <c r="G466" s="162"/>
    </row>
    <row r="467" spans="1:11" x14ac:dyDescent="0.25">
      <c r="A467" s="1807" t="s">
        <v>614</v>
      </c>
      <c r="B467" s="1807"/>
      <c r="C467" s="5" t="s">
        <v>28</v>
      </c>
      <c r="D467" s="1808" t="s">
        <v>1698</v>
      </c>
      <c r="E467" s="1808"/>
      <c r="F467" s="1808"/>
      <c r="G467" s="5"/>
    </row>
    <row r="468" spans="1:11" x14ac:dyDescent="0.25">
      <c r="A468" s="1807" t="s">
        <v>29</v>
      </c>
      <c r="B468" s="1807"/>
      <c r="C468" s="5"/>
      <c r="D468" s="1809" t="s">
        <v>2990</v>
      </c>
      <c r="E468" s="1809"/>
      <c r="F468" s="1809"/>
      <c r="G468" s="5"/>
    </row>
    <row r="469" spans="1:11" x14ac:dyDescent="0.25">
      <c r="A469" s="1"/>
      <c r="B469" s="3"/>
      <c r="C469" s="5"/>
      <c r="D469" s="7"/>
      <c r="E469" s="17"/>
      <c r="F469" s="17"/>
      <c r="G469" s="5"/>
    </row>
    <row r="470" spans="1:11" x14ac:dyDescent="0.25">
      <c r="A470" s="1"/>
      <c r="B470" s="3"/>
      <c r="C470" s="5"/>
      <c r="D470" s="7"/>
      <c r="E470" s="17"/>
      <c r="F470" s="17"/>
      <c r="G470" s="5"/>
    </row>
    <row r="471" spans="1:11" x14ac:dyDescent="0.25">
      <c r="A471" s="1807"/>
      <c r="B471" s="1807"/>
      <c r="C471" s="5"/>
      <c r="D471" s="7"/>
      <c r="E471" s="1807"/>
      <c r="F471" s="1807"/>
      <c r="G471" s="5"/>
    </row>
    <row r="472" spans="1:11" x14ac:dyDescent="0.25">
      <c r="A472" s="1807" t="s">
        <v>30</v>
      </c>
      <c r="B472" s="1807"/>
      <c r="C472" s="5"/>
      <c r="D472" s="1807" t="s">
        <v>2991</v>
      </c>
      <c r="E472" s="1807"/>
      <c r="F472" s="1807"/>
      <c r="G472" s="5"/>
    </row>
    <row r="473" spans="1:11" x14ac:dyDescent="0.25">
      <c r="A473" s="1840" t="s">
        <v>0</v>
      </c>
      <c r="B473" s="1840"/>
      <c r="C473" s="1840"/>
      <c r="D473" s="1840"/>
      <c r="E473" s="1840"/>
      <c r="F473" s="1840"/>
      <c r="G473" s="1316"/>
    </row>
    <row r="474" spans="1:11" x14ac:dyDescent="0.25">
      <c r="A474" s="1840" t="s">
        <v>1</v>
      </c>
      <c r="B474" s="1840"/>
      <c r="C474" s="1840"/>
      <c r="D474" s="1840"/>
      <c r="E474" s="1840"/>
      <c r="F474" s="1840"/>
      <c r="G474" s="1316"/>
    </row>
    <row r="475" spans="1:11" x14ac:dyDescent="0.25">
      <c r="A475" s="1840" t="s">
        <v>1697</v>
      </c>
      <c r="B475" s="1840"/>
      <c r="C475" s="1840"/>
      <c r="D475" s="1840"/>
      <c r="E475" s="1840"/>
      <c r="F475" s="1840"/>
      <c r="G475" s="1316"/>
    </row>
    <row r="476" spans="1:11" x14ac:dyDescent="0.25">
      <c r="A476" s="1161"/>
      <c r="B476" s="1161"/>
      <c r="C476" s="1159"/>
      <c r="D476" s="1159"/>
      <c r="E476" s="1163"/>
      <c r="F476" s="1161"/>
      <c r="G476" s="1316"/>
    </row>
    <row r="477" spans="1:11" x14ac:dyDescent="0.25">
      <c r="A477" s="1160" t="s">
        <v>549</v>
      </c>
      <c r="B477" s="1160" t="s">
        <v>486</v>
      </c>
      <c r="C477" s="1160"/>
      <c r="D477" s="1160"/>
      <c r="E477" s="1221"/>
      <c r="F477" s="1221"/>
      <c r="G477" s="1163"/>
    </row>
    <row r="478" spans="1:11" x14ac:dyDescent="0.25">
      <c r="A478" s="1317" t="s">
        <v>550</v>
      </c>
      <c r="B478" s="1318" t="s">
        <v>1874</v>
      </c>
      <c r="C478" s="1160"/>
      <c r="D478" s="1160"/>
      <c r="E478" s="1193" t="s">
        <v>6</v>
      </c>
      <c r="F478" s="1193"/>
      <c r="G478" s="1160"/>
    </row>
    <row r="479" spans="1:11" ht="24" x14ac:dyDescent="0.25">
      <c r="A479" s="1317" t="s">
        <v>551</v>
      </c>
      <c r="B479" s="1318" t="s">
        <v>2337</v>
      </c>
      <c r="C479" s="1160"/>
      <c r="D479" s="1160"/>
      <c r="E479" s="1319" t="s">
        <v>9</v>
      </c>
      <c r="F479" s="1312"/>
      <c r="G479" s="1160"/>
    </row>
    <row r="480" spans="1:11" ht="24.75" x14ac:dyDescent="0.25">
      <c r="A480" s="1320" t="s">
        <v>464</v>
      </c>
      <c r="B480" s="1160" t="s">
        <v>63</v>
      </c>
      <c r="C480" s="1160"/>
      <c r="D480" s="1160"/>
      <c r="E480" s="1160"/>
      <c r="F480" s="1160"/>
      <c r="G480" s="1160"/>
    </row>
    <row r="481" spans="1:7" x14ac:dyDescent="0.25">
      <c r="A481" s="1160" t="s">
        <v>64</v>
      </c>
      <c r="B481" s="1160"/>
      <c r="C481" s="1160"/>
      <c r="D481" s="1194"/>
      <c r="E481" s="1321"/>
      <c r="F481" s="1160"/>
      <c r="G481" s="1160"/>
    </row>
    <row r="482" spans="1:7" x14ac:dyDescent="0.25">
      <c r="A482" s="1316"/>
      <c r="B482" s="1316"/>
      <c r="C482" s="1316"/>
      <c r="D482" s="1316"/>
      <c r="E482" s="1316"/>
      <c r="F482" s="1316"/>
      <c r="G482" s="1316"/>
    </row>
    <row r="483" spans="1:7" ht="24" x14ac:dyDescent="0.25">
      <c r="A483" s="1165" t="s">
        <v>31</v>
      </c>
      <c r="B483" s="1165" t="s">
        <v>12</v>
      </c>
      <c r="C483" s="1845" t="s">
        <v>13</v>
      </c>
      <c r="D483" s="1846"/>
      <c r="E483" s="1167" t="s">
        <v>14</v>
      </c>
      <c r="F483" s="1166" t="s">
        <v>15</v>
      </c>
      <c r="G483" s="1168" t="s">
        <v>35</v>
      </c>
    </row>
    <row r="484" spans="1:7" x14ac:dyDescent="0.25">
      <c r="A484" s="1169">
        <v>1</v>
      </c>
      <c r="B484" s="1169">
        <v>2</v>
      </c>
      <c r="C484" s="1874">
        <v>3</v>
      </c>
      <c r="D484" s="1875"/>
      <c r="E484" s="1172">
        <v>4</v>
      </c>
      <c r="F484" s="1170">
        <v>5</v>
      </c>
      <c r="G484" s="1173">
        <v>6</v>
      </c>
    </row>
    <row r="485" spans="1:7" x14ac:dyDescent="0.25">
      <c r="A485" s="1175" t="s">
        <v>1876</v>
      </c>
      <c r="B485" s="1183" t="s">
        <v>553</v>
      </c>
      <c r="C485" s="1170"/>
      <c r="D485" s="1171"/>
      <c r="E485" s="1172"/>
      <c r="F485" s="1170"/>
      <c r="G485" s="1322"/>
    </row>
    <row r="486" spans="1:7" x14ac:dyDescent="0.25">
      <c r="A486" s="1175" t="s">
        <v>1877</v>
      </c>
      <c r="B486" s="1183" t="s">
        <v>88</v>
      </c>
      <c r="C486" s="1170"/>
      <c r="D486" s="1171"/>
      <c r="E486" s="1172"/>
      <c r="F486" s="1170"/>
      <c r="G486" s="1322"/>
    </row>
    <row r="487" spans="1:7" x14ac:dyDescent="0.25">
      <c r="A487" s="1175" t="s">
        <v>1878</v>
      </c>
      <c r="B487" s="1183" t="s">
        <v>354</v>
      </c>
      <c r="C487" s="1184"/>
      <c r="D487" s="1208"/>
      <c r="E487" s="1185"/>
      <c r="F487" s="1180"/>
      <c r="G487" s="1322"/>
    </row>
    <row r="488" spans="1:7" ht="35.25" customHeight="1" x14ac:dyDescent="0.25">
      <c r="A488" s="1231"/>
      <c r="B488" s="1183" t="s">
        <v>1879</v>
      </c>
      <c r="C488" s="1184">
        <v>20</v>
      </c>
      <c r="D488" s="1208" t="s">
        <v>565</v>
      </c>
      <c r="E488" s="1185">
        <v>15000</v>
      </c>
      <c r="F488" s="1180">
        <f>E488*C488</f>
        <v>300000</v>
      </c>
      <c r="G488" s="1322"/>
    </row>
    <row r="489" spans="1:7" x14ac:dyDescent="0.25">
      <c r="A489" s="1231"/>
      <c r="B489" s="1183"/>
      <c r="C489" s="1184"/>
      <c r="D489" s="1208"/>
      <c r="E489" s="1185"/>
      <c r="F489" s="1180"/>
      <c r="G489" s="1322"/>
    </row>
    <row r="490" spans="1:7" x14ac:dyDescent="0.25">
      <c r="A490" s="1231"/>
      <c r="B490" s="1183"/>
      <c r="C490" s="1184"/>
      <c r="D490" s="1208"/>
      <c r="E490" s="1185"/>
      <c r="F490" s="1180"/>
      <c r="G490" s="1322"/>
    </row>
    <row r="491" spans="1:7" x14ac:dyDescent="0.25">
      <c r="A491" s="1175" t="s">
        <v>1880</v>
      </c>
      <c r="B491" s="1183" t="s">
        <v>376</v>
      </c>
      <c r="C491" s="1184"/>
      <c r="D491" s="1208"/>
      <c r="E491" s="1185"/>
      <c r="F491" s="1180"/>
      <c r="G491" s="1322"/>
    </row>
    <row r="492" spans="1:7" x14ac:dyDescent="0.25">
      <c r="A492" s="1231"/>
      <c r="B492" s="1231" t="s">
        <v>377</v>
      </c>
      <c r="C492" s="1184">
        <v>1</v>
      </c>
      <c r="D492" s="1208" t="s">
        <v>102</v>
      </c>
      <c r="E492" s="1185">
        <v>90000</v>
      </c>
      <c r="F492" s="1180">
        <f>E492*C492</f>
        <v>90000</v>
      </c>
      <c r="G492" s="1322"/>
    </row>
    <row r="493" spans="1:7" x14ac:dyDescent="0.25">
      <c r="A493" s="1231"/>
      <c r="B493" s="1231"/>
      <c r="C493" s="1184"/>
      <c r="D493" s="1208"/>
      <c r="E493" s="1185"/>
      <c r="F493" s="1180"/>
      <c r="G493" s="1322"/>
    </row>
    <row r="494" spans="1:7" x14ac:dyDescent="0.25">
      <c r="A494" s="1175" t="s">
        <v>1881</v>
      </c>
      <c r="B494" s="1231" t="s">
        <v>340</v>
      </c>
      <c r="C494" s="1184"/>
      <c r="D494" s="1208"/>
      <c r="E494" s="1179"/>
      <c r="F494" s="1180"/>
      <c r="G494" s="1322"/>
    </row>
    <row r="495" spans="1:7" ht="24.75" x14ac:dyDescent="0.25">
      <c r="A495" s="1231" t="s">
        <v>1882</v>
      </c>
      <c r="B495" s="1183" t="s">
        <v>575</v>
      </c>
      <c r="C495" s="1184"/>
      <c r="D495" s="1208"/>
      <c r="E495" s="1179"/>
      <c r="F495" s="1180"/>
      <c r="G495" s="1322"/>
    </row>
    <row r="496" spans="1:7" x14ac:dyDescent="0.25">
      <c r="A496" s="1231"/>
      <c r="B496" s="1231" t="s">
        <v>471</v>
      </c>
      <c r="C496" s="1184">
        <v>1</v>
      </c>
      <c r="D496" s="1208" t="s">
        <v>315</v>
      </c>
      <c r="E496" s="1179">
        <v>300000</v>
      </c>
      <c r="F496" s="1180">
        <f>E496*C496</f>
        <v>300000</v>
      </c>
      <c r="G496" s="1322"/>
    </row>
    <row r="497" spans="1:7" x14ac:dyDescent="0.25">
      <c r="A497" s="1231"/>
      <c r="B497" s="1231" t="s">
        <v>596</v>
      </c>
      <c r="C497" s="1184">
        <v>1</v>
      </c>
      <c r="D497" s="1208" t="s">
        <v>315</v>
      </c>
      <c r="E497" s="1179">
        <v>250000</v>
      </c>
      <c r="F497" s="1180">
        <f>E497*C497</f>
        <v>250000</v>
      </c>
      <c r="G497" s="1322"/>
    </row>
    <row r="498" spans="1:7" x14ac:dyDescent="0.25">
      <c r="A498" s="1231"/>
      <c r="B498" s="1231" t="s">
        <v>576</v>
      </c>
      <c r="C498" s="1184">
        <v>3</v>
      </c>
      <c r="D498" s="1208" t="s">
        <v>315</v>
      </c>
      <c r="E498" s="1179">
        <v>200000</v>
      </c>
      <c r="F498" s="1180">
        <f>E498*C498</f>
        <v>600000</v>
      </c>
      <c r="G498" s="1322"/>
    </row>
    <row r="499" spans="1:7" x14ac:dyDescent="0.25">
      <c r="A499" s="1175"/>
      <c r="B499" s="1183"/>
      <c r="C499" s="1184"/>
      <c r="D499" s="1208"/>
      <c r="E499" s="1179"/>
      <c r="F499" s="1180"/>
      <c r="G499" s="1322"/>
    </row>
    <row r="500" spans="1:7" x14ac:dyDescent="0.25">
      <c r="A500" s="1175" t="s">
        <v>1883</v>
      </c>
      <c r="B500" s="1183" t="s">
        <v>1884</v>
      </c>
      <c r="C500" s="1184">
        <v>2</v>
      </c>
      <c r="D500" s="1208" t="s">
        <v>461</v>
      </c>
      <c r="E500" s="1179">
        <v>300000</v>
      </c>
      <c r="F500" s="1180">
        <f>E500*C500</f>
        <v>600000</v>
      </c>
      <c r="G500" s="1322"/>
    </row>
    <row r="501" spans="1:7" x14ac:dyDescent="0.25">
      <c r="A501" s="1231"/>
      <c r="B501" s="1231"/>
      <c r="C501" s="1184"/>
      <c r="D501" s="1208"/>
      <c r="E501" s="1185"/>
      <c r="F501" s="1180"/>
      <c r="G501" s="1322"/>
    </row>
    <row r="502" spans="1:7" ht="24.75" x14ac:dyDescent="0.25">
      <c r="A502" s="1175" t="s">
        <v>1885</v>
      </c>
      <c r="B502" s="1183" t="s">
        <v>577</v>
      </c>
      <c r="C502" s="1184"/>
      <c r="D502" s="1208"/>
      <c r="E502" s="1185"/>
      <c r="F502" s="1180"/>
      <c r="G502" s="1322"/>
    </row>
    <row r="503" spans="1:7" ht="24.75" x14ac:dyDescent="0.25">
      <c r="A503" s="1175" t="s">
        <v>1886</v>
      </c>
      <c r="B503" s="1183" t="s">
        <v>578</v>
      </c>
      <c r="C503" s="1184"/>
      <c r="D503" s="1208"/>
      <c r="E503" s="1185"/>
      <c r="F503" s="1180"/>
      <c r="G503" s="1322"/>
    </row>
    <row r="504" spans="1:7" x14ac:dyDescent="0.25">
      <c r="A504" s="1175"/>
      <c r="B504" s="1239" t="s">
        <v>1904</v>
      </c>
      <c r="C504" s="1323">
        <v>10</v>
      </c>
      <c r="D504" s="1324" t="s">
        <v>123</v>
      </c>
      <c r="E504" s="1325">
        <v>1181700</v>
      </c>
      <c r="F504" s="1180">
        <f t="shared" ref="F504:F520" si="4">E504*C504</f>
        <v>11817000</v>
      </c>
      <c r="G504" s="1322"/>
    </row>
    <row r="505" spans="1:7" x14ac:dyDescent="0.25">
      <c r="A505" s="1175"/>
      <c r="B505" s="1239" t="s">
        <v>1905</v>
      </c>
      <c r="C505" s="1323">
        <v>10</v>
      </c>
      <c r="D505" s="1324" t="s">
        <v>123</v>
      </c>
      <c r="E505" s="1325">
        <v>1813500</v>
      </c>
      <c r="F505" s="1180">
        <f t="shared" si="4"/>
        <v>18135000</v>
      </c>
      <c r="G505" s="1322"/>
    </row>
    <row r="506" spans="1:7" x14ac:dyDescent="0.25">
      <c r="A506" s="1175"/>
      <c r="B506" s="1239" t="s">
        <v>1906</v>
      </c>
      <c r="C506" s="1323">
        <v>10</v>
      </c>
      <c r="D506" s="1324" t="s">
        <v>123</v>
      </c>
      <c r="E506" s="1325">
        <v>234000</v>
      </c>
      <c r="F506" s="1180">
        <f t="shared" si="4"/>
        <v>2340000</v>
      </c>
      <c r="G506" s="1322"/>
    </row>
    <row r="507" spans="1:7" x14ac:dyDescent="0.25">
      <c r="A507" s="1182"/>
      <c r="B507" s="1176" t="s">
        <v>2338</v>
      </c>
      <c r="C507" s="1184">
        <v>10</v>
      </c>
      <c r="D507" s="1208" t="s">
        <v>159</v>
      </c>
      <c r="E507" s="1185">
        <v>2500000</v>
      </c>
      <c r="F507" s="1180">
        <f t="shared" si="4"/>
        <v>25000000</v>
      </c>
      <c r="G507" s="1181"/>
    </row>
    <row r="508" spans="1:7" x14ac:dyDescent="0.25">
      <c r="A508" s="1182"/>
      <c r="B508" s="1176" t="s">
        <v>2339</v>
      </c>
      <c r="C508" s="1184">
        <v>10</v>
      </c>
      <c r="D508" s="1208" t="s">
        <v>123</v>
      </c>
      <c r="E508" s="1185">
        <v>2000000</v>
      </c>
      <c r="F508" s="1180">
        <f t="shared" si="4"/>
        <v>20000000</v>
      </c>
      <c r="G508" s="1181"/>
    </row>
    <row r="509" spans="1:7" x14ac:dyDescent="0.25">
      <c r="A509" s="1182"/>
      <c r="B509" s="1176" t="s">
        <v>2340</v>
      </c>
      <c r="C509" s="1184">
        <v>10</v>
      </c>
      <c r="D509" s="1208" t="s">
        <v>123</v>
      </c>
      <c r="E509" s="1185">
        <v>50000</v>
      </c>
      <c r="F509" s="1180">
        <f t="shared" si="4"/>
        <v>500000</v>
      </c>
      <c r="G509" s="1181"/>
    </row>
    <row r="510" spans="1:7" x14ac:dyDescent="0.25">
      <c r="A510" s="1182"/>
      <c r="B510" s="1176" t="s">
        <v>2341</v>
      </c>
      <c r="C510" s="1184">
        <v>10</v>
      </c>
      <c r="D510" s="1208" t="s">
        <v>123</v>
      </c>
      <c r="E510" s="1185">
        <v>60000</v>
      </c>
      <c r="F510" s="1180">
        <f t="shared" si="4"/>
        <v>600000</v>
      </c>
      <c r="G510" s="1181"/>
    </row>
    <row r="511" spans="1:7" x14ac:dyDescent="0.25">
      <c r="A511" s="1182"/>
      <c r="B511" s="1176" t="s">
        <v>2342</v>
      </c>
      <c r="C511" s="1184">
        <v>10</v>
      </c>
      <c r="D511" s="1208" t="s">
        <v>123</v>
      </c>
      <c r="E511" s="1185">
        <v>132000</v>
      </c>
      <c r="F511" s="1180">
        <f t="shared" si="4"/>
        <v>1320000</v>
      </c>
      <c r="G511" s="1181"/>
    </row>
    <row r="512" spans="1:7" x14ac:dyDescent="0.25">
      <c r="A512" s="1182"/>
      <c r="B512" s="1183" t="s">
        <v>2343</v>
      </c>
      <c r="C512" s="1184">
        <v>10</v>
      </c>
      <c r="D512" s="1208" t="s">
        <v>123</v>
      </c>
      <c r="E512" s="1185">
        <v>50000</v>
      </c>
      <c r="F512" s="1180">
        <f t="shared" si="4"/>
        <v>500000</v>
      </c>
      <c r="G512" s="1181"/>
    </row>
    <row r="513" spans="1:7" x14ac:dyDescent="0.25">
      <c r="A513" s="1182"/>
      <c r="B513" s="1183" t="s">
        <v>2344</v>
      </c>
      <c r="C513" s="1184">
        <v>1</v>
      </c>
      <c r="D513" s="1208" t="s">
        <v>159</v>
      </c>
      <c r="E513" s="1185">
        <v>300000</v>
      </c>
      <c r="F513" s="1180">
        <f t="shared" si="4"/>
        <v>300000</v>
      </c>
      <c r="G513" s="1181"/>
    </row>
    <row r="514" spans="1:7" x14ac:dyDescent="0.25">
      <c r="A514" s="1182"/>
      <c r="B514" s="1183" t="s">
        <v>2345</v>
      </c>
      <c r="C514" s="1184">
        <v>6</v>
      </c>
      <c r="D514" s="1208" t="s">
        <v>312</v>
      </c>
      <c r="E514" s="1185">
        <v>299000</v>
      </c>
      <c r="F514" s="1180">
        <f t="shared" si="4"/>
        <v>1794000</v>
      </c>
      <c r="G514" s="1181"/>
    </row>
    <row r="515" spans="1:7" x14ac:dyDescent="0.25">
      <c r="A515" s="1182"/>
      <c r="B515" s="1183" t="s">
        <v>2346</v>
      </c>
      <c r="C515" s="1184">
        <v>1</v>
      </c>
      <c r="D515" s="1208" t="s">
        <v>123</v>
      </c>
      <c r="E515" s="1185">
        <v>50000</v>
      </c>
      <c r="F515" s="1180">
        <f t="shared" si="4"/>
        <v>50000</v>
      </c>
      <c r="G515" s="1181"/>
    </row>
    <row r="516" spans="1:7" x14ac:dyDescent="0.25">
      <c r="A516" s="1182"/>
      <c r="B516" s="1183" t="s">
        <v>2347</v>
      </c>
      <c r="C516" s="1184">
        <v>1</v>
      </c>
      <c r="D516" s="1208" t="s">
        <v>1186</v>
      </c>
      <c r="E516" s="1185">
        <v>500000</v>
      </c>
      <c r="F516" s="1180">
        <f t="shared" si="4"/>
        <v>500000</v>
      </c>
      <c r="G516" s="1181"/>
    </row>
    <row r="517" spans="1:7" x14ac:dyDescent="0.25">
      <c r="A517" s="1182"/>
      <c r="B517" s="1183" t="s">
        <v>2348</v>
      </c>
      <c r="C517" s="1184">
        <v>1</v>
      </c>
      <c r="D517" s="1208" t="s">
        <v>2349</v>
      </c>
      <c r="E517" s="1185">
        <v>490000</v>
      </c>
      <c r="F517" s="1180">
        <f t="shared" si="4"/>
        <v>490000</v>
      </c>
      <c r="G517" s="1181"/>
    </row>
    <row r="518" spans="1:7" x14ac:dyDescent="0.25">
      <c r="A518" s="1182"/>
      <c r="B518" s="1183" t="s">
        <v>2350</v>
      </c>
      <c r="C518" s="1184">
        <v>10</v>
      </c>
      <c r="D518" s="1208" t="s">
        <v>361</v>
      </c>
      <c r="E518" s="1185">
        <v>54000</v>
      </c>
      <c r="F518" s="1180">
        <f t="shared" si="4"/>
        <v>540000</v>
      </c>
      <c r="G518" s="1181"/>
    </row>
    <row r="519" spans="1:7" x14ac:dyDescent="0.25">
      <c r="A519" s="1182"/>
      <c r="B519" s="1183" t="s">
        <v>2351</v>
      </c>
      <c r="C519" s="1184">
        <v>10</v>
      </c>
      <c r="D519" s="1208" t="s">
        <v>123</v>
      </c>
      <c r="E519" s="1185">
        <v>6000</v>
      </c>
      <c r="F519" s="1180">
        <f t="shared" si="4"/>
        <v>60000</v>
      </c>
      <c r="G519" s="1181"/>
    </row>
    <row r="520" spans="1:7" x14ac:dyDescent="0.25">
      <c r="A520" s="1182"/>
      <c r="B520" s="1183" t="s">
        <v>2352</v>
      </c>
      <c r="C520" s="1184">
        <v>10</v>
      </c>
      <c r="D520" s="1208" t="s">
        <v>123</v>
      </c>
      <c r="E520" s="1185">
        <v>42000</v>
      </c>
      <c r="F520" s="1180">
        <f t="shared" si="4"/>
        <v>420000</v>
      </c>
      <c r="G520" s="1181"/>
    </row>
    <row r="521" spans="1:7" x14ac:dyDescent="0.25">
      <c r="A521" s="1177"/>
      <c r="B521" s="1847" t="s">
        <v>27</v>
      </c>
      <c r="C521" s="1847"/>
      <c r="D521" s="1847"/>
      <c r="E521" s="1847"/>
      <c r="F521" s="1186">
        <f>SUM(F487:F520)</f>
        <v>86506000</v>
      </c>
      <c r="G521" s="1322"/>
    </row>
    <row r="522" spans="1:7" x14ac:dyDescent="0.25">
      <c r="A522" s="1161"/>
      <c r="B522" s="1326"/>
      <c r="C522" s="1326"/>
      <c r="D522" s="1326"/>
      <c r="E522" s="1326"/>
      <c r="F522" s="1327"/>
      <c r="G522" s="1160"/>
    </row>
    <row r="523" spans="1:7" x14ac:dyDescent="0.25">
      <c r="A523" s="1840" t="s">
        <v>614</v>
      </c>
      <c r="B523" s="1840"/>
      <c r="C523" s="1161" t="s">
        <v>28</v>
      </c>
      <c r="D523" s="1842" t="s">
        <v>1674</v>
      </c>
      <c r="E523" s="1842"/>
      <c r="F523" s="1842"/>
      <c r="G523" s="1161"/>
    </row>
    <row r="524" spans="1:7" x14ac:dyDescent="0.25">
      <c r="A524" s="1840" t="s">
        <v>29</v>
      </c>
      <c r="B524" s="1840"/>
      <c r="C524" s="1161"/>
      <c r="D524" s="1844" t="s">
        <v>2353</v>
      </c>
      <c r="E524" s="1844"/>
      <c r="F524" s="1844"/>
      <c r="G524" s="1161"/>
    </row>
    <row r="525" spans="1:7" x14ac:dyDescent="0.25">
      <c r="A525" s="1188"/>
      <c r="B525" s="1189"/>
      <c r="C525" s="1161"/>
      <c r="D525" s="1187"/>
      <c r="E525" s="1162"/>
      <c r="F525" s="1162"/>
      <c r="G525" s="1161"/>
    </row>
    <row r="526" spans="1:7" x14ac:dyDescent="0.25">
      <c r="A526" s="1188"/>
      <c r="B526" s="1189"/>
      <c r="C526" s="1161"/>
      <c r="D526" s="1187"/>
      <c r="E526" s="1162"/>
      <c r="F526" s="1162"/>
      <c r="G526" s="1161"/>
    </row>
    <row r="527" spans="1:7" x14ac:dyDescent="0.25">
      <c r="A527" s="1840"/>
      <c r="B527" s="1840"/>
      <c r="C527" s="1161"/>
      <c r="D527" s="1187"/>
      <c r="E527" s="1840"/>
      <c r="F527" s="1840"/>
      <c r="G527" s="1161"/>
    </row>
    <row r="528" spans="1:7" x14ac:dyDescent="0.25">
      <c r="A528" s="1840" t="s">
        <v>30</v>
      </c>
      <c r="B528" s="1840"/>
      <c r="C528" s="1161"/>
      <c r="D528" s="1840" t="s">
        <v>615</v>
      </c>
      <c r="E528" s="1840"/>
      <c r="F528" s="1840"/>
      <c r="G528" s="1161"/>
    </row>
    <row r="532" spans="6:6" x14ac:dyDescent="0.25">
      <c r="F532" s="1334">
        <f>F465+F403+F366+F329+F292+F249+F210+F147+F103+F41</f>
        <v>200240296</v>
      </c>
    </row>
  </sheetData>
  <mergeCells count="173">
    <mergeCell ref="D524:F524"/>
    <mergeCell ref="A527:B527"/>
    <mergeCell ref="E527:F527"/>
    <mergeCell ref="A528:B528"/>
    <mergeCell ref="D528:F528"/>
    <mergeCell ref="A369:B369"/>
    <mergeCell ref="D369:F369"/>
    <mergeCell ref="A372:B372"/>
    <mergeCell ref="E372:F372"/>
    <mergeCell ref="A373:B373"/>
    <mergeCell ref="D373:F373"/>
    <mergeCell ref="C386:D386"/>
    <mergeCell ref="A471:B471"/>
    <mergeCell ref="E471:F471"/>
    <mergeCell ref="A472:B472"/>
    <mergeCell ref="D472:F472"/>
    <mergeCell ref="A474:F474"/>
    <mergeCell ref="A475:F475"/>
    <mergeCell ref="C483:D483"/>
    <mergeCell ref="C484:D484"/>
    <mergeCell ref="B521:E521"/>
    <mergeCell ref="A523:B523"/>
    <mergeCell ref="D523:F523"/>
    <mergeCell ref="A524:B524"/>
    <mergeCell ref="A336:B336"/>
    <mergeCell ref="D336:F336"/>
    <mergeCell ref="A411:F411"/>
    <mergeCell ref="A412:F412"/>
    <mergeCell ref="A413:F413"/>
    <mergeCell ref="C421:D421"/>
    <mergeCell ref="B403:E403"/>
    <mergeCell ref="A375:G375"/>
    <mergeCell ref="A376:G376"/>
    <mergeCell ref="A377:G377"/>
    <mergeCell ref="D383:E383"/>
    <mergeCell ref="A338:F338"/>
    <mergeCell ref="A339:F339"/>
    <mergeCell ref="A340:F340"/>
    <mergeCell ref="C347:D347"/>
    <mergeCell ref="C348:D348"/>
    <mergeCell ref="B366:E366"/>
    <mergeCell ref="A368:B368"/>
    <mergeCell ref="D368:F368"/>
    <mergeCell ref="C385:D385"/>
    <mergeCell ref="A406:B406"/>
    <mergeCell ref="D406:F406"/>
    <mergeCell ref="A409:B409"/>
    <mergeCell ref="E409:F409"/>
    <mergeCell ref="A181:G181"/>
    <mergeCell ref="A182:G182"/>
    <mergeCell ref="A183:G183"/>
    <mergeCell ref="A221:G221"/>
    <mergeCell ref="A222:G222"/>
    <mergeCell ref="D332:F332"/>
    <mergeCell ref="A335:B335"/>
    <mergeCell ref="E335:F335"/>
    <mergeCell ref="A300:F300"/>
    <mergeCell ref="A301:F301"/>
    <mergeCell ref="A302:F302"/>
    <mergeCell ref="D308:E308"/>
    <mergeCell ref="C310:D310"/>
    <mergeCell ref="C311:D311"/>
    <mergeCell ref="B329:E329"/>
    <mergeCell ref="A331:B331"/>
    <mergeCell ref="D331:F331"/>
    <mergeCell ref="C230:D230"/>
    <mergeCell ref="C229:D229"/>
    <mergeCell ref="A220:G220"/>
    <mergeCell ref="C191:D191"/>
    <mergeCell ref="C192:D192"/>
    <mergeCell ref="A216:B216"/>
    <mergeCell ref="E216:F216"/>
    <mergeCell ref="A217:B217"/>
    <mergeCell ref="D217:F217"/>
    <mergeCell ref="B210:E210"/>
    <mergeCell ref="A212:B212"/>
    <mergeCell ref="D212:F212"/>
    <mergeCell ref="A213:B213"/>
    <mergeCell ref="D213:F213"/>
    <mergeCell ref="A405:B405"/>
    <mergeCell ref="D405:F405"/>
    <mergeCell ref="A255:B255"/>
    <mergeCell ref="E255:F255"/>
    <mergeCell ref="A256:B256"/>
    <mergeCell ref="D256:F256"/>
    <mergeCell ref="B249:E249"/>
    <mergeCell ref="A251:B251"/>
    <mergeCell ref="D251:F251"/>
    <mergeCell ref="A252:B252"/>
    <mergeCell ref="D252:F252"/>
    <mergeCell ref="A260:G260"/>
    <mergeCell ref="A261:G261"/>
    <mergeCell ref="A262:G262"/>
    <mergeCell ref="A295:B295"/>
    <mergeCell ref="D295:F295"/>
    <mergeCell ref="A298:B298"/>
    <mergeCell ref="A410:B410"/>
    <mergeCell ref="D410:F410"/>
    <mergeCell ref="A467:B467"/>
    <mergeCell ref="D467:F467"/>
    <mergeCell ref="A468:B468"/>
    <mergeCell ref="D468:F468"/>
    <mergeCell ref="C422:D422"/>
    <mergeCell ref="B465:E465"/>
    <mergeCell ref="A473:F473"/>
    <mergeCell ref="E298:F298"/>
    <mergeCell ref="C270:D270"/>
    <mergeCell ref="A332:B332"/>
    <mergeCell ref="B292:E292"/>
    <mergeCell ref="A294:B294"/>
    <mergeCell ref="D294:F294"/>
    <mergeCell ref="C269:D269"/>
    <mergeCell ref="A299:B299"/>
    <mergeCell ref="D299:F299"/>
    <mergeCell ref="A3:G3"/>
    <mergeCell ref="A4:G4"/>
    <mergeCell ref="A5:G5"/>
    <mergeCell ref="A11:B11"/>
    <mergeCell ref="C13:D13"/>
    <mergeCell ref="C12:D12"/>
    <mergeCell ref="A44:B44"/>
    <mergeCell ref="D44:F44"/>
    <mergeCell ref="A47:B47"/>
    <mergeCell ref="E47:F47"/>
    <mergeCell ref="B41:E41"/>
    <mergeCell ref="A43:B43"/>
    <mergeCell ref="D43:F43"/>
    <mergeCell ref="A48:B48"/>
    <mergeCell ref="D48:F48"/>
    <mergeCell ref="A50:G50"/>
    <mergeCell ref="A51:G51"/>
    <mergeCell ref="A52:G52"/>
    <mergeCell ref="A58:B58"/>
    <mergeCell ref="C59:D59"/>
    <mergeCell ref="C60:D60"/>
    <mergeCell ref="B103:E103"/>
    <mergeCell ref="A111:G111"/>
    <mergeCell ref="A112:G112"/>
    <mergeCell ref="A113:G113"/>
    <mergeCell ref="C121:D121"/>
    <mergeCell ref="C122:D122"/>
    <mergeCell ref="B147:E147"/>
    <mergeCell ref="A105:B105"/>
    <mergeCell ref="D105:F105"/>
    <mergeCell ref="A106:B106"/>
    <mergeCell ref="D106:F106"/>
    <mergeCell ref="A109:B109"/>
    <mergeCell ref="E109:F109"/>
    <mergeCell ref="A110:B110"/>
    <mergeCell ref="D110:F110"/>
    <mergeCell ref="A178:B178"/>
    <mergeCell ref="E178:F178"/>
    <mergeCell ref="A179:B179"/>
    <mergeCell ref="D179:F179"/>
    <mergeCell ref="A156:G156"/>
    <mergeCell ref="A157:G157"/>
    <mergeCell ref="B172:E172"/>
    <mergeCell ref="A174:B174"/>
    <mergeCell ref="D174:F174"/>
    <mergeCell ref="B171:E171"/>
    <mergeCell ref="A158:G158"/>
    <mergeCell ref="C167:D167"/>
    <mergeCell ref="C168:D168"/>
    <mergeCell ref="A148:B148"/>
    <mergeCell ref="D148:F148"/>
    <mergeCell ref="A149:B149"/>
    <mergeCell ref="D149:F149"/>
    <mergeCell ref="A152:B152"/>
    <mergeCell ref="E152:F152"/>
    <mergeCell ref="A153:B153"/>
    <mergeCell ref="D153:F153"/>
    <mergeCell ref="A175:B175"/>
    <mergeCell ref="D175:F175"/>
  </mergeCells>
  <pageMargins left="0.7" right="0.7" top="0.75" bottom="0.75" header="0.3" footer="0.3"/>
  <pageSetup paperSize="9"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I25"/>
  <sheetViews>
    <sheetView topLeftCell="A8" workbookViewId="0">
      <selection activeCell="A20" sqref="A20:G25"/>
    </sheetView>
  </sheetViews>
  <sheetFormatPr defaultRowHeight="15" x14ac:dyDescent="0.25"/>
  <cols>
    <col min="1" max="1" width="12.28515625" customWidth="1"/>
    <col min="2" max="2" width="34" customWidth="1"/>
    <col min="3" max="3" width="6" customWidth="1"/>
    <col min="4" max="4" width="6.140625" customWidth="1"/>
    <col min="5" max="5" width="14.42578125" customWidth="1"/>
    <col min="6" max="6" width="14.7109375" customWidth="1"/>
    <col min="7" max="7" width="7.7109375" customWidth="1"/>
    <col min="9" max="9" width="17.85546875" customWidth="1"/>
  </cols>
  <sheetData>
    <row r="1" spans="1:9" x14ac:dyDescent="0.25">
      <c r="A1" s="2052" t="s">
        <v>0</v>
      </c>
      <c r="B1" s="2052"/>
      <c r="C1" s="2052"/>
      <c r="D1" s="2052"/>
      <c r="E1" s="2052"/>
      <c r="F1" s="2052"/>
      <c r="G1" s="2052"/>
      <c r="I1" t="s">
        <v>2387</v>
      </c>
    </row>
    <row r="2" spans="1:9" x14ac:dyDescent="0.25">
      <c r="A2" s="2052" t="s">
        <v>1</v>
      </c>
      <c r="B2" s="2052"/>
      <c r="C2" s="2052"/>
      <c r="D2" s="2052"/>
      <c r="E2" s="2052"/>
      <c r="F2" s="2052"/>
      <c r="G2" s="2052"/>
      <c r="I2" s="175">
        <f>I18</f>
        <v>151200000</v>
      </c>
    </row>
    <row r="3" spans="1:9" x14ac:dyDescent="0.25">
      <c r="A3" s="2052" t="s">
        <v>1697</v>
      </c>
      <c r="B3" s="2052"/>
      <c r="C3" s="2052"/>
      <c r="D3" s="2052"/>
      <c r="E3" s="2052"/>
      <c r="F3" s="2052"/>
      <c r="G3" s="2052"/>
    </row>
    <row r="4" spans="1:9" x14ac:dyDescent="0.25">
      <c r="A4" s="1089"/>
      <c r="B4" s="1089"/>
      <c r="C4" s="1089"/>
      <c r="D4" s="1089"/>
      <c r="E4" s="1089"/>
      <c r="F4" s="1089"/>
      <c r="G4" s="1089"/>
    </row>
    <row r="5" spans="1:9" x14ac:dyDescent="0.25">
      <c r="A5" s="1090" t="s">
        <v>296</v>
      </c>
      <c r="B5" s="1091" t="s">
        <v>2736</v>
      </c>
      <c r="C5" s="1090"/>
      <c r="D5" s="1090"/>
      <c r="E5" s="1092"/>
      <c r="F5" s="1092"/>
      <c r="G5" s="440"/>
    </row>
    <row r="6" spans="1:9" x14ac:dyDescent="0.25">
      <c r="A6" s="1090" t="s">
        <v>297</v>
      </c>
      <c r="B6" s="1093" t="s">
        <v>2381</v>
      </c>
      <c r="C6" s="1090"/>
      <c r="D6" s="1090"/>
      <c r="E6" s="1092"/>
      <c r="F6" s="1090"/>
      <c r="G6" s="440"/>
    </row>
    <row r="7" spans="1:9" ht="30" x14ac:dyDescent="0.25">
      <c r="A7" s="1094" t="s">
        <v>298</v>
      </c>
      <c r="B7" s="1094" t="s">
        <v>2382</v>
      </c>
      <c r="C7" s="1094"/>
      <c r="D7" s="1094"/>
      <c r="E7" s="1094"/>
      <c r="F7" s="1094"/>
      <c r="G7" s="440"/>
    </row>
    <row r="8" spans="1:9" x14ac:dyDescent="0.25">
      <c r="A8" s="1095" t="s">
        <v>62</v>
      </c>
      <c r="B8" s="1095" t="s">
        <v>63</v>
      </c>
      <c r="C8" s="1095"/>
      <c r="D8" s="1095"/>
      <c r="E8" s="1095"/>
      <c r="F8" s="1095"/>
      <c r="G8" s="440"/>
    </row>
    <row r="9" spans="1:9" x14ac:dyDescent="0.25">
      <c r="A9" s="1095" t="s">
        <v>64</v>
      </c>
      <c r="B9" s="1095" t="s">
        <v>65</v>
      </c>
      <c r="C9" s="1095"/>
      <c r="D9" s="2049"/>
      <c r="E9" s="2049"/>
      <c r="F9" s="1095"/>
      <c r="G9" s="440"/>
    </row>
    <row r="10" spans="1:9" x14ac:dyDescent="0.25">
      <c r="A10" s="1096"/>
      <c r="B10" s="1096"/>
      <c r="C10" s="1096"/>
      <c r="D10" s="1096"/>
      <c r="E10" s="1096"/>
      <c r="F10" s="1096"/>
      <c r="G10" s="440"/>
    </row>
    <row r="11" spans="1:9" ht="30" x14ac:dyDescent="0.25">
      <c r="A11" s="1097" t="s">
        <v>300</v>
      </c>
      <c r="B11" s="1097" t="s">
        <v>12</v>
      </c>
      <c r="C11" s="2050" t="s">
        <v>13</v>
      </c>
      <c r="D11" s="2050"/>
      <c r="E11" s="1098" t="s">
        <v>14</v>
      </c>
      <c r="F11" s="1099" t="s">
        <v>15</v>
      </c>
      <c r="G11" s="718" t="s">
        <v>301</v>
      </c>
    </row>
    <row r="12" spans="1:9" x14ac:dyDescent="0.25">
      <c r="A12" s="1097">
        <v>1</v>
      </c>
      <c r="B12" s="1097">
        <v>2</v>
      </c>
      <c r="C12" s="2038">
        <v>3</v>
      </c>
      <c r="D12" s="2039"/>
      <c r="E12" s="1100">
        <v>4</v>
      </c>
      <c r="F12" s="1099">
        <v>5</v>
      </c>
      <c r="G12" s="1088">
        <v>6</v>
      </c>
    </row>
    <row r="13" spans="1:9" x14ac:dyDescent="0.25">
      <c r="A13" s="1101" t="s">
        <v>2383</v>
      </c>
      <c r="B13" s="1102" t="s">
        <v>2384</v>
      </c>
      <c r="C13" s="1103"/>
      <c r="D13" s="1104"/>
      <c r="E13" s="1105"/>
      <c r="F13" s="1103"/>
      <c r="G13" s="1106"/>
    </row>
    <row r="14" spans="1:9" x14ac:dyDescent="0.25">
      <c r="A14" s="1101" t="s">
        <v>2385</v>
      </c>
      <c r="B14" s="1102" t="s">
        <v>2384</v>
      </c>
      <c r="C14" s="1103"/>
      <c r="D14" s="1104"/>
      <c r="E14" s="1105"/>
      <c r="F14" s="1103"/>
      <c r="G14" s="1106"/>
    </row>
    <row r="15" spans="1:9" x14ac:dyDescent="0.25">
      <c r="A15" s="1101" t="s">
        <v>2386</v>
      </c>
      <c r="B15" s="1102" t="s">
        <v>2384</v>
      </c>
      <c r="C15" s="1107"/>
      <c r="D15" s="1108"/>
      <c r="E15" s="1109"/>
      <c r="F15" s="1110"/>
      <c r="G15" s="1106"/>
    </row>
    <row r="16" spans="1:9" x14ac:dyDescent="0.25">
      <c r="A16" s="1111"/>
      <c r="B16" s="1102" t="s">
        <v>2986</v>
      </c>
      <c r="C16" s="1107">
        <f>42*12</f>
        <v>504</v>
      </c>
      <c r="D16" s="1108" t="s">
        <v>252</v>
      </c>
      <c r="E16" s="1109">
        <v>300000</v>
      </c>
      <c r="F16" s="1110">
        <f>E16*C16</f>
        <v>151200000</v>
      </c>
      <c r="G16" s="1106"/>
    </row>
    <row r="17" spans="1:9" x14ac:dyDescent="0.25">
      <c r="A17" s="1111"/>
      <c r="B17" s="1112"/>
      <c r="C17" s="1113"/>
      <c r="D17" s="1114"/>
      <c r="E17" s="1115"/>
      <c r="F17" s="1116"/>
      <c r="G17" s="1106"/>
    </row>
    <row r="18" spans="1:9" x14ac:dyDescent="0.25">
      <c r="A18" s="1111"/>
      <c r="B18" s="2051" t="s">
        <v>27</v>
      </c>
      <c r="C18" s="2051"/>
      <c r="D18" s="2051"/>
      <c r="E18" s="2051"/>
      <c r="F18" s="1117">
        <f>SUM(F15:F17)</f>
        <v>151200000</v>
      </c>
      <c r="G18" s="1106" t="s">
        <v>2387</v>
      </c>
      <c r="I18" s="175">
        <f>F18</f>
        <v>151200000</v>
      </c>
    </row>
    <row r="20" spans="1:9" x14ac:dyDescent="0.25">
      <c r="A20" s="1807" t="s">
        <v>614</v>
      </c>
      <c r="B20" s="1807"/>
      <c r="C20" s="5" t="s">
        <v>28</v>
      </c>
      <c r="D20" s="1808" t="s">
        <v>1698</v>
      </c>
      <c r="E20" s="1808"/>
      <c r="F20" s="1808"/>
      <c r="G20" s="5"/>
    </row>
    <row r="21" spans="1:9" x14ac:dyDescent="0.25">
      <c r="A21" s="1807" t="s">
        <v>29</v>
      </c>
      <c r="B21" s="1807"/>
      <c r="C21" s="5"/>
      <c r="D21" s="1809" t="s">
        <v>2988</v>
      </c>
      <c r="E21" s="1809"/>
      <c r="F21" s="1809"/>
      <c r="G21" s="5"/>
    </row>
    <row r="22" spans="1:9" x14ac:dyDescent="0.25">
      <c r="A22" s="1"/>
      <c r="B22" s="3"/>
      <c r="C22" s="5"/>
      <c r="D22" s="7"/>
      <c r="E22" s="17"/>
      <c r="F22" s="17"/>
      <c r="G22" s="5"/>
    </row>
    <row r="23" spans="1:9" x14ac:dyDescent="0.25">
      <c r="A23" s="1"/>
      <c r="B23" s="3"/>
      <c r="C23" s="5"/>
      <c r="D23" s="7"/>
      <c r="E23" s="17"/>
      <c r="F23" s="17"/>
      <c r="G23" s="5"/>
    </row>
    <row r="24" spans="1:9" x14ac:dyDescent="0.25">
      <c r="A24" s="1807"/>
      <c r="B24" s="1807"/>
      <c r="C24" s="5"/>
      <c r="D24" s="7"/>
      <c r="E24" s="1807"/>
      <c r="F24" s="1807"/>
      <c r="G24" s="5"/>
    </row>
    <row r="25" spans="1:9" x14ac:dyDescent="0.25">
      <c r="A25" s="1807" t="s">
        <v>30</v>
      </c>
      <c r="B25" s="1807"/>
      <c r="C25" s="5"/>
      <c r="D25" s="1807" t="s">
        <v>2998</v>
      </c>
      <c r="E25" s="1807"/>
      <c r="F25" s="1807"/>
      <c r="G25" s="5"/>
    </row>
  </sheetData>
  <mergeCells count="15">
    <mergeCell ref="D9:E9"/>
    <mergeCell ref="C11:D11"/>
    <mergeCell ref="C12:D12"/>
    <mergeCell ref="B18:E18"/>
    <mergeCell ref="A1:G1"/>
    <mergeCell ref="A2:G2"/>
    <mergeCell ref="A3:G3"/>
    <mergeCell ref="A25:B25"/>
    <mergeCell ref="D25:F25"/>
    <mergeCell ref="A20:B20"/>
    <mergeCell ref="D20:F20"/>
    <mergeCell ref="A21:B21"/>
    <mergeCell ref="D21:F21"/>
    <mergeCell ref="A24:B24"/>
    <mergeCell ref="E24:F2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Y72"/>
  <sheetViews>
    <sheetView topLeftCell="I1" zoomScaleNormal="100" workbookViewId="0">
      <selection activeCell="O11" sqref="O11"/>
    </sheetView>
  </sheetViews>
  <sheetFormatPr defaultRowHeight="15" x14ac:dyDescent="0.25"/>
  <cols>
    <col min="5" max="5" width="17.85546875" customWidth="1"/>
    <col min="6" max="6" width="17.7109375" customWidth="1"/>
    <col min="7" max="7" width="24.140625" customWidth="1"/>
    <col min="8" max="8" width="25.28515625" customWidth="1"/>
    <col min="9" max="9" width="20.140625" customWidth="1"/>
    <col min="10" max="10" width="18.7109375" customWidth="1"/>
    <col min="11" max="11" width="14.140625" customWidth="1"/>
    <col min="12" max="12" width="17" customWidth="1"/>
    <col min="13" max="13" width="15.85546875" customWidth="1"/>
    <col min="14" max="15" width="16.42578125" customWidth="1"/>
    <col min="16" max="16" width="15.7109375" customWidth="1"/>
    <col min="17" max="17" width="14" customWidth="1"/>
    <col min="18" max="18" width="15.140625" customWidth="1"/>
    <col min="19" max="19" width="14.5703125" bestFit="1" customWidth="1"/>
    <col min="20" max="20" width="14.5703125" customWidth="1"/>
    <col min="21" max="21" width="14.28515625" bestFit="1" customWidth="1"/>
    <col min="23" max="23" width="16.85546875" bestFit="1" customWidth="1"/>
    <col min="24" max="24" width="20.85546875" customWidth="1"/>
    <col min="25" max="25" width="16.42578125" customWidth="1"/>
  </cols>
  <sheetData>
    <row r="1" spans="2:25" x14ac:dyDescent="0.25">
      <c r="E1" s="175">
        <f>E3+F3+G3+H3+I3+J3+K3+L3+M3+U3</f>
        <v>7433644832</v>
      </c>
      <c r="H1" s="175">
        <f>H3+G3</f>
        <v>2556511537</v>
      </c>
      <c r="L1" s="175">
        <f>L3-50000000</f>
        <v>124437800</v>
      </c>
      <c r="S1" s="175"/>
    </row>
    <row r="2" spans="2:25" ht="30" x14ac:dyDescent="0.25">
      <c r="E2" t="s">
        <v>2387</v>
      </c>
      <c r="F2" t="s">
        <v>1682</v>
      </c>
      <c r="G2" t="s">
        <v>2620</v>
      </c>
      <c r="H2" t="s">
        <v>2621</v>
      </c>
      <c r="I2" s="1154" t="s">
        <v>2622</v>
      </c>
      <c r="J2" s="1155" t="s">
        <v>2637</v>
      </c>
      <c r="K2" t="s">
        <v>2623</v>
      </c>
      <c r="L2" t="s">
        <v>1690</v>
      </c>
      <c r="M2" t="s">
        <v>2624</v>
      </c>
      <c r="N2" t="s">
        <v>2625</v>
      </c>
      <c r="O2" t="s">
        <v>2626</v>
      </c>
      <c r="P2" t="s">
        <v>2627</v>
      </c>
      <c r="Q2" t="s">
        <v>2628</v>
      </c>
      <c r="R2" t="s">
        <v>2639</v>
      </c>
      <c r="S2" t="s">
        <v>2635</v>
      </c>
      <c r="T2" t="s">
        <v>2892</v>
      </c>
      <c r="U2" t="s">
        <v>2646</v>
      </c>
    </row>
    <row r="3" spans="2:25" x14ac:dyDescent="0.25">
      <c r="E3" s="1158">
        <v>897307000</v>
      </c>
      <c r="F3" s="1158">
        <v>2814314395</v>
      </c>
      <c r="G3" s="1158">
        <v>2512543792</v>
      </c>
      <c r="H3" s="1158">
        <v>43967745</v>
      </c>
      <c r="I3" s="1158">
        <v>770000000</v>
      </c>
      <c r="J3" s="1158">
        <v>93000000</v>
      </c>
      <c r="K3" s="1158">
        <v>25108000</v>
      </c>
      <c r="L3" s="1158">
        <v>174437800</v>
      </c>
      <c r="M3" s="1158">
        <v>72966100</v>
      </c>
      <c r="N3" s="1158">
        <v>237176087.09</v>
      </c>
      <c r="O3" s="1158">
        <v>842910888</v>
      </c>
      <c r="P3" s="1158">
        <v>225555060</v>
      </c>
      <c r="Q3" s="1158">
        <v>31192069.18</v>
      </c>
      <c r="R3" s="1158">
        <v>171492058</v>
      </c>
      <c r="S3" s="1157">
        <v>10630370.66</v>
      </c>
      <c r="T3" s="1157">
        <v>300000</v>
      </c>
      <c r="U3" s="1157">
        <v>30000000</v>
      </c>
      <c r="W3" s="175">
        <f>SUM(E3:U3)</f>
        <v>8952901364.9300003</v>
      </c>
    </row>
    <row r="4" spans="2:25" x14ac:dyDescent="0.25">
      <c r="H4" s="451">
        <v>43967198</v>
      </c>
      <c r="W4" t="s">
        <v>27</v>
      </c>
      <c r="X4" t="s">
        <v>2676</v>
      </c>
    </row>
    <row r="5" spans="2:25" x14ac:dyDescent="0.25">
      <c r="B5" t="s">
        <v>2630</v>
      </c>
      <c r="E5" s="451">
        <f>'BID I'!I3</f>
        <v>0</v>
      </c>
      <c r="F5" s="451">
        <f>'BID I'!J3</f>
        <v>1237934185</v>
      </c>
      <c r="G5" s="451">
        <f>'BID I'!K3</f>
        <v>1763873896</v>
      </c>
      <c r="H5" s="451">
        <f>'BID I'!L3</f>
        <v>3527047</v>
      </c>
      <c r="I5" s="451">
        <f>'BID I'!M3</f>
        <v>0</v>
      </c>
      <c r="J5" s="451">
        <f>'BID I'!N3</f>
        <v>93000000</v>
      </c>
      <c r="K5" s="451">
        <f>'BID I'!O3</f>
        <v>25108000</v>
      </c>
      <c r="L5" s="451">
        <f>'BID I'!P3</f>
        <v>21500000</v>
      </c>
      <c r="M5" s="451">
        <f>'BID I'!Q3</f>
        <v>0</v>
      </c>
      <c r="N5" s="451">
        <f>'BID I'!R3</f>
        <v>0</v>
      </c>
      <c r="O5" s="451">
        <f>'BID I'!S3</f>
        <v>81890888</v>
      </c>
      <c r="P5" s="451">
        <f>'BID I'!T3</f>
        <v>88688000</v>
      </c>
      <c r="Q5" s="451">
        <f>'BID I'!U3</f>
        <v>2535000</v>
      </c>
      <c r="R5" s="451">
        <f>'BID I'!V3</f>
        <v>51492058</v>
      </c>
      <c r="S5" s="451">
        <f>'BID I'!W3</f>
        <v>10630370.66</v>
      </c>
      <c r="T5" s="451">
        <f>'BID I'!X3</f>
        <v>300000</v>
      </c>
      <c r="U5" s="451"/>
      <c r="V5" s="451"/>
      <c r="W5" s="451">
        <f t="shared" ref="W5:W9" si="0">SUM(E5:U5)</f>
        <v>3380479444.6599998</v>
      </c>
      <c r="X5" s="1158">
        <f>'BID I'!F1436</f>
        <v>3380479444.6599998</v>
      </c>
      <c r="Y5" s="1190">
        <f>W5-X5</f>
        <v>0</v>
      </c>
    </row>
    <row r="6" spans="2:25" x14ac:dyDescent="0.25">
      <c r="B6" t="s">
        <v>2631</v>
      </c>
      <c r="E6" s="451">
        <f>'BID II'!J4</f>
        <v>659695000</v>
      </c>
      <c r="F6" s="451">
        <f>'BID II'!K4</f>
        <v>1131024550</v>
      </c>
      <c r="G6" s="451">
        <f>'BID II'!L4</f>
        <v>466057600</v>
      </c>
      <c r="H6" s="451">
        <f>'BID II'!M4</f>
        <v>16486000</v>
      </c>
      <c r="I6" s="451">
        <f>'BID II'!N4</f>
        <v>0</v>
      </c>
      <c r="J6" s="451">
        <f>'BID II'!O4</f>
        <v>0</v>
      </c>
      <c r="K6" s="451">
        <f>'BID II'!P4</f>
        <v>0</v>
      </c>
      <c r="L6" s="451">
        <f>'BID II'!Q4</f>
        <v>90707800</v>
      </c>
      <c r="M6" s="451">
        <f>'BID II'!R4</f>
        <v>72966100</v>
      </c>
      <c r="N6" s="451">
        <f>'BID II'!S4</f>
        <v>235949087.09</v>
      </c>
      <c r="O6" s="451">
        <f>'BID II'!T4</f>
        <v>459823000</v>
      </c>
      <c r="P6" s="451">
        <f>'BID II'!U4</f>
        <v>74278000</v>
      </c>
      <c r="Q6" s="451">
        <f>'BID II'!V4</f>
        <v>28657069.18</v>
      </c>
      <c r="R6" s="451">
        <f>'BID II'!W4</f>
        <v>120000000</v>
      </c>
      <c r="S6" s="451">
        <f>'BID II'!X4</f>
        <v>0</v>
      </c>
      <c r="T6" s="451"/>
      <c r="U6" s="451">
        <f>'BID II'!Y4</f>
        <v>0</v>
      </c>
      <c r="W6" s="1157">
        <f t="shared" si="0"/>
        <v>3355644206.27</v>
      </c>
      <c r="X6" s="1158">
        <f>'BID II'!F2316</f>
        <v>3355644206.27</v>
      </c>
      <c r="Y6" s="1190">
        <f>W6-X6</f>
        <v>0</v>
      </c>
    </row>
    <row r="7" spans="2:25" x14ac:dyDescent="0.25">
      <c r="B7" t="s">
        <v>2632</v>
      </c>
      <c r="E7" s="451">
        <f>'BID III'!I3</f>
        <v>0</v>
      </c>
      <c r="F7" s="451">
        <f>'BID III'!J3</f>
        <v>442915660</v>
      </c>
      <c r="G7" s="451">
        <f>'BID III'!K3</f>
        <v>236336000</v>
      </c>
      <c r="H7" s="451">
        <f>'BID III'!L3</f>
        <v>23954698</v>
      </c>
      <c r="I7" s="451">
        <f>'BID III'!M3</f>
        <v>770000000</v>
      </c>
      <c r="J7" s="451">
        <f>'BID III'!N3</f>
        <v>0</v>
      </c>
      <c r="K7" s="451">
        <f>'BID III'!O3</f>
        <v>0</v>
      </c>
      <c r="L7" s="451">
        <f>'BID III'!P3</f>
        <v>0</v>
      </c>
      <c r="M7" s="451">
        <f>'BID III'!Q3</f>
        <v>0</v>
      </c>
      <c r="N7" s="451">
        <f>'BID III'!R3</f>
        <v>0</v>
      </c>
      <c r="O7" s="451">
        <f>'BID III'!S3</f>
        <v>299542000</v>
      </c>
      <c r="P7" s="451">
        <f>'BID III'!T3</f>
        <v>62589060</v>
      </c>
      <c r="Q7" s="451">
        <f>'BID III'!U3</f>
        <v>0</v>
      </c>
      <c r="R7" s="451">
        <f>'BID III'!V3</f>
        <v>0</v>
      </c>
      <c r="S7" s="451">
        <f>'BID III'!W3</f>
        <v>0</v>
      </c>
      <c r="T7" s="451"/>
      <c r="U7" s="451">
        <f>'BID III'!X3</f>
        <v>30000000</v>
      </c>
      <c r="W7" s="1157">
        <f t="shared" si="0"/>
        <v>1865337418</v>
      </c>
      <c r="X7" s="1190">
        <f>'BID III'!F1057</f>
        <v>1865337418</v>
      </c>
      <c r="Y7" s="1190">
        <f>W7-X7</f>
        <v>0</v>
      </c>
    </row>
    <row r="8" spans="2:25" x14ac:dyDescent="0.25">
      <c r="B8" t="s">
        <v>2633</v>
      </c>
      <c r="E8" s="451">
        <f>'BID IV'!I2</f>
        <v>86412000</v>
      </c>
      <c r="F8" s="451">
        <f>'BID IV'!J2</f>
        <v>2440000</v>
      </c>
      <c r="G8" s="451">
        <f>'BID IV'!K2</f>
        <v>46276296</v>
      </c>
      <c r="H8" s="451">
        <f>'BID IV'!L2</f>
        <v>0</v>
      </c>
      <c r="I8" s="451">
        <f>'BID IV'!M2</f>
        <v>0</v>
      </c>
      <c r="J8" s="451">
        <f>'BID IV'!N2</f>
        <v>0</v>
      </c>
      <c r="K8" s="451">
        <f>'BID IV'!O2</f>
        <v>0</v>
      </c>
      <c r="L8" s="451">
        <f>'BID IV'!P2</f>
        <v>62230000</v>
      </c>
      <c r="M8" s="451">
        <f>'BID IV'!Q2</f>
        <v>0</v>
      </c>
      <c r="N8" s="451">
        <f>'BID IV'!R2</f>
        <v>1227000</v>
      </c>
      <c r="O8" s="451">
        <f>'BID IV'!S2</f>
        <v>1655000</v>
      </c>
      <c r="P8" s="451">
        <f>'BID IV'!T2</f>
        <v>0</v>
      </c>
      <c r="Q8" s="451">
        <f>'BID IV'!U2</f>
        <v>0</v>
      </c>
      <c r="R8" s="451">
        <f>'BID IV'!V2</f>
        <v>0</v>
      </c>
      <c r="S8" s="451">
        <f>'BID IV'!W2</f>
        <v>0</v>
      </c>
      <c r="T8" s="451"/>
      <c r="U8" s="451">
        <f>'BID IV'!X2</f>
        <v>0</v>
      </c>
      <c r="W8" s="1157">
        <f t="shared" si="0"/>
        <v>200240296</v>
      </c>
      <c r="X8" s="1190">
        <f>'BID IV'!F532</f>
        <v>200240296</v>
      </c>
      <c r="Y8" s="1190">
        <f>W8-X8</f>
        <v>0</v>
      </c>
    </row>
    <row r="9" spans="2:25" x14ac:dyDescent="0.25">
      <c r="B9" t="s">
        <v>2634</v>
      </c>
      <c r="E9" s="175">
        <f>'BID V'!I18</f>
        <v>151200000</v>
      </c>
      <c r="W9" s="1157">
        <f t="shared" si="0"/>
        <v>151200000</v>
      </c>
      <c r="X9" s="1158">
        <f>'BID V'!F18</f>
        <v>151200000</v>
      </c>
      <c r="Y9" s="1190">
        <f>X9-W9</f>
        <v>0</v>
      </c>
    </row>
    <row r="10" spans="2:25" x14ac:dyDescent="0.25">
      <c r="B10" t="s">
        <v>27</v>
      </c>
      <c r="E10" s="451">
        <f>SUM(E5:E9)</f>
        <v>897307000</v>
      </c>
      <c r="F10" s="451">
        <f t="shared" ref="F10:U10" si="1">SUM(F5:F9)</f>
        <v>2814314395</v>
      </c>
      <c r="G10" s="451">
        <f t="shared" si="1"/>
        <v>2512543792</v>
      </c>
      <c r="H10" s="451">
        <f t="shared" si="1"/>
        <v>43967745</v>
      </c>
      <c r="I10" s="451">
        <f t="shared" si="1"/>
        <v>770000000</v>
      </c>
      <c r="J10" s="451">
        <f t="shared" si="1"/>
        <v>93000000</v>
      </c>
      <c r="K10" s="451">
        <f t="shared" si="1"/>
        <v>25108000</v>
      </c>
      <c r="L10" s="451">
        <f t="shared" si="1"/>
        <v>174437800</v>
      </c>
      <c r="M10" s="451">
        <f t="shared" si="1"/>
        <v>72966100</v>
      </c>
      <c r="N10" s="451">
        <f t="shared" si="1"/>
        <v>237176087.09</v>
      </c>
      <c r="O10" s="451">
        <f t="shared" si="1"/>
        <v>842910888</v>
      </c>
      <c r="P10" s="451">
        <f t="shared" si="1"/>
        <v>225555060</v>
      </c>
      <c r="Q10" s="451">
        <f t="shared" si="1"/>
        <v>31192069.18</v>
      </c>
      <c r="R10" s="451">
        <f t="shared" si="1"/>
        <v>171492058</v>
      </c>
      <c r="S10" s="451">
        <f t="shared" si="1"/>
        <v>10630370.66</v>
      </c>
      <c r="T10" s="451">
        <f>SUM(T5:T9)</f>
        <v>300000</v>
      </c>
      <c r="U10" s="451">
        <f t="shared" si="1"/>
        <v>30000000</v>
      </c>
      <c r="W10" s="1157">
        <f>SUM(E10:U10)</f>
        <v>8952901364.9300003</v>
      </c>
      <c r="X10" s="1158">
        <f>SUM(X5:X9)</f>
        <v>8952901364.9300003</v>
      </c>
      <c r="Y10" s="1190">
        <f>W10-X10</f>
        <v>0</v>
      </c>
    </row>
    <row r="11" spans="2:25" x14ac:dyDescent="0.25">
      <c r="B11" t="s">
        <v>2636</v>
      </c>
      <c r="E11" s="1157">
        <f>E3-E10</f>
        <v>0</v>
      </c>
      <c r="F11" s="1157">
        <f t="shared" ref="F11:U11" si="2">F3-F10</f>
        <v>0</v>
      </c>
      <c r="G11" s="1157">
        <f>G3-G10</f>
        <v>0</v>
      </c>
      <c r="H11" s="1157">
        <f t="shared" si="2"/>
        <v>0</v>
      </c>
      <c r="I11" s="1157">
        <f t="shared" si="2"/>
        <v>0</v>
      </c>
      <c r="J11" s="1157">
        <f t="shared" si="2"/>
        <v>0</v>
      </c>
      <c r="K11" s="1157">
        <f t="shared" si="2"/>
        <v>0</v>
      </c>
      <c r="L11" s="1157">
        <f t="shared" si="2"/>
        <v>0</v>
      </c>
      <c r="M11" s="1157">
        <f t="shared" si="2"/>
        <v>0</v>
      </c>
      <c r="N11" s="1157">
        <f t="shared" si="2"/>
        <v>0</v>
      </c>
      <c r="O11" s="1157">
        <f t="shared" si="2"/>
        <v>0</v>
      </c>
      <c r="P11" s="1157">
        <f t="shared" si="2"/>
        <v>0</v>
      </c>
      <c r="Q11" s="1612">
        <f t="shared" si="2"/>
        <v>0</v>
      </c>
      <c r="R11" s="1157">
        <f t="shared" si="2"/>
        <v>0</v>
      </c>
      <c r="S11" s="1157">
        <f t="shared" si="2"/>
        <v>0</v>
      </c>
      <c r="T11" s="1157">
        <f>T3-T10</f>
        <v>0</v>
      </c>
      <c r="U11" s="1157">
        <f t="shared" si="2"/>
        <v>0</v>
      </c>
      <c r="W11" s="1157">
        <f>SUM(E11:U11)</f>
        <v>0</v>
      </c>
    </row>
    <row r="12" spans="2:25" x14ac:dyDescent="0.25">
      <c r="E12" s="175"/>
      <c r="F12" s="1732">
        <f>F11/15000</f>
        <v>0</v>
      </c>
      <c r="G12" s="175"/>
      <c r="H12" s="175">
        <f>H4-H3</f>
        <v>-547</v>
      </c>
      <c r="L12" s="175"/>
      <c r="N12" s="175"/>
      <c r="O12" s="175"/>
      <c r="S12" s="1190"/>
      <c r="T12" s="1190"/>
      <c r="W12" s="1190"/>
    </row>
    <row r="13" spans="2:25" x14ac:dyDescent="0.25">
      <c r="E13" s="175"/>
      <c r="F13" s="175">
        <f>29*12*2</f>
        <v>696</v>
      </c>
      <c r="G13" s="1733"/>
      <c r="K13">
        <v>1</v>
      </c>
      <c r="L13" s="451"/>
      <c r="M13" s="1190"/>
      <c r="N13" s="1190"/>
      <c r="W13" s="175">
        <f>W3-W10</f>
        <v>0</v>
      </c>
    </row>
    <row r="14" spans="2:25" x14ac:dyDescent="0.25">
      <c r="E14" s="175" t="s">
        <v>2775</v>
      </c>
      <c r="F14" s="1157">
        <f>W10</f>
        <v>8952901364.9300003</v>
      </c>
      <c r="G14" s="175"/>
      <c r="H14" t="s">
        <v>2784</v>
      </c>
      <c r="I14" s="1157">
        <f>E3</f>
        <v>897307000</v>
      </c>
      <c r="K14">
        <v>2</v>
      </c>
      <c r="L14" s="175">
        <f>E6+N6</f>
        <v>895644087.09000003</v>
      </c>
      <c r="M14" s="451">
        <v>287923900</v>
      </c>
    </row>
    <row r="15" spans="2:25" ht="30" x14ac:dyDescent="0.25">
      <c r="E15" s="86" t="s">
        <v>2776</v>
      </c>
      <c r="F15" s="175">
        <f>F14-I10-J10-U10</f>
        <v>8059901364.9300003</v>
      </c>
      <c r="H15" t="s">
        <v>2785</v>
      </c>
      <c r="I15" s="175">
        <f>'BID V'!F18</f>
        <v>151200000</v>
      </c>
      <c r="K15">
        <v>4</v>
      </c>
      <c r="L15" s="175">
        <f>E8+N8</f>
        <v>87639000</v>
      </c>
      <c r="M15" s="175">
        <v>89294000</v>
      </c>
      <c r="N15" s="175">
        <f>L15-M15</f>
        <v>-1655000</v>
      </c>
      <c r="Q15">
        <f>60000/300</f>
        <v>200</v>
      </c>
      <c r="R15" s="175">
        <f>R11/50000</f>
        <v>0</v>
      </c>
    </row>
    <row r="16" spans="2:25" x14ac:dyDescent="0.25">
      <c r="E16" s="1369">
        <v>0.3</v>
      </c>
      <c r="F16" s="1333">
        <f>F15*E16</f>
        <v>2417970409.4790001</v>
      </c>
      <c r="H16" t="s">
        <v>2786</v>
      </c>
      <c r="I16">
        <f>I15/I14*100</f>
        <v>16.850420201781553</v>
      </c>
      <c r="K16" s="451"/>
    </row>
    <row r="17" spans="5:23" x14ac:dyDescent="0.25">
      <c r="H17" s="1372" t="s">
        <v>2787</v>
      </c>
      <c r="I17" s="1333">
        <f>'BID IV'!F147</f>
        <v>23430000</v>
      </c>
      <c r="K17" s="175"/>
      <c r="N17">
        <f>2000000/50</f>
        <v>40000</v>
      </c>
      <c r="W17" s="451">
        <f>'BID II'!F1604+'BID II'!F1643+'BID II'!F1680+'BID II'!F1715+'BID II'!F1751+'BID II'!F1789+'BID II'!F1828</f>
        <v>259908250</v>
      </c>
    </row>
    <row r="18" spans="5:23" ht="60" x14ac:dyDescent="0.25">
      <c r="E18" s="86" t="s">
        <v>2777</v>
      </c>
      <c r="F18" s="286">
        <f>'BID I'!F20+'BID I'!F60</f>
        <v>1099545760</v>
      </c>
      <c r="H18" s="495" t="s">
        <v>2786</v>
      </c>
      <c r="I18" s="495">
        <f>I17/I14*100</f>
        <v>2.6111464638078159</v>
      </c>
    </row>
    <row r="19" spans="5:23" ht="0.75" customHeight="1" x14ac:dyDescent="0.25">
      <c r="E19" s="1372" t="s">
        <v>2778</v>
      </c>
      <c r="F19" s="1373">
        <f>'BID I'!F94</f>
        <v>70001760</v>
      </c>
      <c r="K19">
        <v>1</v>
      </c>
    </row>
    <row r="20" spans="5:23" x14ac:dyDescent="0.25">
      <c r="E20" s="86" t="s">
        <v>2779</v>
      </c>
      <c r="F20" s="286">
        <f>'BID I'!F349</f>
        <v>410200000</v>
      </c>
    </row>
    <row r="21" spans="5:23" x14ac:dyDescent="0.25">
      <c r="E21" s="86" t="s">
        <v>2780</v>
      </c>
      <c r="F21" s="175">
        <f>'BID I'!F390+'BID I'!F429</f>
        <v>28399000</v>
      </c>
    </row>
    <row r="22" spans="5:23" ht="0.75" customHeight="1" x14ac:dyDescent="0.25">
      <c r="E22" s="1372" t="s">
        <v>2781</v>
      </c>
      <c r="F22" s="1373">
        <f>'BID I'!F495</f>
        <v>482054400</v>
      </c>
    </row>
    <row r="23" spans="5:23" ht="45" hidden="1" x14ac:dyDescent="0.25">
      <c r="E23" s="1372" t="s">
        <v>2782</v>
      </c>
      <c r="F23" s="1373">
        <f>'BID I'!F570+'BID I'!F606</f>
        <v>60944232</v>
      </c>
    </row>
    <row r="24" spans="5:23" x14ac:dyDescent="0.25">
      <c r="E24" s="1370" t="s">
        <v>2783</v>
      </c>
      <c r="F24" s="1371">
        <f>F21+F20+F18</f>
        <v>1538144760</v>
      </c>
    </row>
    <row r="25" spans="5:23" x14ac:dyDescent="0.25">
      <c r="E25" s="86" t="s">
        <v>2636</v>
      </c>
      <c r="F25" s="175">
        <f>F16-F24</f>
        <v>879825649.47900009</v>
      </c>
    </row>
    <row r="26" spans="5:23" x14ac:dyDescent="0.25">
      <c r="J26" t="s">
        <v>2822</v>
      </c>
      <c r="N26" s="175">
        <f>K17/5</f>
        <v>0</v>
      </c>
    </row>
    <row r="27" spans="5:23" ht="30" x14ac:dyDescent="0.25">
      <c r="E27" s="1420"/>
      <c r="F27" s="1420" t="s">
        <v>2895</v>
      </c>
      <c r="I27" s="86" t="s">
        <v>2821</v>
      </c>
      <c r="J27" s="175">
        <f>E3*3%</f>
        <v>26919210</v>
      </c>
    </row>
    <row r="28" spans="5:23" x14ac:dyDescent="0.25">
      <c r="E28" s="1420" t="s">
        <v>2787</v>
      </c>
      <c r="F28" s="1421">
        <f>E3*20%</f>
        <v>179461400</v>
      </c>
    </row>
    <row r="29" spans="5:23" ht="165" x14ac:dyDescent="0.25">
      <c r="E29" s="86" t="str">
        <f>'BID II'!B1843</f>
        <v>: Pemeliharaan Prasarana Jalan Desa (Pembersihan saluran air untuk kelancaran pertanian dan gorong-gorong (PKTD MURNI Ketahanan Pangan)</v>
      </c>
      <c r="G29" s="175">
        <f>'BID II'!F1856</f>
        <v>23100000</v>
      </c>
      <c r="I29" t="s">
        <v>2894</v>
      </c>
      <c r="J29" s="175">
        <f>E3*25%</f>
        <v>224326750</v>
      </c>
    </row>
    <row r="30" spans="5:23" x14ac:dyDescent="0.25">
      <c r="J30" s="175">
        <f>'BID V'!F18</f>
        <v>151200000</v>
      </c>
      <c r="K30">
        <f>J30/E3*100</f>
        <v>16.850420201781553</v>
      </c>
    </row>
    <row r="32" spans="5:23" x14ac:dyDescent="0.25">
      <c r="J32" s="175">
        <f>300000*12</f>
        <v>3600000</v>
      </c>
    </row>
    <row r="33" spans="5:10" x14ac:dyDescent="0.25">
      <c r="E33" s="451">
        <f>'BID II'!F2006</f>
        <v>18184000</v>
      </c>
    </row>
    <row r="34" spans="5:10" x14ac:dyDescent="0.25">
      <c r="E34" s="451">
        <f>'BID II'!F1969</f>
        <v>331798000</v>
      </c>
      <c r="J34">
        <f>J29/J32</f>
        <v>62.312986111111108</v>
      </c>
    </row>
    <row r="35" spans="5:10" x14ac:dyDescent="0.25">
      <c r="E35" s="451">
        <f>'BID II'!F1930</f>
        <v>67743000</v>
      </c>
    </row>
    <row r="36" spans="5:10" x14ac:dyDescent="0.25">
      <c r="E36" s="451">
        <f>'BID II'!F1893</f>
        <v>385503000</v>
      </c>
    </row>
    <row r="38" spans="5:10" x14ac:dyDescent="0.25">
      <c r="E38" s="451">
        <f>SUM(E33:E37)</f>
        <v>803228000</v>
      </c>
    </row>
    <row r="41" spans="5:10" x14ac:dyDescent="0.25">
      <c r="E41">
        <f>'BID II'!F1828</f>
        <v>18685000</v>
      </c>
    </row>
    <row r="42" spans="5:10" x14ac:dyDescent="0.25">
      <c r="E42">
        <f>'BID II'!F1789</f>
        <v>67523250</v>
      </c>
    </row>
    <row r="43" spans="5:10" x14ac:dyDescent="0.25">
      <c r="E43">
        <f>'BID II'!F1751</f>
        <v>58249000</v>
      </c>
    </row>
    <row r="44" spans="5:10" x14ac:dyDescent="0.25">
      <c r="E44">
        <f>'BID II'!F1715</f>
        <v>46005000</v>
      </c>
    </row>
    <row r="45" spans="5:10" x14ac:dyDescent="0.25">
      <c r="E45">
        <f>'BID II'!F1680</f>
        <v>10850000</v>
      </c>
    </row>
    <row r="46" spans="5:10" x14ac:dyDescent="0.25">
      <c r="E46">
        <f>'BID II'!F1643</f>
        <v>54884000</v>
      </c>
    </row>
    <row r="47" spans="5:10" x14ac:dyDescent="0.25">
      <c r="E47">
        <f>'BID II'!F1604</f>
        <v>3712000</v>
      </c>
    </row>
    <row r="49" spans="5:8" x14ac:dyDescent="0.25">
      <c r="E49" s="451">
        <f>SUM(E41:E48)</f>
        <v>259908250</v>
      </c>
      <c r="G49" s="175">
        <f>E49+E11+N11+O11</f>
        <v>259908250</v>
      </c>
      <c r="H49" s="1157">
        <f>O11</f>
        <v>0</v>
      </c>
    </row>
    <row r="52" spans="5:8" x14ac:dyDescent="0.25">
      <c r="E52">
        <v>220000</v>
      </c>
    </row>
    <row r="53" spans="5:8" x14ac:dyDescent="0.25">
      <c r="E53">
        <v>6</v>
      </c>
    </row>
    <row r="54" spans="5:8" x14ac:dyDescent="0.25">
      <c r="E54">
        <f>E53*E52</f>
        <v>1320000</v>
      </c>
    </row>
    <row r="55" spans="5:8" x14ac:dyDescent="0.25">
      <c r="E55">
        <v>12</v>
      </c>
    </row>
    <row r="56" spans="5:8" x14ac:dyDescent="0.25">
      <c r="E56" s="451">
        <f>E55*E54</f>
        <v>15840000</v>
      </c>
    </row>
    <row r="57" spans="5:8" x14ac:dyDescent="0.25">
      <c r="E57" s="175">
        <f>E56*4</f>
        <v>63360000</v>
      </c>
    </row>
    <row r="59" spans="5:8" x14ac:dyDescent="0.25">
      <c r="E59" s="175">
        <f>E57+L3</f>
        <v>237797800</v>
      </c>
    </row>
    <row r="61" spans="5:8" x14ac:dyDescent="0.25">
      <c r="E61" t="s">
        <v>3001</v>
      </c>
    </row>
    <row r="62" spans="5:8" x14ac:dyDescent="0.25">
      <c r="E62" t="s">
        <v>863</v>
      </c>
      <c r="F62" t="s">
        <v>3002</v>
      </c>
    </row>
    <row r="63" spans="5:8" ht="165" x14ac:dyDescent="0.25">
      <c r="E63" s="86" t="str">
        <f>'BID II'!B1843</f>
        <v>: Pemeliharaan Prasarana Jalan Desa (Pembersihan saluran air untuk kelancaran pertanian dan gorong-gorong (PKTD MURNI Ketahanan Pangan)</v>
      </c>
      <c r="F63" s="175">
        <f>'BID II'!J1856</f>
        <v>23100000</v>
      </c>
    </row>
    <row r="64" spans="5:8" ht="45" x14ac:dyDescent="0.25">
      <c r="E64" s="86" t="str">
        <f>'BID II'!B1946</f>
        <v>Pasang Paving 570.36m2, Kanstin 814.4m, Lansiran</v>
      </c>
      <c r="F64" s="451">
        <f>'BID II'!J1969</f>
        <v>331798000</v>
      </c>
    </row>
    <row r="65" spans="5:6" ht="105" x14ac:dyDescent="0.25">
      <c r="E65" s="86" t="str">
        <f>'BID IV'!B117</f>
        <v>: Penguatan Ketahanan Pangan Tingkat Desa ( Peningkatan ketersediaan Bibit/benih tanaman pangan)</v>
      </c>
      <c r="F65" s="451">
        <f>'BID IV'!F147</f>
        <v>23430000</v>
      </c>
    </row>
    <row r="66" spans="5:6" x14ac:dyDescent="0.25">
      <c r="F66" s="175">
        <f>SUM(F63:F65)</f>
        <v>378328000</v>
      </c>
    </row>
    <row r="67" spans="5:6" x14ac:dyDescent="0.25">
      <c r="E67" t="s">
        <v>3003</v>
      </c>
    </row>
    <row r="68" spans="5:6" x14ac:dyDescent="0.25">
      <c r="E68" t="s">
        <v>863</v>
      </c>
      <c r="F68" t="s">
        <v>3002</v>
      </c>
    </row>
    <row r="69" spans="5:6" ht="45" x14ac:dyDescent="0.25">
      <c r="E69" s="86" t="str">
        <f>'BID II'!B444</f>
        <v>: Penyelenggaraan Posyandu (Pemberian PMT)</v>
      </c>
      <c r="F69" s="451">
        <f>SUM('BID II'!J447:J484)</f>
        <v>241985500</v>
      </c>
    </row>
    <row r="70" spans="5:6" ht="90" x14ac:dyDescent="0.25">
      <c r="E70" s="86" t="str">
        <f>'BID II'!B566</f>
        <v xml:space="preserve"> :Penyuluhan dan Pelatiah Bidang Kesehatan (Pendampingan calon pengantin Stunting)</v>
      </c>
      <c r="F70" s="175">
        <f>'BID II'!J596</f>
        <v>6877440</v>
      </c>
    </row>
    <row r="71" spans="5:6" ht="75" x14ac:dyDescent="0.25">
      <c r="E71" s="86" t="str">
        <f>'BID II'!B650</f>
        <v>: Penyuluhan dan Pelatihan Bidang Kesehatan (Pembinaan Kader POSyandu)</v>
      </c>
      <c r="F71" s="451">
        <f>SUM('BID II'!J653:J686)</f>
        <v>2125000</v>
      </c>
    </row>
    <row r="72" spans="5:6" x14ac:dyDescent="0.25">
      <c r="F72" s="1190">
        <f>SUM(F69:F71)</f>
        <v>250987940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N1098"/>
  <sheetViews>
    <sheetView topLeftCell="A19" zoomScale="115" zoomScaleNormal="115" workbookViewId="0">
      <pane ySplit="1380" topLeftCell="A181" activePane="bottomLeft"/>
      <selection activeCell="M884" sqref="M884"/>
      <selection pane="bottomLeft" activeCell="N181" sqref="N181"/>
    </sheetView>
  </sheetViews>
  <sheetFormatPr defaultRowHeight="15" x14ac:dyDescent="0.25"/>
  <cols>
    <col min="1" max="3" width="3.28515625" customWidth="1"/>
    <col min="4" max="4" width="2.5703125" customWidth="1"/>
    <col min="5" max="7" width="3.28515625" customWidth="1"/>
    <col min="8" max="8" width="24.28515625" customWidth="1"/>
    <col min="9" max="9" width="6.85546875" customWidth="1"/>
    <col min="10" max="10" width="7.28515625" customWidth="1"/>
    <col min="11" max="11" width="18.140625" customWidth="1"/>
    <col min="12" max="12" width="7" style="86" customWidth="1"/>
    <col min="13" max="13" width="44" customWidth="1"/>
    <col min="14" max="14" width="32.7109375" customWidth="1"/>
  </cols>
  <sheetData>
    <row r="1" spans="1:12" x14ac:dyDescent="0.25">
      <c r="F1" s="86"/>
      <c r="I1" s="451"/>
      <c r="J1" s="86"/>
    </row>
    <row r="2" spans="1:12" x14ac:dyDescent="0.25">
      <c r="F2" s="86"/>
      <c r="I2" s="451"/>
      <c r="J2" s="86"/>
    </row>
    <row r="3" spans="1:12" x14ac:dyDescent="0.25">
      <c r="F3" s="86"/>
      <c r="I3" s="451"/>
      <c r="J3" s="86"/>
    </row>
    <row r="4" spans="1:12" x14ac:dyDescent="0.25">
      <c r="F4" s="86"/>
      <c r="I4" s="451"/>
      <c r="J4" s="86"/>
    </row>
    <row r="5" spans="1:12" x14ac:dyDescent="0.25">
      <c r="A5" s="2053"/>
      <c r="B5" s="2053"/>
      <c r="C5" s="2053"/>
      <c r="D5" s="2053"/>
      <c r="E5" s="2053"/>
      <c r="F5" s="2053"/>
      <c r="G5" s="2053"/>
      <c r="H5" s="2053"/>
      <c r="I5" s="2053"/>
      <c r="J5" s="2053"/>
    </row>
    <row r="6" spans="1:12" x14ac:dyDescent="0.25">
      <c r="I6" s="1336" t="s">
        <v>2677</v>
      </c>
      <c r="J6" s="1336"/>
      <c r="K6" s="1337"/>
      <c r="L6" s="1338"/>
    </row>
    <row r="7" spans="1:12" x14ac:dyDescent="0.25">
      <c r="I7" s="1336" t="s">
        <v>2684</v>
      </c>
      <c r="J7" s="1336"/>
      <c r="K7" s="1337"/>
      <c r="L7" s="1338"/>
    </row>
    <row r="8" spans="1:12" x14ac:dyDescent="0.25">
      <c r="I8" s="1336" t="s">
        <v>2701</v>
      </c>
      <c r="J8" s="1336"/>
      <c r="K8" s="1337"/>
      <c r="L8" s="1338"/>
    </row>
    <row r="9" spans="1:12" x14ac:dyDescent="0.25">
      <c r="I9" s="1336" t="s">
        <v>2685</v>
      </c>
      <c r="J9" s="1336"/>
      <c r="K9" s="1337"/>
      <c r="L9" s="1338"/>
    </row>
    <row r="10" spans="1:12" x14ac:dyDescent="0.25">
      <c r="I10" s="1336" t="s">
        <v>2678</v>
      </c>
      <c r="J10" s="1336"/>
      <c r="K10" s="1337"/>
      <c r="L10" s="1338"/>
    </row>
    <row r="11" spans="1:12" x14ac:dyDescent="0.25">
      <c r="K11" s="451"/>
    </row>
    <row r="12" spans="1:12" x14ac:dyDescent="0.25">
      <c r="K12" s="451"/>
    </row>
    <row r="13" spans="1:12" x14ac:dyDescent="0.25">
      <c r="K13" s="451"/>
    </row>
    <row r="14" spans="1:12" x14ac:dyDescent="0.25">
      <c r="K14" s="451"/>
    </row>
    <row r="15" spans="1:12" x14ac:dyDescent="0.25">
      <c r="A15" s="2053" t="s">
        <v>2686</v>
      </c>
      <c r="B15" s="2053"/>
      <c r="C15" s="2053"/>
      <c r="D15" s="2053"/>
      <c r="E15" s="2053"/>
      <c r="F15" s="2053"/>
      <c r="G15" s="2053"/>
      <c r="H15" s="2053"/>
      <c r="I15" s="2053"/>
      <c r="J15" s="2053"/>
      <c r="K15" s="2053"/>
      <c r="L15" s="2053"/>
    </row>
    <row r="16" spans="1:12" x14ac:dyDescent="0.25">
      <c r="A16" s="2053" t="s">
        <v>2679</v>
      </c>
      <c r="B16" s="2053"/>
      <c r="C16" s="2053"/>
      <c r="D16" s="2053"/>
      <c r="E16" s="2053"/>
      <c r="F16" s="2053"/>
      <c r="G16" s="2053"/>
      <c r="H16" s="2053"/>
      <c r="I16" s="2053"/>
      <c r="J16" s="2053"/>
      <c r="K16" s="2053"/>
      <c r="L16" s="2053"/>
    </row>
    <row r="17" spans="1:13" x14ac:dyDescent="0.25">
      <c r="A17" s="2053" t="s">
        <v>1697</v>
      </c>
      <c r="B17" s="2053"/>
      <c r="C17" s="2053"/>
      <c r="D17" s="2053"/>
      <c r="E17" s="2053"/>
      <c r="F17" s="2053"/>
      <c r="G17" s="2053"/>
      <c r="H17" s="2053"/>
      <c r="I17" s="2053"/>
      <c r="J17" s="2053"/>
      <c r="K17" s="2053"/>
      <c r="L17" s="2053"/>
    </row>
    <row r="18" spans="1:13" x14ac:dyDescent="0.25">
      <c r="K18" s="451"/>
    </row>
    <row r="19" spans="1:13" x14ac:dyDescent="0.25">
      <c r="A19" s="2054" t="s">
        <v>2680</v>
      </c>
      <c r="B19" s="2054"/>
      <c r="C19" s="2054"/>
      <c r="D19" s="2054"/>
      <c r="E19" s="2054"/>
      <c r="F19" s="2054"/>
      <c r="G19" s="2054"/>
      <c r="H19" s="2054" t="s">
        <v>12</v>
      </c>
      <c r="I19" s="2055" t="s">
        <v>2681</v>
      </c>
      <c r="J19" s="2055"/>
      <c r="K19" s="2056" t="s">
        <v>2682</v>
      </c>
      <c r="L19" s="2057" t="s">
        <v>2683</v>
      </c>
    </row>
    <row r="20" spans="1:13" x14ac:dyDescent="0.25">
      <c r="A20" s="2054"/>
      <c r="B20" s="2054"/>
      <c r="C20" s="2054"/>
      <c r="D20" s="2054"/>
      <c r="E20" s="2054"/>
      <c r="F20" s="2054"/>
      <c r="G20" s="2054"/>
      <c r="H20" s="2054"/>
      <c r="I20" s="1339" t="s">
        <v>13</v>
      </c>
      <c r="J20" s="1339" t="s">
        <v>1947</v>
      </c>
      <c r="K20" s="2056"/>
      <c r="L20" s="2057"/>
    </row>
    <row r="21" spans="1:13" x14ac:dyDescent="0.25">
      <c r="A21" s="2054">
        <v>1</v>
      </c>
      <c r="B21" s="2054"/>
      <c r="C21" s="2054"/>
      <c r="D21" s="2054">
        <v>2</v>
      </c>
      <c r="E21" s="2054"/>
      <c r="F21" s="2054"/>
      <c r="G21" s="2054"/>
      <c r="H21" s="267">
        <v>3</v>
      </c>
      <c r="I21" s="267">
        <v>4</v>
      </c>
      <c r="J21" s="267">
        <v>5</v>
      </c>
      <c r="K21" s="267">
        <v>6</v>
      </c>
      <c r="L21" s="351">
        <v>7</v>
      </c>
    </row>
    <row r="22" spans="1:13" x14ac:dyDescent="0.25">
      <c r="A22" s="267" t="s">
        <v>1358</v>
      </c>
      <c r="B22" s="267" t="s">
        <v>1359</v>
      </c>
      <c r="C22" s="267" t="s">
        <v>1360</v>
      </c>
      <c r="D22" s="267" t="s">
        <v>1358</v>
      </c>
      <c r="E22" s="267" t="s">
        <v>1359</v>
      </c>
      <c r="F22" s="267" t="s">
        <v>1360</v>
      </c>
      <c r="G22" s="267" t="s">
        <v>1361</v>
      </c>
      <c r="H22" s="32"/>
      <c r="I22" s="32"/>
      <c r="J22" s="32"/>
      <c r="K22" s="470"/>
      <c r="L22" s="66"/>
    </row>
    <row r="23" spans="1:13" x14ac:dyDescent="0.25">
      <c r="A23" s="32"/>
      <c r="B23" s="32"/>
      <c r="C23" s="32"/>
      <c r="D23" s="32">
        <v>4</v>
      </c>
      <c r="E23" s="32"/>
      <c r="F23" s="32"/>
      <c r="G23" s="32"/>
      <c r="H23" s="32" t="s">
        <v>2687</v>
      </c>
      <c r="I23" s="32"/>
      <c r="J23" s="32"/>
      <c r="K23" s="470"/>
      <c r="L23" s="66"/>
    </row>
    <row r="24" spans="1:13" x14ac:dyDescent="0.25">
      <c r="A24" s="32"/>
      <c r="B24" s="32"/>
      <c r="C24" s="32"/>
      <c r="D24" s="32">
        <v>4</v>
      </c>
      <c r="E24" s="32">
        <v>1</v>
      </c>
      <c r="F24" s="32"/>
      <c r="G24" s="32"/>
      <c r="H24" s="32" t="s">
        <v>1665</v>
      </c>
      <c r="I24" s="32"/>
      <c r="J24" s="32"/>
      <c r="K24" s="470"/>
      <c r="L24" s="66"/>
    </row>
    <row r="25" spans="1:13" x14ac:dyDescent="0.25">
      <c r="A25" s="32"/>
      <c r="B25" s="32"/>
      <c r="C25" s="32"/>
      <c r="D25" s="32">
        <v>4</v>
      </c>
      <c r="E25" s="32">
        <v>1</v>
      </c>
      <c r="F25" s="32">
        <v>1</v>
      </c>
      <c r="G25" s="1340" t="s">
        <v>2688</v>
      </c>
      <c r="H25" s="32" t="s">
        <v>2689</v>
      </c>
      <c r="I25" s="32">
        <v>1</v>
      </c>
      <c r="J25" s="32" t="s">
        <v>848</v>
      </c>
      <c r="K25" s="470">
        <f>Hitungan!L3</f>
        <v>174437800</v>
      </c>
      <c r="L25" s="66" t="s">
        <v>1690</v>
      </c>
    </row>
    <row r="26" spans="1:13" ht="30" x14ac:dyDescent="0.25">
      <c r="A26" s="32"/>
      <c r="B26" s="32"/>
      <c r="C26" s="32"/>
      <c r="D26" s="32">
        <v>4</v>
      </c>
      <c r="E26" s="32">
        <v>1</v>
      </c>
      <c r="F26" s="32">
        <v>3</v>
      </c>
      <c r="G26" s="1340"/>
      <c r="H26" s="66" t="s">
        <v>2918</v>
      </c>
      <c r="I26" s="32"/>
      <c r="J26" s="32"/>
      <c r="K26" s="470"/>
      <c r="L26" s="66"/>
    </row>
    <row r="27" spans="1:13" ht="45" x14ac:dyDescent="0.25">
      <c r="A27" s="32"/>
      <c r="B27" s="32"/>
      <c r="C27" s="32"/>
      <c r="D27" s="32">
        <v>4</v>
      </c>
      <c r="E27" s="32">
        <v>1</v>
      </c>
      <c r="F27" s="32">
        <v>3</v>
      </c>
      <c r="G27" s="1340" t="s">
        <v>2688</v>
      </c>
      <c r="H27" s="66" t="s">
        <v>2919</v>
      </c>
      <c r="I27" s="32">
        <v>1</v>
      </c>
      <c r="J27" s="32" t="s">
        <v>848</v>
      </c>
      <c r="K27" s="470">
        <f>Hitungan!M3</f>
        <v>72966100</v>
      </c>
      <c r="L27" s="66" t="s">
        <v>2624</v>
      </c>
      <c r="M27" s="175"/>
    </row>
    <row r="28" spans="1:13" x14ac:dyDescent="0.25">
      <c r="A28" s="32"/>
      <c r="B28" s="32"/>
      <c r="C28" s="32"/>
      <c r="D28" s="32">
        <v>4</v>
      </c>
      <c r="E28" s="32">
        <v>2</v>
      </c>
      <c r="F28" s="32"/>
      <c r="G28" s="32"/>
      <c r="H28" s="32" t="s">
        <v>2690</v>
      </c>
      <c r="I28" s="32"/>
      <c r="J28" s="32"/>
      <c r="K28" s="470"/>
      <c r="L28" s="66"/>
    </row>
    <row r="29" spans="1:13" x14ac:dyDescent="0.25">
      <c r="A29" s="32"/>
      <c r="B29" s="32"/>
      <c r="C29" s="32"/>
      <c r="D29" s="32">
        <v>4</v>
      </c>
      <c r="E29" s="32">
        <v>2</v>
      </c>
      <c r="F29" s="32">
        <v>1</v>
      </c>
      <c r="G29" s="32"/>
      <c r="H29" s="32" t="s">
        <v>1683</v>
      </c>
      <c r="I29" s="32"/>
      <c r="J29" s="32"/>
      <c r="K29" s="470"/>
      <c r="L29" s="66"/>
    </row>
    <row r="30" spans="1:13" x14ac:dyDescent="0.25">
      <c r="A30" s="32"/>
      <c r="B30" s="32"/>
      <c r="C30" s="32"/>
      <c r="D30" s="32">
        <v>4</v>
      </c>
      <c r="E30" s="32">
        <v>2</v>
      </c>
      <c r="F30" s="32">
        <v>1</v>
      </c>
      <c r="G30" s="1340" t="s">
        <v>2688</v>
      </c>
      <c r="H30" s="32" t="s">
        <v>1683</v>
      </c>
      <c r="I30" s="32">
        <v>1</v>
      </c>
      <c r="J30" s="32" t="s">
        <v>848</v>
      </c>
      <c r="K30" s="497">
        <f>Hitungan!E3</f>
        <v>897307000</v>
      </c>
      <c r="L30" s="66" t="s">
        <v>2387</v>
      </c>
    </row>
    <row r="31" spans="1:13" ht="45" x14ac:dyDescent="0.25">
      <c r="A31" s="32"/>
      <c r="B31" s="32"/>
      <c r="C31" s="32"/>
      <c r="D31" s="32">
        <v>4</v>
      </c>
      <c r="E31" s="32">
        <v>2</v>
      </c>
      <c r="F31" s="32">
        <v>2</v>
      </c>
      <c r="G31" s="32"/>
      <c r="H31" s="66" t="s">
        <v>2691</v>
      </c>
      <c r="I31" s="32"/>
      <c r="J31" s="32"/>
      <c r="K31" s="470"/>
      <c r="L31" s="66"/>
    </row>
    <row r="32" spans="1:13" ht="30" x14ac:dyDescent="0.25">
      <c r="A32" s="32"/>
      <c r="B32" s="32"/>
      <c r="C32" s="32"/>
      <c r="D32" s="32">
        <v>4</v>
      </c>
      <c r="E32" s="32">
        <v>2</v>
      </c>
      <c r="F32" s="32">
        <v>2</v>
      </c>
      <c r="G32" s="1340" t="s">
        <v>2688</v>
      </c>
      <c r="H32" s="66" t="s">
        <v>2692</v>
      </c>
      <c r="I32" s="32">
        <v>1</v>
      </c>
      <c r="J32" s="32" t="s">
        <v>848</v>
      </c>
      <c r="K32" s="470">
        <f>Hitungan!G3+Hitungan!H3</f>
        <v>2556511537</v>
      </c>
      <c r="L32" s="66" t="s">
        <v>2693</v>
      </c>
    </row>
    <row r="33" spans="1:14" x14ac:dyDescent="0.25">
      <c r="A33" s="32"/>
      <c r="B33" s="32"/>
      <c r="C33" s="32"/>
      <c r="D33" s="32">
        <v>4</v>
      </c>
      <c r="E33" s="32">
        <v>2</v>
      </c>
      <c r="F33" s="32">
        <v>3</v>
      </c>
      <c r="G33" s="32"/>
      <c r="H33" s="32" t="s">
        <v>2694</v>
      </c>
      <c r="I33" s="32"/>
      <c r="J33" s="32"/>
      <c r="K33" s="470"/>
      <c r="L33" s="66"/>
    </row>
    <row r="34" spans="1:14" x14ac:dyDescent="0.25">
      <c r="A34" s="32"/>
      <c r="B34" s="32"/>
      <c r="C34" s="32"/>
      <c r="D34" s="32">
        <v>4</v>
      </c>
      <c r="E34" s="32">
        <v>2</v>
      </c>
      <c r="F34" s="32">
        <v>3</v>
      </c>
      <c r="G34" s="1340" t="s">
        <v>2688</v>
      </c>
      <c r="H34" s="32" t="s">
        <v>2694</v>
      </c>
      <c r="I34" s="32">
        <v>1</v>
      </c>
      <c r="J34" s="32" t="s">
        <v>848</v>
      </c>
      <c r="K34" s="470">
        <f>Hitungan!F3</f>
        <v>2814314395</v>
      </c>
      <c r="L34" s="66" t="s">
        <v>1682</v>
      </c>
    </row>
    <row r="35" spans="1:14" x14ac:dyDescent="0.25">
      <c r="A35" s="32"/>
      <c r="B35" s="32"/>
      <c r="C35" s="32"/>
      <c r="D35" s="32">
        <v>4</v>
      </c>
      <c r="E35" s="32">
        <v>2</v>
      </c>
      <c r="F35" s="32">
        <v>4</v>
      </c>
      <c r="G35" s="32"/>
      <c r="H35" s="32" t="s">
        <v>2695</v>
      </c>
      <c r="I35" s="32"/>
      <c r="J35" s="32"/>
      <c r="K35" s="470"/>
      <c r="L35" s="66"/>
    </row>
    <row r="36" spans="1:14" ht="30" x14ac:dyDescent="0.25">
      <c r="A36" s="32"/>
      <c r="B36" s="32"/>
      <c r="C36" s="32"/>
      <c r="D36" s="32">
        <v>4</v>
      </c>
      <c r="E36" s="32">
        <v>2</v>
      </c>
      <c r="F36" s="32">
        <v>4</v>
      </c>
      <c r="G36" s="1340" t="s">
        <v>2688</v>
      </c>
      <c r="H36" s="32" t="s">
        <v>2696</v>
      </c>
      <c r="I36" s="32">
        <v>1</v>
      </c>
      <c r="J36" s="32" t="s">
        <v>848</v>
      </c>
      <c r="K36" s="470">
        <f>Hitungan!U3+Hitungan!J3</f>
        <v>123000000</v>
      </c>
      <c r="L36" s="66" t="s">
        <v>2697</v>
      </c>
    </row>
    <row r="37" spans="1:14" ht="30" x14ac:dyDescent="0.25">
      <c r="A37" s="32"/>
      <c r="B37" s="32"/>
      <c r="C37" s="32"/>
      <c r="D37" s="32">
        <v>4</v>
      </c>
      <c r="E37" s="32">
        <v>2</v>
      </c>
      <c r="F37" s="32">
        <v>5</v>
      </c>
      <c r="G37" s="32"/>
      <c r="H37" s="66" t="s">
        <v>2698</v>
      </c>
      <c r="I37" s="32"/>
      <c r="J37" s="32"/>
      <c r="K37" s="470"/>
      <c r="L37" s="66"/>
    </row>
    <row r="38" spans="1:14" ht="30" x14ac:dyDescent="0.25">
      <c r="A38" s="32"/>
      <c r="B38" s="32"/>
      <c r="C38" s="32"/>
      <c r="D38" s="32">
        <v>4</v>
      </c>
      <c r="E38" s="32">
        <v>2</v>
      </c>
      <c r="F38" s="32">
        <v>5</v>
      </c>
      <c r="G38" s="1340" t="s">
        <v>2688</v>
      </c>
      <c r="H38" s="32" t="s">
        <v>2698</v>
      </c>
      <c r="I38" s="32">
        <v>1</v>
      </c>
      <c r="J38" s="32" t="s">
        <v>848</v>
      </c>
      <c r="K38" s="470">
        <f>Hitungan!I3</f>
        <v>770000000</v>
      </c>
      <c r="L38" s="66" t="s">
        <v>2622</v>
      </c>
    </row>
    <row r="39" spans="1:14" x14ac:dyDescent="0.25">
      <c r="A39" s="32"/>
      <c r="B39" s="32"/>
      <c r="C39" s="32"/>
      <c r="D39" s="32">
        <v>4</v>
      </c>
      <c r="E39" s="32">
        <v>3</v>
      </c>
      <c r="F39" s="32"/>
      <c r="G39" s="32"/>
      <c r="H39" s="32" t="s">
        <v>2699</v>
      </c>
      <c r="I39" s="32"/>
      <c r="J39" s="32"/>
      <c r="K39" s="470"/>
      <c r="L39" s="66"/>
    </row>
    <row r="40" spans="1:14" x14ac:dyDescent="0.25">
      <c r="A40" s="32"/>
      <c r="B40" s="32"/>
      <c r="C40" s="32"/>
      <c r="D40" s="32">
        <v>4</v>
      </c>
      <c r="E40" s="32">
        <v>3</v>
      </c>
      <c r="F40" s="32">
        <v>6</v>
      </c>
      <c r="G40" s="32"/>
      <c r="H40" s="32" t="s">
        <v>2623</v>
      </c>
      <c r="I40" s="32"/>
      <c r="J40" s="32"/>
      <c r="K40" s="470"/>
      <c r="L40" s="66"/>
    </row>
    <row r="41" spans="1:14" ht="30" x14ac:dyDescent="0.25">
      <c r="A41" s="32"/>
      <c r="B41" s="32"/>
      <c r="C41" s="32"/>
      <c r="D41" s="32">
        <v>4</v>
      </c>
      <c r="E41" s="32">
        <v>3</v>
      </c>
      <c r="F41" s="32">
        <v>6</v>
      </c>
      <c r="G41" s="1340" t="s">
        <v>2688</v>
      </c>
      <c r="H41" s="32" t="s">
        <v>2623</v>
      </c>
      <c r="I41" s="32">
        <v>1</v>
      </c>
      <c r="J41" s="32" t="s">
        <v>848</v>
      </c>
      <c r="K41" s="470">
        <f>Hitungan!K3</f>
        <v>25108000</v>
      </c>
      <c r="L41" s="66" t="s">
        <v>2623</v>
      </c>
    </row>
    <row r="42" spans="1:14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470"/>
      <c r="L42" s="66"/>
    </row>
    <row r="43" spans="1:14" x14ac:dyDescent="0.25">
      <c r="A43" s="32"/>
      <c r="B43" s="32"/>
      <c r="C43" s="32"/>
      <c r="D43" s="32"/>
      <c r="E43" s="32"/>
      <c r="F43" s="32"/>
      <c r="G43" s="32"/>
      <c r="H43" s="32" t="s">
        <v>2700</v>
      </c>
      <c r="I43" s="32"/>
      <c r="J43" s="32"/>
      <c r="K43" s="1341">
        <f>SUM(K24:K42)</f>
        <v>7433644832</v>
      </c>
      <c r="L43" s="66"/>
      <c r="M43" s="451">
        <v>7411911035</v>
      </c>
      <c r="N43" s="175">
        <f>Hitungan!E12</f>
        <v>0</v>
      </c>
    </row>
    <row r="44" spans="1:14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470"/>
      <c r="L44" s="66"/>
      <c r="M44" s="175">
        <f>K43-M43</f>
        <v>21733797</v>
      </c>
    </row>
    <row r="45" spans="1:14" x14ac:dyDescent="0.25">
      <c r="A45" s="32"/>
      <c r="B45" s="32"/>
      <c r="C45" s="32"/>
      <c r="D45" s="32">
        <v>5</v>
      </c>
      <c r="E45" s="32"/>
      <c r="F45" s="32"/>
      <c r="G45" s="32"/>
      <c r="H45" s="32" t="s">
        <v>2006</v>
      </c>
      <c r="I45" s="32"/>
      <c r="J45" s="32"/>
      <c r="K45" s="470"/>
      <c r="L45" s="66"/>
    </row>
    <row r="46" spans="1:14" ht="30" customHeight="1" x14ac:dyDescent="0.25">
      <c r="A46" s="1342">
        <v>1</v>
      </c>
      <c r="B46" s="1342"/>
      <c r="C46" s="1342"/>
      <c r="D46" s="1342"/>
      <c r="E46" s="1342"/>
      <c r="F46" s="1342"/>
      <c r="G46" s="1343"/>
      <c r="H46" s="1343" t="str">
        <f>'BID I'!B5</f>
        <v>: Penyelenggaraan Pemerintahan Desa</v>
      </c>
      <c r="I46" s="1342"/>
      <c r="J46" s="1342"/>
      <c r="K46" s="1351">
        <f>K48+K55+K60+K67+K98+K103+K107+K114+K120+K126+K130+K139++K144+K149+K153+K157+K162+K168+K180+K185+K190+K196+K209+K217+K225+K235+K245+K255+K262+K267+K272+K276+K280</f>
        <v>3380479444.6599998</v>
      </c>
      <c r="L46" s="1343"/>
      <c r="M46" s="175">
        <f>'BID I'!F1436</f>
        <v>3380479444.6599998</v>
      </c>
      <c r="N46" s="175">
        <f>M46-K46</f>
        <v>0</v>
      </c>
    </row>
    <row r="47" spans="1:14" ht="75" x14ac:dyDescent="0.25">
      <c r="A47" s="1344">
        <v>1</v>
      </c>
      <c r="B47" s="1344">
        <v>1</v>
      </c>
      <c r="C47" s="1344"/>
      <c r="D47" s="1344"/>
      <c r="E47" s="1344"/>
      <c r="F47" s="1344"/>
      <c r="G47" s="1344"/>
      <c r="H47" s="1345" t="str">
        <f>'BID I'!B6</f>
        <v>: Penyelenggaraan Belanja Penghasilan Tetap, Tunjangan dan Operasional Pemerintah Desa ( Maksimal 30% )</v>
      </c>
      <c r="I47" s="1344"/>
      <c r="J47" s="1344"/>
      <c r="K47" s="1344"/>
      <c r="L47" s="1345"/>
      <c r="M47" s="451">
        <v>3380478897.6599998</v>
      </c>
    </row>
    <row r="48" spans="1:14" ht="45" x14ac:dyDescent="0.25">
      <c r="A48" s="1344">
        <v>1</v>
      </c>
      <c r="B48" s="1344">
        <v>1</v>
      </c>
      <c r="C48" s="1346" t="s">
        <v>2688</v>
      </c>
      <c r="D48" s="1344"/>
      <c r="E48" s="1344"/>
      <c r="F48" s="1344"/>
      <c r="G48" s="1344"/>
      <c r="H48" s="1345" t="str">
        <f>'BID I'!B7</f>
        <v>: Penyediaan Penghasilan tetap dan Tunjangan Perbekel</v>
      </c>
      <c r="I48" s="1344"/>
      <c r="J48" s="1344"/>
      <c r="K48" s="1347">
        <f>SUM(K49:K54)</f>
        <v>159920000</v>
      </c>
      <c r="L48" s="1345"/>
      <c r="M48" s="175">
        <f>M47-K46</f>
        <v>-547</v>
      </c>
    </row>
    <row r="49" spans="1:13" x14ac:dyDescent="0.25">
      <c r="A49" s="32"/>
      <c r="B49" s="32"/>
      <c r="C49" s="32"/>
      <c r="D49" s="32">
        <v>5</v>
      </c>
      <c r="E49" s="32">
        <v>1</v>
      </c>
      <c r="F49" s="32"/>
      <c r="G49" s="32"/>
      <c r="H49" s="66" t="str">
        <f>'BID I'!B13</f>
        <v xml:space="preserve">Belanja Pegawai </v>
      </c>
      <c r="I49" s="32"/>
      <c r="J49" s="32"/>
      <c r="K49" s="32"/>
      <c r="L49" s="66"/>
      <c r="M49" s="175">
        <f>K48+K55</f>
        <v>1099545760</v>
      </c>
    </row>
    <row r="50" spans="1:13" ht="30" x14ac:dyDescent="0.25">
      <c r="A50" s="32"/>
      <c r="B50" s="32"/>
      <c r="C50" s="32"/>
      <c r="D50" s="32"/>
      <c r="E50" s="32"/>
      <c r="F50" s="32">
        <v>1</v>
      </c>
      <c r="G50" s="32"/>
      <c r="H50" s="66" t="str">
        <f>'BID I'!B14</f>
        <v>Penghasilan tetap dan Tunjangan Perbekel</v>
      </c>
      <c r="I50" s="32"/>
      <c r="J50" s="32"/>
      <c r="K50" s="32"/>
      <c r="L50" s="66"/>
    </row>
    <row r="51" spans="1:13" ht="29.25" customHeight="1" x14ac:dyDescent="0.25">
      <c r="A51" s="32"/>
      <c r="B51" s="32"/>
      <c r="C51" s="32"/>
      <c r="D51" s="32"/>
      <c r="E51" s="32"/>
      <c r="F51" s="32"/>
      <c r="G51" s="1340" t="s">
        <v>2688</v>
      </c>
      <c r="H51" s="66" t="str">
        <f>'BID I'!B15</f>
        <v>Penghasilan Tetap Perbekel</v>
      </c>
      <c r="I51" s="32"/>
      <c r="J51" s="32"/>
      <c r="K51" s="513">
        <f>'BID I'!F15</f>
        <v>47520000</v>
      </c>
      <c r="L51" s="66" t="s">
        <v>1682</v>
      </c>
    </row>
    <row r="52" spans="1:13" x14ac:dyDescent="0.25">
      <c r="A52" s="32"/>
      <c r="B52" s="32"/>
      <c r="C52" s="32"/>
      <c r="D52" s="32"/>
      <c r="E52" s="32"/>
      <c r="F52" s="32"/>
      <c r="G52" s="1340" t="s">
        <v>2702</v>
      </c>
      <c r="H52" s="66" t="str">
        <f>'BID I'!B16</f>
        <v>Penghasilan ke 13</v>
      </c>
      <c r="I52" s="32"/>
      <c r="J52" s="32"/>
      <c r="K52" s="513">
        <f>'BID I'!F16</f>
        <v>4000000</v>
      </c>
      <c r="L52" s="66" t="s">
        <v>2620</v>
      </c>
    </row>
    <row r="53" spans="1:13" x14ac:dyDescent="0.25">
      <c r="A53" s="32"/>
      <c r="B53" s="32"/>
      <c r="C53" s="32"/>
      <c r="D53" s="32"/>
      <c r="E53" s="32"/>
      <c r="F53" s="32"/>
      <c r="G53" s="1340" t="s">
        <v>2702</v>
      </c>
      <c r="H53" s="66" t="str">
        <f>'BID I'!B17</f>
        <v>Tunjangan Perbekel</v>
      </c>
      <c r="I53" s="32"/>
      <c r="J53" s="32"/>
      <c r="K53" s="513">
        <f>'BID I'!F17</f>
        <v>104400000</v>
      </c>
      <c r="L53" s="66" t="s">
        <v>2620</v>
      </c>
    </row>
    <row r="54" spans="1:13" x14ac:dyDescent="0.25">
      <c r="A54" s="32"/>
      <c r="B54" s="32"/>
      <c r="C54" s="32"/>
      <c r="D54" s="32"/>
      <c r="E54" s="32"/>
      <c r="F54" s="32"/>
      <c r="G54" s="1340" t="s">
        <v>2702</v>
      </c>
      <c r="H54" s="66" t="str">
        <f>'BID I'!B18</f>
        <v>Tunjangan Hari Raya</v>
      </c>
      <c r="I54" s="32"/>
      <c r="J54" s="32"/>
      <c r="K54" s="513">
        <f>'BID I'!F18</f>
        <v>4000000</v>
      </c>
      <c r="L54" s="66" t="s">
        <v>2620</v>
      </c>
    </row>
    <row r="55" spans="1:13" ht="45" x14ac:dyDescent="0.25">
      <c r="A55" s="1344">
        <v>1</v>
      </c>
      <c r="B55" s="1344">
        <v>1</v>
      </c>
      <c r="C55" s="1346" t="s">
        <v>2702</v>
      </c>
      <c r="D55" s="1344"/>
      <c r="E55" s="1344"/>
      <c r="F55" s="1344"/>
      <c r="G55" s="1344"/>
      <c r="H55" s="1345" t="str">
        <f>'BID I'!B35</f>
        <v>: Penyediaan Penghasilan tetap dan Tunjangan Perangkat Desa</v>
      </c>
      <c r="I55" s="1344"/>
      <c r="J55" s="1344"/>
      <c r="K55" s="1347">
        <f>SUM(K56:K59)</f>
        <v>939625760</v>
      </c>
      <c r="L55" s="1345"/>
      <c r="M55" s="286">
        <f>'BID I'!F60</f>
        <v>939625760</v>
      </c>
    </row>
    <row r="56" spans="1:13" x14ac:dyDescent="0.25">
      <c r="A56" s="32"/>
      <c r="B56" s="32"/>
      <c r="C56" s="32"/>
      <c r="D56" s="32">
        <v>5</v>
      </c>
      <c r="E56" s="32">
        <v>1</v>
      </c>
      <c r="F56" s="32"/>
      <c r="G56" s="32"/>
      <c r="H56" s="66" t="str">
        <f>'BID I'!B40</f>
        <v xml:space="preserve">Belanja Pegawai </v>
      </c>
      <c r="I56" s="32"/>
      <c r="J56" s="32"/>
      <c r="K56" s="32"/>
      <c r="L56" s="66"/>
    </row>
    <row r="57" spans="1:13" ht="45" x14ac:dyDescent="0.25">
      <c r="A57" s="32"/>
      <c r="B57" s="32"/>
      <c r="C57" s="32"/>
      <c r="D57" s="32"/>
      <c r="E57" s="32"/>
      <c r="F57" s="32">
        <v>2</v>
      </c>
      <c r="G57" s="32"/>
      <c r="H57" s="66" t="str">
        <f>'BID I'!B41</f>
        <v>Penghasilan tetap dan Tunjangan Perangkat Desa</v>
      </c>
      <c r="I57" s="32"/>
      <c r="J57" s="32"/>
      <c r="K57" s="32"/>
      <c r="L57" s="66"/>
    </row>
    <row r="58" spans="1:13" ht="30" x14ac:dyDescent="0.25">
      <c r="A58" s="32"/>
      <c r="B58" s="32"/>
      <c r="C58" s="32"/>
      <c r="D58" s="32"/>
      <c r="E58" s="32"/>
      <c r="F58" s="32"/>
      <c r="G58" s="1340" t="s">
        <v>2688</v>
      </c>
      <c r="H58" s="66" t="str">
        <f>'BID I'!B42</f>
        <v>Penghasilan tetap Perangkat Desa</v>
      </c>
      <c r="I58" s="32"/>
      <c r="J58" s="32"/>
      <c r="K58" s="513">
        <f>SUM('BID I'!F43:F45)</f>
        <v>431225760</v>
      </c>
      <c r="L58" s="66" t="s">
        <v>1682</v>
      </c>
    </row>
    <row r="59" spans="1:13" ht="30" x14ac:dyDescent="0.25">
      <c r="A59" s="32"/>
      <c r="B59" s="32"/>
      <c r="C59" s="32"/>
      <c r="D59" s="32"/>
      <c r="E59" s="32"/>
      <c r="F59" s="32"/>
      <c r="G59" s="1340" t="s">
        <v>2702</v>
      </c>
      <c r="H59" s="66" t="str">
        <f>'BID I'!B47</f>
        <v>Tunjangan Perangkat Desa</v>
      </c>
      <c r="I59" s="32"/>
      <c r="J59" s="32"/>
      <c r="K59" s="513">
        <f>'BID I'!F48+'BID I'!F49+'BID I'!F50+'BID I'!F52+'BID I'!F53+'BID I'!F54+'BID I'!F56+'BID I'!F57+'BID I'!F58</f>
        <v>508400000</v>
      </c>
      <c r="L59" s="66" t="s">
        <v>2620</v>
      </c>
    </row>
    <row r="60" spans="1:13" ht="60" x14ac:dyDescent="0.25">
      <c r="A60" s="1344">
        <v>1</v>
      </c>
      <c r="B60" s="1344">
        <v>1</v>
      </c>
      <c r="C60" s="1346" t="s">
        <v>2703</v>
      </c>
      <c r="D60" s="1344"/>
      <c r="E60" s="1344"/>
      <c r="F60" s="1344"/>
      <c r="G60" s="1344"/>
      <c r="H60" s="1345" t="str">
        <f>'BID I'!B76</f>
        <v>Penyediaan Jaminan Kesehatan dan Ketenaga Kerjaan Bagi Perbekel dan Perangkat Desa</v>
      </c>
      <c r="I60" s="1344"/>
      <c r="J60" s="1344"/>
      <c r="K60" s="1347">
        <f>SUM(K61:K66)</f>
        <v>70001760</v>
      </c>
      <c r="L60" s="1345" t="s">
        <v>2620</v>
      </c>
      <c r="M60" s="286">
        <f>'BID I'!F94</f>
        <v>70001760</v>
      </c>
    </row>
    <row r="61" spans="1:13" x14ac:dyDescent="0.25">
      <c r="A61" s="32"/>
      <c r="B61" s="32"/>
      <c r="C61" s="32"/>
      <c r="D61" s="32">
        <v>5</v>
      </c>
      <c r="E61" s="32">
        <v>1</v>
      </c>
      <c r="F61" s="32"/>
      <c r="G61" s="32"/>
      <c r="H61" s="66" t="str">
        <f>'BID I'!B81</f>
        <v>Belanja Pegawai :</v>
      </c>
      <c r="I61" s="32"/>
      <c r="J61" s="32"/>
      <c r="K61" s="32"/>
      <c r="L61" s="66"/>
    </row>
    <row r="62" spans="1:13" ht="30" x14ac:dyDescent="0.25">
      <c r="A62" s="32"/>
      <c r="B62" s="32"/>
      <c r="C62" s="32"/>
      <c r="D62" s="32"/>
      <c r="E62" s="32"/>
      <c r="F62" s="32">
        <v>3</v>
      </c>
      <c r="G62" s="32"/>
      <c r="H62" s="66" t="str">
        <f>'BID I'!B82</f>
        <v>Jaminan sosial Perbekel dan Perangkat Desa</v>
      </c>
      <c r="I62" s="32"/>
      <c r="J62" s="32"/>
      <c r="K62" s="32"/>
      <c r="L62" s="66"/>
    </row>
    <row r="63" spans="1:13" ht="30" x14ac:dyDescent="0.25">
      <c r="A63" s="32"/>
      <c r="B63" s="32"/>
      <c r="C63" s="32"/>
      <c r="D63" s="32"/>
      <c r="E63" s="32"/>
      <c r="F63" s="32"/>
      <c r="G63" s="1340" t="s">
        <v>2688</v>
      </c>
      <c r="H63" s="66" t="str">
        <f>'BID I'!B83</f>
        <v xml:space="preserve">Jaminan Kesehatan perbekel </v>
      </c>
      <c r="I63" s="32"/>
      <c r="J63" s="32"/>
      <c r="K63" s="513">
        <f>'BID I'!F83</f>
        <v>480000</v>
      </c>
      <c r="L63" s="66" t="s">
        <v>2620</v>
      </c>
    </row>
    <row r="64" spans="1:13" ht="30" x14ac:dyDescent="0.25">
      <c r="A64" s="32"/>
      <c r="B64" s="32"/>
      <c r="C64" s="32"/>
      <c r="D64" s="32"/>
      <c r="E64" s="32"/>
      <c r="F64" s="32"/>
      <c r="G64" s="1340" t="s">
        <v>2702</v>
      </c>
      <c r="H64" s="66" t="str">
        <f>'BID I'!B84</f>
        <v>Jaminan Kesehatan Perangkat Desa</v>
      </c>
      <c r="I64" s="32"/>
      <c r="J64" s="32"/>
      <c r="K64" s="513">
        <f>'BID I'!F85+'BID I'!F86+'BID I'!F87</f>
        <v>5574240</v>
      </c>
      <c r="L64" s="66" t="s">
        <v>2620</v>
      </c>
    </row>
    <row r="65" spans="1:14" ht="30" x14ac:dyDescent="0.25">
      <c r="A65" s="32"/>
      <c r="B65" s="32"/>
      <c r="C65" s="32"/>
      <c r="D65" s="32"/>
      <c r="E65" s="32"/>
      <c r="F65" s="32"/>
      <c r="G65" s="1340" t="s">
        <v>2703</v>
      </c>
      <c r="H65" s="66" t="str">
        <f>'BID I'!B88</f>
        <v>Jaminan Ketenagakerjaan Perbekel</v>
      </c>
      <c r="I65" s="32"/>
      <c r="J65" s="32"/>
      <c r="K65" s="513">
        <f>'BID I'!F88</f>
        <v>9509760</v>
      </c>
      <c r="L65" s="66" t="s">
        <v>2620</v>
      </c>
    </row>
    <row r="66" spans="1:14" ht="45" x14ac:dyDescent="0.25">
      <c r="A66" s="32"/>
      <c r="B66" s="32"/>
      <c r="C66" s="32"/>
      <c r="D66" s="32"/>
      <c r="E66" s="32"/>
      <c r="F66" s="32"/>
      <c r="G66" s="1340" t="s">
        <v>2704</v>
      </c>
      <c r="H66" s="66" t="str">
        <f>'BID I'!B89</f>
        <v>Jaminan Ketenagakerajaan Perangkat Desa</v>
      </c>
      <c r="I66" s="32"/>
      <c r="J66" s="32"/>
      <c r="K66" s="513">
        <f>SUM('BID I'!F90:F92)</f>
        <v>54437760</v>
      </c>
      <c r="L66" s="66" t="s">
        <v>2620</v>
      </c>
    </row>
    <row r="67" spans="1:14" ht="45" x14ac:dyDescent="0.25">
      <c r="A67" s="1344">
        <v>1</v>
      </c>
      <c r="B67" s="1344">
        <v>1</v>
      </c>
      <c r="C67" s="1346" t="s">
        <v>2704</v>
      </c>
      <c r="D67" s="1344"/>
      <c r="E67" s="1344"/>
      <c r="F67" s="1344"/>
      <c r="G67" s="1344"/>
      <c r="H67" s="1345" t="str">
        <f>'BID I'!B110</f>
        <v>: Penyediaan Operasional Pemerintah Desa</v>
      </c>
      <c r="I67" s="1344"/>
      <c r="J67" s="1344"/>
      <c r="K67" s="1347">
        <f>SUM(K68:K97)</f>
        <v>486652349</v>
      </c>
      <c r="L67" s="1345" t="s">
        <v>2922</v>
      </c>
      <c r="M67" s="286">
        <f>'BID I'!F277</f>
        <v>486652349</v>
      </c>
      <c r="N67" s="175">
        <f>M67-K67</f>
        <v>0</v>
      </c>
    </row>
    <row r="68" spans="1:14" x14ac:dyDescent="0.25">
      <c r="A68" s="32"/>
      <c r="B68" s="32"/>
      <c r="C68" s="32"/>
      <c r="D68" s="32">
        <v>5</v>
      </c>
      <c r="E68" s="32">
        <v>2</v>
      </c>
      <c r="F68" s="32"/>
      <c r="G68" s="32"/>
      <c r="H68" s="32" t="str">
        <f>'BID I'!B115</f>
        <v>Belanja Barang Jasa :</v>
      </c>
      <c r="I68" s="32"/>
      <c r="J68" s="32"/>
      <c r="K68" s="32"/>
      <c r="L68" s="66"/>
      <c r="M68" s="175">
        <f>K67+K98</f>
        <v>512212349</v>
      </c>
    </row>
    <row r="69" spans="1:14" ht="30" x14ac:dyDescent="0.25">
      <c r="A69" s="32"/>
      <c r="B69" s="32"/>
      <c r="C69" s="32"/>
      <c r="D69" s="32"/>
      <c r="E69" s="32"/>
      <c r="F69" s="32">
        <v>1</v>
      </c>
      <c r="G69" s="32"/>
      <c r="H69" s="66" t="str">
        <f>'BID I'!B116</f>
        <v>Belanja Barang Perlengkapan</v>
      </c>
      <c r="I69" s="32"/>
      <c r="J69" s="32"/>
      <c r="K69" s="32"/>
      <c r="L69" s="66"/>
    </row>
    <row r="70" spans="1:14" ht="45" x14ac:dyDescent="0.25">
      <c r="A70" s="32"/>
      <c r="B70" s="32"/>
      <c r="C70" s="32"/>
      <c r="D70" s="32"/>
      <c r="E70" s="32"/>
      <c r="F70" s="32"/>
      <c r="G70" s="1340" t="s">
        <v>2688</v>
      </c>
      <c r="H70" s="66" t="str">
        <f>'BID I'!B117</f>
        <v>Belanja perlengkapan alat tulis kantor dan Benda Pos</v>
      </c>
      <c r="I70" s="32"/>
      <c r="J70" s="32"/>
      <c r="K70" s="513">
        <f>SUM('BID I'!F118:F145)</f>
        <v>69390000</v>
      </c>
      <c r="L70" s="66" t="s">
        <v>1682</v>
      </c>
      <c r="M70" s="286">
        <f>SUM('BID I'!F118:F145)</f>
        <v>69390000</v>
      </c>
    </row>
    <row r="71" spans="1:14" ht="30" x14ac:dyDescent="0.25">
      <c r="A71" s="32"/>
      <c r="B71" s="32"/>
      <c r="C71" s="32"/>
      <c r="D71" s="32"/>
      <c r="E71" s="32"/>
      <c r="F71" s="32"/>
      <c r="G71" s="1340" t="s">
        <v>2702</v>
      </c>
      <c r="H71" s="66" t="str">
        <f>'BID I'!B147</f>
        <v>Belanja Perlengkapan alat alat listrik</v>
      </c>
      <c r="I71" s="32"/>
      <c r="J71" s="32"/>
      <c r="K71" s="513">
        <f>'BID I'!F148</f>
        <v>1600000</v>
      </c>
      <c r="L71" s="66" t="s">
        <v>1682</v>
      </c>
      <c r="M71" s="286">
        <f>'BID I'!F148</f>
        <v>1600000</v>
      </c>
    </row>
    <row r="72" spans="1:14" ht="60" x14ac:dyDescent="0.25">
      <c r="A72" s="32"/>
      <c r="B72" s="32"/>
      <c r="C72" s="32"/>
      <c r="D72" s="32"/>
      <c r="E72" s="32"/>
      <c r="F72" s="32"/>
      <c r="G72" s="1340" t="s">
        <v>2703</v>
      </c>
      <c r="H72" s="66" t="str">
        <f>'BID I'!B150</f>
        <v xml:space="preserve">Belanja perlengkapan alat alat rumah tangga/peralatan dan Bahan kebersihan </v>
      </c>
      <c r="I72" s="32"/>
      <c r="J72" s="32"/>
      <c r="K72" s="513">
        <f>SUM('BID I'!F151:F160)</f>
        <v>5728000</v>
      </c>
      <c r="L72" s="66" t="s">
        <v>1682</v>
      </c>
      <c r="M72" s="286">
        <f>SUM('BID I'!F151:F160)</f>
        <v>5728000</v>
      </c>
    </row>
    <row r="73" spans="1:14" ht="60" x14ac:dyDescent="0.25">
      <c r="A73" s="32"/>
      <c r="B73" s="32"/>
      <c r="C73" s="32"/>
      <c r="D73" s="32"/>
      <c r="E73" s="32"/>
      <c r="F73" s="32"/>
      <c r="G73" s="1340" t="s">
        <v>2704</v>
      </c>
      <c r="H73" s="66" t="str">
        <f>'BID I'!B161</f>
        <v>Belanja bahan bakar minyak/ gas/ isi ulang tabung pemadam kebakaran</v>
      </c>
      <c r="I73" s="32"/>
      <c r="J73" s="32"/>
      <c r="K73" s="513">
        <f>SUM('BID I'!F162:F164)</f>
        <v>18312000</v>
      </c>
      <c r="L73" s="66" t="s">
        <v>1682</v>
      </c>
      <c r="M73" s="286"/>
    </row>
    <row r="74" spans="1:14" ht="60" x14ac:dyDescent="0.25">
      <c r="A74" s="32"/>
      <c r="B74" s="32"/>
      <c r="C74" s="32"/>
      <c r="D74" s="32"/>
      <c r="E74" s="32"/>
      <c r="F74" s="32"/>
      <c r="G74" s="1340" t="s">
        <v>2706</v>
      </c>
      <c r="H74" s="66" t="str">
        <f>'BID I'!B166</f>
        <v xml:space="preserve">Belanja Perlengkapan Cetak/ pengadaan - Belanja barang cetak dan pengadaan </v>
      </c>
      <c r="I74" s="32"/>
      <c r="J74" s="32"/>
      <c r="K74" s="513">
        <f>SUM('BID I'!F167:F180)</f>
        <v>12288600</v>
      </c>
      <c r="L74" s="66" t="s">
        <v>1682</v>
      </c>
      <c r="M74" s="286">
        <f>SUM('BID I'!F167:F180)</f>
        <v>12288600</v>
      </c>
    </row>
    <row r="75" spans="1:14" ht="60" x14ac:dyDescent="0.25">
      <c r="A75" s="32"/>
      <c r="B75" s="32"/>
      <c r="C75" s="32"/>
      <c r="D75" s="32"/>
      <c r="E75" s="32"/>
      <c r="F75" s="32"/>
      <c r="G75" s="1340" t="s">
        <v>2705</v>
      </c>
      <c r="H75" s="66" t="str">
        <f>'BID I'!B182</f>
        <v>Belanja perlengkapan barang konsumsi (makan/ minum) Belanja Barang konsumsi</v>
      </c>
      <c r="I75" s="32"/>
      <c r="J75" s="32"/>
      <c r="K75" s="513">
        <f>SUM('BID I'!F183:F188)</f>
        <v>10025000</v>
      </c>
      <c r="L75" s="66" t="s">
        <v>1682</v>
      </c>
    </row>
    <row r="76" spans="1:14" x14ac:dyDescent="0.25">
      <c r="A76" s="32"/>
      <c r="B76" s="32"/>
      <c r="C76" s="32"/>
      <c r="D76" s="32"/>
      <c r="E76" s="32"/>
      <c r="F76" s="32"/>
      <c r="G76" s="1340" t="s">
        <v>2708</v>
      </c>
      <c r="H76" s="32" t="str">
        <f>'BID I'!B190</f>
        <v xml:space="preserve">Belanja bahan/ material </v>
      </c>
      <c r="I76" s="32"/>
      <c r="J76" s="32"/>
      <c r="K76" s="513">
        <f>SUM('BID I'!F191:F192)</f>
        <v>6420000</v>
      </c>
      <c r="L76" s="66" t="s">
        <v>1682</v>
      </c>
    </row>
    <row r="77" spans="1:14" ht="30" x14ac:dyDescent="0.25">
      <c r="A77" s="32"/>
      <c r="B77" s="32"/>
      <c r="C77" s="32"/>
      <c r="D77" s="32"/>
      <c r="E77" s="32"/>
      <c r="F77" s="32"/>
      <c r="G77" s="1340" t="s">
        <v>2707</v>
      </c>
      <c r="H77" s="66" t="str">
        <f>'BID I'!B194</f>
        <v>Belanja bendera/ umbul umbul/ spanduk</v>
      </c>
      <c r="I77" s="32"/>
      <c r="J77" s="32"/>
      <c r="K77" s="513">
        <f>SUM('BID I'!F195:F200)</f>
        <v>7900000</v>
      </c>
      <c r="L77" s="66" t="s">
        <v>1682</v>
      </c>
    </row>
    <row r="78" spans="1:14" ht="30" x14ac:dyDescent="0.25">
      <c r="A78" s="32"/>
      <c r="B78" s="32"/>
      <c r="C78" s="32"/>
      <c r="D78" s="32"/>
      <c r="E78" s="32"/>
      <c r="F78" s="32"/>
      <c r="G78" s="1340" t="s">
        <v>2709</v>
      </c>
      <c r="H78" s="66" t="str">
        <f>'BID I'!B202</f>
        <v>Belanja Pakaian Dinas/ seragam/ atribut</v>
      </c>
      <c r="I78" s="32"/>
      <c r="J78" s="32"/>
      <c r="K78" s="513">
        <f>SUM('BID I'!F203)</f>
        <v>21460000</v>
      </c>
      <c r="L78" s="66" t="s">
        <v>1682</v>
      </c>
    </row>
    <row r="79" spans="1:14" x14ac:dyDescent="0.25">
      <c r="A79" s="32"/>
      <c r="B79" s="32"/>
      <c r="C79" s="32"/>
      <c r="D79" s="32"/>
      <c r="E79" s="32"/>
      <c r="F79" s="32"/>
      <c r="G79" s="32">
        <v>10</v>
      </c>
      <c r="H79" s="32" t="str">
        <f>'BID I'!B205</f>
        <v>Belanja obat obatan</v>
      </c>
      <c r="I79" s="32"/>
      <c r="J79" s="32"/>
      <c r="K79" s="513">
        <f>SUM('BID I'!F206)</f>
        <v>500000</v>
      </c>
      <c r="L79" s="66" t="s">
        <v>1682</v>
      </c>
    </row>
    <row r="80" spans="1:14" x14ac:dyDescent="0.25">
      <c r="A80" s="32"/>
      <c r="B80" s="32"/>
      <c r="C80" s="32"/>
      <c r="D80" s="32">
        <v>5</v>
      </c>
      <c r="E80" s="32">
        <v>2</v>
      </c>
      <c r="F80" s="32">
        <v>2</v>
      </c>
      <c r="G80" s="32"/>
      <c r="H80" s="32" t="str">
        <f>'BID I'!B208</f>
        <v>Belanja jasa honorarium</v>
      </c>
      <c r="I80" s="32"/>
      <c r="J80" s="32"/>
      <c r="K80" s="32"/>
      <c r="L80" s="66"/>
    </row>
    <row r="81" spans="1:12" ht="45" x14ac:dyDescent="0.25">
      <c r="A81" s="32"/>
      <c r="B81" s="32"/>
      <c r="C81" s="32"/>
      <c r="D81" s="32"/>
      <c r="E81" s="32"/>
      <c r="F81" s="32"/>
      <c r="G81" s="1340" t="s">
        <v>2688</v>
      </c>
      <c r="H81" s="66" t="str">
        <f>'BID I'!B209</f>
        <v>Belanja jasa honorarium Tim yang melaksanakan kegiatan</v>
      </c>
      <c r="I81" s="32"/>
      <c r="J81" s="32"/>
      <c r="K81" s="513">
        <f>SUM('BID I'!F210:F216)</f>
        <v>65950000</v>
      </c>
      <c r="L81" s="66" t="s">
        <v>1682</v>
      </c>
    </row>
    <row r="82" spans="1:12" x14ac:dyDescent="0.25">
      <c r="A82" s="32"/>
      <c r="B82" s="32"/>
      <c r="C82" s="32"/>
      <c r="D82" s="32">
        <v>5</v>
      </c>
      <c r="E82" s="32">
        <v>2</v>
      </c>
      <c r="F82" s="32">
        <v>3</v>
      </c>
      <c r="G82" s="1340"/>
      <c r="H82" s="66" t="str">
        <f>'BID I'!B218</f>
        <v>Belanja Perjalanan Dinas</v>
      </c>
      <c r="I82" s="32"/>
      <c r="J82" s="32"/>
      <c r="K82" s="513"/>
      <c r="L82" s="66"/>
    </row>
    <row r="83" spans="1:12" ht="30" x14ac:dyDescent="0.25">
      <c r="A83" s="32"/>
      <c r="B83" s="32"/>
      <c r="C83" s="32"/>
      <c r="D83" s="32"/>
      <c r="E83" s="32"/>
      <c r="F83" s="32"/>
      <c r="G83" s="1340" t="s">
        <v>2702</v>
      </c>
      <c r="H83" s="66" t="str">
        <f>'BID I'!B219</f>
        <v>Perjalanan Dinas Luar Kabupaten/ Kota</v>
      </c>
      <c r="I83" s="32"/>
      <c r="J83" s="32"/>
      <c r="K83" s="513">
        <f>'BID I'!F219</f>
        <v>50000000</v>
      </c>
      <c r="L83" s="66" t="s">
        <v>1682</v>
      </c>
    </row>
    <row r="84" spans="1:12" ht="30" x14ac:dyDescent="0.25">
      <c r="A84" s="32"/>
      <c r="B84" s="32"/>
      <c r="C84" s="32"/>
      <c r="D84" s="32">
        <v>5</v>
      </c>
      <c r="E84" s="32">
        <v>2</v>
      </c>
      <c r="F84" s="32">
        <v>5</v>
      </c>
      <c r="G84" s="32"/>
      <c r="H84" s="66" t="str">
        <f>'BID I'!B221</f>
        <v>Belanja Operasional Perkantoran</v>
      </c>
      <c r="I84" s="32"/>
      <c r="J84" s="32"/>
      <c r="K84" s="32"/>
      <c r="L84" s="66"/>
    </row>
    <row r="85" spans="1:12" ht="30" x14ac:dyDescent="0.25">
      <c r="A85" s="32"/>
      <c r="B85" s="32"/>
      <c r="C85" s="32"/>
      <c r="D85" s="32"/>
      <c r="E85" s="32"/>
      <c r="F85" s="32"/>
      <c r="G85" s="1340" t="s">
        <v>2688</v>
      </c>
      <c r="H85" s="66" t="str">
        <f>'BID I'!B222</f>
        <v>Belanja jasa layanan listrik</v>
      </c>
      <c r="I85" s="32"/>
      <c r="J85" s="32"/>
      <c r="K85" s="513">
        <f>SUM('BID I'!F222:F223)</f>
        <v>42140000</v>
      </c>
      <c r="L85" s="66" t="s">
        <v>1682</v>
      </c>
    </row>
    <row r="86" spans="1:12" ht="30" x14ac:dyDescent="0.25">
      <c r="A86" s="32"/>
      <c r="B86" s="32"/>
      <c r="C86" s="32"/>
      <c r="D86" s="32"/>
      <c r="E86" s="32"/>
      <c r="F86" s="32"/>
      <c r="G86" s="1340" t="s">
        <v>2703</v>
      </c>
      <c r="H86" s="66" t="str">
        <f>'BID I'!B224</f>
        <v>Belanja jasa langganan majalah/ surat kabar</v>
      </c>
      <c r="I86" s="32"/>
      <c r="J86" s="32"/>
      <c r="K86" s="513">
        <f>'BID I'!F224</f>
        <v>1440000</v>
      </c>
      <c r="L86" s="66" t="s">
        <v>1682</v>
      </c>
    </row>
    <row r="87" spans="1:12" ht="30" x14ac:dyDescent="0.25">
      <c r="A87" s="32"/>
      <c r="B87" s="32"/>
      <c r="C87" s="32"/>
      <c r="D87" s="32"/>
      <c r="E87" s="32"/>
      <c r="F87" s="32"/>
      <c r="G87" s="1340" t="s">
        <v>2704</v>
      </c>
      <c r="H87" s="66" t="str">
        <f>'BID I'!B225</f>
        <v>Belanja jasa langganan telepon</v>
      </c>
      <c r="I87" s="32"/>
      <c r="J87" s="32"/>
      <c r="K87" s="513">
        <f>'BID I'!F225</f>
        <v>4800000</v>
      </c>
      <c r="L87" s="66" t="s">
        <v>1682</v>
      </c>
    </row>
    <row r="88" spans="1:12" ht="30" x14ac:dyDescent="0.25">
      <c r="A88" s="32"/>
      <c r="B88" s="32"/>
      <c r="C88" s="32"/>
      <c r="D88" s="32"/>
      <c r="E88" s="32"/>
      <c r="F88" s="32"/>
      <c r="G88" s="1340" t="s">
        <v>2706</v>
      </c>
      <c r="H88" s="66" t="str">
        <f>'BID I'!B226</f>
        <v>Belanja jasa langganan internet</v>
      </c>
      <c r="I88" s="32"/>
      <c r="J88" s="32"/>
      <c r="K88" s="513">
        <f>'BID I'!F226</f>
        <v>15600000</v>
      </c>
      <c r="L88" s="66" t="s">
        <v>1682</v>
      </c>
    </row>
    <row r="89" spans="1:12" ht="30" x14ac:dyDescent="0.25">
      <c r="A89" s="32"/>
      <c r="B89" s="32"/>
      <c r="C89" s="32"/>
      <c r="D89" s="32"/>
      <c r="E89" s="32"/>
      <c r="F89" s="32"/>
      <c r="G89" s="1340" t="s">
        <v>2708</v>
      </c>
      <c r="H89" s="66" t="str">
        <f>'BID I'!B227</f>
        <v>Belanja Jasa Perpanjangan ijin/ pajak</v>
      </c>
      <c r="I89" s="32"/>
      <c r="J89" s="32"/>
      <c r="K89" s="513">
        <f>'BID I'!F228+'BID I'!F229+'BID I'!F230+'BID I'!F231+'BID I'!F232+'BID I'!F233+'BID I'!F235</f>
        <v>57450000</v>
      </c>
      <c r="L89" s="66" t="s">
        <v>1682</v>
      </c>
    </row>
    <row r="90" spans="1:12" ht="30" x14ac:dyDescent="0.25">
      <c r="A90" s="32"/>
      <c r="B90" s="32"/>
      <c r="C90" s="32"/>
      <c r="D90" s="32"/>
      <c r="E90" s="32"/>
      <c r="F90" s="32"/>
      <c r="G90" s="1340" t="s">
        <v>2708</v>
      </c>
      <c r="H90" s="66" t="str">
        <f>'BID I'!B227</f>
        <v>Belanja Jasa Perpanjangan ijin/ pajak</v>
      </c>
      <c r="I90" s="32"/>
      <c r="J90" s="32"/>
      <c r="K90" s="513">
        <f>'BID I'!F234</f>
        <v>300000</v>
      </c>
      <c r="L90" s="66" t="s">
        <v>2914</v>
      </c>
    </row>
    <row r="91" spans="1:12" ht="30" x14ac:dyDescent="0.25">
      <c r="A91" s="32"/>
      <c r="B91" s="32"/>
      <c r="C91" s="32"/>
      <c r="D91" s="32"/>
      <c r="E91" s="32"/>
      <c r="F91" s="32"/>
      <c r="G91" s="1340" t="s">
        <v>2708</v>
      </c>
      <c r="H91" s="66" t="str">
        <f>'BID I'!B227</f>
        <v>Belanja Jasa Perpanjangan ijin/ pajak</v>
      </c>
      <c r="I91" s="32"/>
      <c r="J91" s="32"/>
      <c r="K91" s="513">
        <f>'BID I'!F236</f>
        <v>0</v>
      </c>
      <c r="L91" s="66" t="s">
        <v>2623</v>
      </c>
    </row>
    <row r="92" spans="1:12" ht="30" x14ac:dyDescent="0.25">
      <c r="A92" s="32"/>
      <c r="B92" s="32"/>
      <c r="C92" s="32"/>
      <c r="D92" s="32">
        <v>5</v>
      </c>
      <c r="E92" s="32">
        <v>2</v>
      </c>
      <c r="F92" s="32">
        <v>5</v>
      </c>
      <c r="G92" s="1340">
        <v>99</v>
      </c>
      <c r="H92" s="66" t="str">
        <f>'BID I'!B237</f>
        <v>Belanja Operasional Perkantoran lainnya</v>
      </c>
      <c r="I92" s="32"/>
      <c r="J92" s="32"/>
      <c r="K92" s="513">
        <f>'BID I'!F238</f>
        <v>108000</v>
      </c>
      <c r="L92" s="66" t="s">
        <v>2623</v>
      </c>
    </row>
    <row r="93" spans="1:12" x14ac:dyDescent="0.25">
      <c r="A93" s="32"/>
      <c r="B93" s="32"/>
      <c r="C93" s="32"/>
      <c r="D93" s="32">
        <v>5</v>
      </c>
      <c r="E93" s="32">
        <v>2</v>
      </c>
      <c r="F93" s="32">
        <v>6</v>
      </c>
      <c r="G93" s="32"/>
      <c r="H93" s="32" t="str">
        <f>'BID I'!B239</f>
        <v>Belanja Pemeliharaan</v>
      </c>
      <c r="I93" s="32"/>
      <c r="J93" s="32"/>
      <c r="K93" s="32"/>
      <c r="L93" s="66"/>
    </row>
    <row r="94" spans="1:12" ht="30" x14ac:dyDescent="0.25">
      <c r="A94" s="32"/>
      <c r="B94" s="32"/>
      <c r="C94" s="32"/>
      <c r="D94" s="32"/>
      <c r="E94" s="32"/>
      <c r="F94" s="32"/>
      <c r="G94" s="1340" t="s">
        <v>2702</v>
      </c>
      <c r="H94" s="66" t="str">
        <f>'BID I'!B240</f>
        <v>Belanja Pemeliharaan Kendaraan Bermotor</v>
      </c>
      <c r="I94" s="32"/>
      <c r="J94" s="32"/>
      <c r="K94" s="513">
        <f>SUM('BID I'!F242:F247)</f>
        <v>22050000</v>
      </c>
      <c r="L94" s="66" t="s">
        <v>1682</v>
      </c>
    </row>
    <row r="95" spans="1:12" ht="30" x14ac:dyDescent="0.25">
      <c r="A95" s="32"/>
      <c r="B95" s="32"/>
      <c r="C95" s="32"/>
      <c r="D95" s="32"/>
      <c r="E95" s="32"/>
      <c r="F95" s="32"/>
      <c r="G95" s="1340" t="s">
        <v>2703</v>
      </c>
      <c r="H95" s="66" t="str">
        <f>'BID I'!B249</f>
        <v xml:space="preserve">Belanja pemeliharaan peralatan </v>
      </c>
      <c r="I95" s="32"/>
      <c r="J95" s="32"/>
      <c r="K95" s="513">
        <f>'BID I'!F250+'BID I'!F251+'BID I'!F252+'BID I'!F253+'BID I'!F254+'BID I'!F255+'BID I'!F256+'BID I'!F257+'BID I'!F258+'BID I'!F259+'BID I'!F260+'BID I'!F261+'BID I'!F262+'BID I'!F263+'BID I'!F264+'BID I'!F266</f>
        <v>47182931</v>
      </c>
      <c r="L95" s="66" t="s">
        <v>1682</v>
      </c>
    </row>
    <row r="96" spans="1:12" ht="30" x14ac:dyDescent="0.25">
      <c r="A96" s="32"/>
      <c r="B96" s="32"/>
      <c r="C96" s="32"/>
      <c r="D96" s="32"/>
      <c r="E96" s="32"/>
      <c r="F96" s="32"/>
      <c r="G96" s="1340" t="s">
        <v>2703</v>
      </c>
      <c r="H96" s="66" t="str">
        <f>'BID I'!B249</f>
        <v xml:space="preserve">Belanja pemeliharaan peralatan </v>
      </c>
      <c r="I96" s="32"/>
      <c r="J96" s="32"/>
      <c r="K96" s="513">
        <f>'BID I'!F265</f>
        <v>14976369</v>
      </c>
      <c r="L96" s="66" t="s">
        <v>2639</v>
      </c>
    </row>
    <row r="97" spans="1:13" ht="60" x14ac:dyDescent="0.25">
      <c r="A97" s="32"/>
      <c r="B97" s="32"/>
      <c r="C97" s="32"/>
      <c r="D97" s="32"/>
      <c r="E97" s="32"/>
      <c r="F97" s="32"/>
      <c r="G97" s="1340" t="s">
        <v>2707</v>
      </c>
      <c r="H97" s="66" t="str">
        <f>'BID I'!B268</f>
        <v>Belanja pemeliharaan jaringan dan instalasi ( Lisrik, Telepon, Internet, Kominikasi, Dll)</v>
      </c>
      <c r="I97" s="32"/>
      <c r="J97" s="32"/>
      <c r="K97" s="513">
        <f>SUM('BID I'!F269:F274)</f>
        <v>11031449</v>
      </c>
      <c r="L97" s="66" t="s">
        <v>1682</v>
      </c>
    </row>
    <row r="98" spans="1:13" ht="45" x14ac:dyDescent="0.25">
      <c r="A98" s="1344">
        <v>1</v>
      </c>
      <c r="B98" s="1344">
        <v>1</v>
      </c>
      <c r="C98" s="1346" t="s">
        <v>2704</v>
      </c>
      <c r="D98" s="1344"/>
      <c r="E98" s="1344"/>
      <c r="F98" s="1344"/>
      <c r="G98" s="1344"/>
      <c r="H98" s="1345" t="str">
        <f>'BID I'!B293</f>
        <v>: Penyediaan Oprasional Pemerinthanan Desa ( Kegiatan Rapat - Rapat)</v>
      </c>
      <c r="I98" s="1344"/>
      <c r="J98" s="1344"/>
      <c r="K98" s="1347">
        <f>SUM(K99:K102)</f>
        <v>25560000</v>
      </c>
      <c r="L98" s="1345" t="s">
        <v>2620</v>
      </c>
      <c r="M98" s="286">
        <f>'BID I'!F308</f>
        <v>25560000</v>
      </c>
    </row>
    <row r="99" spans="1:13" x14ac:dyDescent="0.25">
      <c r="A99" s="32"/>
      <c r="B99" s="32"/>
      <c r="C99" s="32"/>
      <c r="D99" s="32">
        <v>5</v>
      </c>
      <c r="E99" s="32">
        <v>2</v>
      </c>
      <c r="F99" s="32"/>
      <c r="G99" s="32"/>
      <c r="H99" s="66" t="str">
        <f>'BID I'!B298</f>
        <v>Belanja Barang Jasa :</v>
      </c>
      <c r="I99" s="32"/>
      <c r="J99" s="32"/>
      <c r="K99" s="32"/>
      <c r="L99" s="66"/>
    </row>
    <row r="100" spans="1:13" ht="30" x14ac:dyDescent="0.25">
      <c r="A100" s="32"/>
      <c r="B100" s="32"/>
      <c r="C100" s="32"/>
      <c r="D100" s="32"/>
      <c r="E100" s="32"/>
      <c r="F100" s="32">
        <v>1</v>
      </c>
      <c r="G100" s="32"/>
      <c r="H100" s="66" t="str">
        <f>'BID I'!B299</f>
        <v>Belanja Barang Perlengkapan</v>
      </c>
      <c r="I100" s="32"/>
      <c r="J100" s="32"/>
      <c r="K100" s="32"/>
      <c r="L100" s="66"/>
    </row>
    <row r="101" spans="1:13" ht="60" x14ac:dyDescent="0.25">
      <c r="A101" s="32"/>
      <c r="B101" s="32"/>
      <c r="C101" s="32"/>
      <c r="D101" s="32"/>
      <c r="E101" s="32"/>
      <c r="F101" s="32"/>
      <c r="G101" s="1340" t="s">
        <v>2705</v>
      </c>
      <c r="H101" s="66" t="str">
        <f>'BID I'!B300</f>
        <v>Belanja Perlengkapan barang konsumsi (makan/minum) - Belanja barang konsumsi</v>
      </c>
      <c r="I101" s="32"/>
      <c r="J101" s="32"/>
      <c r="K101" s="513">
        <f>SUM('BID I'!F301)</f>
        <v>23220000</v>
      </c>
      <c r="L101" s="66" t="s">
        <v>2620</v>
      </c>
    </row>
    <row r="102" spans="1:13" ht="30" x14ac:dyDescent="0.25">
      <c r="A102" s="32"/>
      <c r="B102" s="32"/>
      <c r="C102" s="32"/>
      <c r="D102" s="32"/>
      <c r="E102" s="32"/>
      <c r="F102" s="32"/>
      <c r="G102" s="32">
        <v>90</v>
      </c>
      <c r="H102" s="66" t="str">
        <f>'BID I'!B303</f>
        <v>Belanja Upakara, Upacara Dan Aci-aci</v>
      </c>
      <c r="I102" s="32"/>
      <c r="J102" s="32"/>
      <c r="K102" s="174">
        <f>SUM('BID I'!F304:F306)</f>
        <v>2340000</v>
      </c>
      <c r="L102" s="66" t="s">
        <v>2620</v>
      </c>
    </row>
    <row r="103" spans="1:13" ht="30" x14ac:dyDescent="0.25">
      <c r="A103" s="1344">
        <v>1</v>
      </c>
      <c r="B103" s="1344">
        <v>1</v>
      </c>
      <c r="C103" s="1346" t="s">
        <v>2706</v>
      </c>
      <c r="D103" s="1344"/>
      <c r="E103" s="1344"/>
      <c r="F103" s="1344"/>
      <c r="G103" s="1344"/>
      <c r="H103" s="1345" t="str">
        <f>'BID I'!B323</f>
        <v>: Penyediaan tunjangan BPD</v>
      </c>
      <c r="I103" s="1344"/>
      <c r="J103" s="1344"/>
      <c r="K103" s="1347">
        <f>SUM(K104:K106)</f>
        <v>410200000</v>
      </c>
      <c r="L103" s="1345" t="s">
        <v>2620</v>
      </c>
      <c r="M103" s="286">
        <f>'BID I'!F349</f>
        <v>410200000</v>
      </c>
    </row>
    <row r="104" spans="1:13" x14ac:dyDescent="0.25">
      <c r="A104" s="32"/>
      <c r="B104" s="32"/>
      <c r="C104" s="32"/>
      <c r="D104" s="32">
        <v>5</v>
      </c>
      <c r="E104" s="32">
        <v>1</v>
      </c>
      <c r="F104" s="32"/>
      <c r="G104" s="32"/>
      <c r="H104" s="32" t="str">
        <f>'BID I'!B329</f>
        <v>Belanja Pegawai</v>
      </c>
      <c r="I104" s="32"/>
      <c r="J104" s="32"/>
      <c r="K104" s="32"/>
      <c r="L104" s="66"/>
    </row>
    <row r="105" spans="1:13" x14ac:dyDescent="0.25">
      <c r="A105" s="32"/>
      <c r="B105" s="32"/>
      <c r="C105" s="32"/>
      <c r="D105" s="32"/>
      <c r="E105" s="32"/>
      <c r="F105" s="32">
        <v>4</v>
      </c>
      <c r="G105" s="32"/>
      <c r="H105" s="32" t="str">
        <f>'BID I'!B330</f>
        <v>Tunjangan BPD</v>
      </c>
      <c r="I105" s="32"/>
      <c r="J105" s="32"/>
      <c r="K105" s="32"/>
      <c r="L105" s="66"/>
    </row>
    <row r="106" spans="1:13" x14ac:dyDescent="0.25">
      <c r="A106" s="32"/>
      <c r="B106" s="32"/>
      <c r="C106" s="32"/>
      <c r="D106" s="32"/>
      <c r="E106" s="32"/>
      <c r="F106" s="32"/>
      <c r="G106" s="1340" t="s">
        <v>2688</v>
      </c>
      <c r="H106" s="32" t="str">
        <f>'BID I'!B331</f>
        <v>Tunjangan Kedudukan BPD</v>
      </c>
      <c r="I106" s="32"/>
      <c r="J106" s="32"/>
      <c r="K106" s="513">
        <f>'BID I'!F332+'BID I'!F333+'BID I'!F334+'BID I'!F336+'BID I'!F337+'BID I'!F338+'BID I'!F340+'BID I'!F341+'BID I'!F342+'BID I'!F345+'BID I'!F346+'BID I'!F347</f>
        <v>410200000</v>
      </c>
      <c r="L106" s="66" t="s">
        <v>2620</v>
      </c>
    </row>
    <row r="107" spans="1:13" ht="30" x14ac:dyDescent="0.25">
      <c r="A107" s="1344">
        <v>1</v>
      </c>
      <c r="B107" s="1344">
        <v>1</v>
      </c>
      <c r="C107" s="1346" t="s">
        <v>2705</v>
      </c>
      <c r="D107" s="1344"/>
      <c r="E107" s="1344"/>
      <c r="F107" s="1344"/>
      <c r="G107" s="1344"/>
      <c r="H107" s="1345" t="str">
        <f>'BID I'!B365</f>
        <v>: Penyediaan Operasional BPD</v>
      </c>
      <c r="I107" s="1344"/>
      <c r="J107" s="1344"/>
      <c r="K107" s="1347">
        <f>SUM(K108:K113)</f>
        <v>15999000</v>
      </c>
      <c r="L107" s="1345" t="s">
        <v>1682</v>
      </c>
      <c r="M107" s="175">
        <f>K107+K114+K120</f>
        <v>35084000</v>
      </c>
    </row>
    <row r="108" spans="1:13" x14ac:dyDescent="0.25">
      <c r="A108" s="32"/>
      <c r="B108" s="32"/>
      <c r="C108" s="32"/>
      <c r="D108" s="32">
        <v>5</v>
      </c>
      <c r="E108" s="32">
        <v>2</v>
      </c>
      <c r="F108" s="32"/>
      <c r="G108" s="32"/>
      <c r="H108" s="66" t="str">
        <f>'BID I'!B371</f>
        <v>Belanja Barang Jasa :</v>
      </c>
      <c r="I108" s="32"/>
      <c r="J108" s="32"/>
      <c r="K108" s="32"/>
      <c r="L108" s="66"/>
    </row>
    <row r="109" spans="1:13" ht="30" x14ac:dyDescent="0.25">
      <c r="A109" s="32"/>
      <c r="B109" s="32"/>
      <c r="C109" s="32"/>
      <c r="D109" s="32"/>
      <c r="E109" s="32"/>
      <c r="F109" s="32">
        <v>1</v>
      </c>
      <c r="G109" s="32"/>
      <c r="H109" s="66" t="str">
        <f>'BID I'!B372</f>
        <v>Belanja Barang Perlengkapan</v>
      </c>
      <c r="I109" s="32"/>
      <c r="J109" s="32"/>
      <c r="K109" s="32"/>
      <c r="L109" s="66"/>
    </row>
    <row r="110" spans="1:13" ht="30" x14ac:dyDescent="0.25">
      <c r="A110" s="32"/>
      <c r="B110" s="32"/>
      <c r="C110" s="32"/>
      <c r="D110" s="32"/>
      <c r="E110" s="32"/>
      <c r="F110" s="32"/>
      <c r="G110" s="1340" t="s">
        <v>2688</v>
      </c>
      <c r="H110" s="66" t="str">
        <f>'BID I'!B373</f>
        <v>Belanja alat tulis kantor dan benda pos</v>
      </c>
      <c r="I110" s="32"/>
      <c r="J110" s="32"/>
      <c r="K110" s="174">
        <f>SUM('BID I'!F374:F378)</f>
        <v>4329000</v>
      </c>
      <c r="L110" s="66" t="s">
        <v>1682</v>
      </c>
    </row>
    <row r="111" spans="1:13" ht="60" x14ac:dyDescent="0.25">
      <c r="A111" s="32"/>
      <c r="B111" s="32"/>
      <c r="C111" s="32"/>
      <c r="D111" s="32"/>
      <c r="E111" s="32"/>
      <c r="F111" s="32"/>
      <c r="G111" s="1340" t="s">
        <v>2705</v>
      </c>
      <c r="H111" s="66" t="str">
        <f>'BID I'!B380</f>
        <v>Belanja perlengkapan barang konsumsi (makan/ minum) Belanja Barang konsumsi</v>
      </c>
      <c r="I111" s="32"/>
      <c r="J111" s="32"/>
      <c r="K111" s="174">
        <f>SUM('BID I'!F381:F382)</f>
        <v>4140000</v>
      </c>
      <c r="L111" s="66" t="s">
        <v>1682</v>
      </c>
    </row>
    <row r="112" spans="1:13" ht="30" x14ac:dyDescent="0.25">
      <c r="A112" s="32"/>
      <c r="B112" s="32"/>
      <c r="C112" s="32"/>
      <c r="D112" s="32"/>
      <c r="E112" s="32"/>
      <c r="F112" s="32"/>
      <c r="G112" s="1340" t="s">
        <v>2709</v>
      </c>
      <c r="H112" s="66" t="str">
        <f>'BID I'!B384</f>
        <v>Belanja Pakaian Dinas/ seragam/ atribut</v>
      </c>
      <c r="I112" s="32"/>
      <c r="J112" s="32"/>
      <c r="K112" s="174">
        <f>'BID I'!F385</f>
        <v>6750000</v>
      </c>
      <c r="L112" s="66" t="s">
        <v>1682</v>
      </c>
    </row>
    <row r="113" spans="1:13" ht="30" x14ac:dyDescent="0.25">
      <c r="A113" s="32"/>
      <c r="B113" s="32"/>
      <c r="C113" s="32"/>
      <c r="D113" s="32"/>
      <c r="E113" s="32"/>
      <c r="F113" s="32"/>
      <c r="G113" s="32">
        <v>90</v>
      </c>
      <c r="H113" s="66" t="str">
        <f>'BID I'!B387</f>
        <v>Belanja Upakara, Upacara Dan Aci</v>
      </c>
      <c r="I113" s="32"/>
      <c r="J113" s="32"/>
      <c r="K113" s="174">
        <f>SUM('BID I'!F388:F389)</f>
        <v>780000</v>
      </c>
      <c r="L113" s="66" t="s">
        <v>1682</v>
      </c>
    </row>
    <row r="114" spans="1:13" ht="30" x14ac:dyDescent="0.25">
      <c r="A114" s="1344">
        <v>1</v>
      </c>
      <c r="B114" s="1344">
        <v>1</v>
      </c>
      <c r="C114" s="1346" t="s">
        <v>2705</v>
      </c>
      <c r="D114" s="1344"/>
      <c r="E114" s="1344"/>
      <c r="F114" s="1344"/>
      <c r="G114" s="1344"/>
      <c r="H114" s="1345" t="str">
        <f>'BID I'!B406</f>
        <v>: Penyediaan Operasional BPD (Musyawarah BPD)</v>
      </c>
      <c r="I114" s="1344"/>
      <c r="J114" s="1344"/>
      <c r="K114" s="1347">
        <f>SUM(K115:K119)</f>
        <v>12400000</v>
      </c>
      <c r="L114" s="1345" t="s">
        <v>2620</v>
      </c>
      <c r="M114" s="286">
        <f>'BID I'!F429</f>
        <v>12400000</v>
      </c>
    </row>
    <row r="115" spans="1:13" x14ac:dyDescent="0.25">
      <c r="A115" s="32"/>
      <c r="B115" s="32"/>
      <c r="C115" s="32"/>
      <c r="D115" s="32">
        <v>5</v>
      </c>
      <c r="E115" s="32">
        <v>2</v>
      </c>
      <c r="F115" s="32"/>
      <c r="G115" s="32"/>
      <c r="H115" s="66" t="str">
        <f>'BID I'!B412</f>
        <v>Belanja Barang Jasa</v>
      </c>
      <c r="I115" s="32"/>
      <c r="J115" s="32"/>
      <c r="K115" s="32"/>
      <c r="L115" s="66"/>
    </row>
    <row r="116" spans="1:13" ht="30" x14ac:dyDescent="0.25">
      <c r="A116" s="32"/>
      <c r="B116" s="32"/>
      <c r="C116" s="32"/>
      <c r="D116" s="32"/>
      <c r="E116" s="32"/>
      <c r="F116" s="32">
        <v>1</v>
      </c>
      <c r="G116" s="32"/>
      <c r="H116" s="66" t="str">
        <f>'BID I'!B413</f>
        <v>Belanja Barang Perlengkapan</v>
      </c>
      <c r="I116" s="32"/>
      <c r="J116" s="32"/>
      <c r="K116" s="32"/>
      <c r="L116" s="66"/>
    </row>
    <row r="117" spans="1:13" ht="45" x14ac:dyDescent="0.25">
      <c r="A117" s="32"/>
      <c r="B117" s="32"/>
      <c r="C117" s="32"/>
      <c r="D117" s="32"/>
      <c r="E117" s="32"/>
      <c r="F117" s="32"/>
      <c r="G117" s="1340" t="s">
        <v>2688</v>
      </c>
      <c r="H117" s="66" t="str">
        <f>'BID I'!B414</f>
        <v>Belanja Perlengkapan Alat Tulis Kantor dan Benda Pos</v>
      </c>
      <c r="I117" s="32"/>
      <c r="J117" s="32"/>
      <c r="K117" s="174">
        <f>SUM('BID I'!F416:F417)</f>
        <v>5720000</v>
      </c>
      <c r="L117" s="66" t="s">
        <v>2620</v>
      </c>
    </row>
    <row r="118" spans="1:13" ht="60" x14ac:dyDescent="0.25">
      <c r="A118" s="32"/>
      <c r="B118" s="32"/>
      <c r="C118" s="32"/>
      <c r="D118" s="32"/>
      <c r="E118" s="32"/>
      <c r="F118" s="32"/>
      <c r="G118" s="1340" t="s">
        <v>2705</v>
      </c>
      <c r="H118" s="66" t="str">
        <f>'BID I'!B419</f>
        <v>Belanja perlengkapan barang konsumsi (makan/minum)- Belanja Barang Konsumsi</v>
      </c>
      <c r="I118" s="32"/>
      <c r="J118" s="32"/>
      <c r="K118" s="174">
        <f>'BID I'!F420</f>
        <v>6000000</v>
      </c>
      <c r="L118" s="66" t="s">
        <v>2620</v>
      </c>
    </row>
    <row r="119" spans="1:13" ht="30" x14ac:dyDescent="0.25">
      <c r="A119" s="32"/>
      <c r="B119" s="32"/>
      <c r="C119" s="32"/>
      <c r="D119" s="32"/>
      <c r="E119" s="32"/>
      <c r="F119" s="32"/>
      <c r="G119" s="32">
        <v>90</v>
      </c>
      <c r="H119" s="66" t="str">
        <f>'BID I'!B422</f>
        <v>Belanja Upakara, Upacara Dan Aci- Aci</v>
      </c>
      <c r="I119" s="32"/>
      <c r="J119" s="32"/>
      <c r="K119" s="174">
        <f>SUM('BID I'!F423:F426)</f>
        <v>680000</v>
      </c>
      <c r="L119" s="66" t="s">
        <v>2620</v>
      </c>
    </row>
    <row r="120" spans="1:13" ht="30" x14ac:dyDescent="0.25">
      <c r="A120" s="1344">
        <v>1</v>
      </c>
      <c r="B120" s="1344">
        <v>1</v>
      </c>
      <c r="C120" s="1346" t="s">
        <v>2705</v>
      </c>
      <c r="D120" s="1344"/>
      <c r="E120" s="1344"/>
      <c r="F120" s="1344"/>
      <c r="G120" s="1344"/>
      <c r="H120" s="1345" t="str">
        <f>'BID I'!B444</f>
        <v>: Penyediaan Operasional BPD (Rapat FKAKD)</v>
      </c>
      <c r="I120" s="1344"/>
      <c r="J120" s="1344"/>
      <c r="K120" s="1347">
        <f>SUM(K121:K125)</f>
        <v>6685000</v>
      </c>
      <c r="L120" s="1345" t="s">
        <v>1682</v>
      </c>
      <c r="M120" s="286">
        <f>'BID I'!F465</f>
        <v>6685000</v>
      </c>
    </row>
    <row r="121" spans="1:13" x14ac:dyDescent="0.25">
      <c r="A121" s="32"/>
      <c r="B121" s="32"/>
      <c r="C121" s="32"/>
      <c r="D121" s="32">
        <v>5</v>
      </c>
      <c r="E121" s="32">
        <v>2</v>
      </c>
      <c r="F121" s="32"/>
      <c r="G121" s="32"/>
      <c r="H121" s="66" t="str">
        <f>'BID I'!B450</f>
        <v>Belanja Barang Jasa</v>
      </c>
      <c r="I121" s="32"/>
      <c r="J121" s="32"/>
      <c r="K121" s="32"/>
      <c r="L121" s="66"/>
    </row>
    <row r="122" spans="1:13" ht="30" x14ac:dyDescent="0.25">
      <c r="A122" s="32"/>
      <c r="B122" s="32"/>
      <c r="C122" s="32"/>
      <c r="D122" s="32"/>
      <c r="E122" s="32"/>
      <c r="F122" s="32">
        <v>1</v>
      </c>
      <c r="G122" s="32"/>
      <c r="H122" s="66" t="str">
        <f>'BID I'!B451</f>
        <v>Belanja Barang Perlengkapan</v>
      </c>
      <c r="I122" s="32"/>
      <c r="J122" s="32"/>
      <c r="K122" s="32"/>
      <c r="L122" s="66"/>
    </row>
    <row r="123" spans="1:13" ht="60" x14ac:dyDescent="0.25">
      <c r="A123" s="32"/>
      <c r="B123" s="32"/>
      <c r="C123" s="32"/>
      <c r="D123" s="32"/>
      <c r="E123" s="32"/>
      <c r="F123" s="32"/>
      <c r="G123" s="1340" t="s">
        <v>2706</v>
      </c>
      <c r="H123" s="66" t="str">
        <f>'BID I'!B452</f>
        <v>Belanja perlengkapan cetak/pengadaan - belanja barang cetak dan pengadaan</v>
      </c>
      <c r="I123" s="32"/>
      <c r="J123" s="32"/>
      <c r="K123" s="174">
        <f>'BID I'!F453</f>
        <v>360000</v>
      </c>
      <c r="L123" s="66" t="s">
        <v>1682</v>
      </c>
    </row>
    <row r="124" spans="1:13" ht="60" x14ac:dyDescent="0.25">
      <c r="A124" s="32"/>
      <c r="B124" s="32"/>
      <c r="C124" s="32"/>
      <c r="D124" s="32"/>
      <c r="E124" s="32"/>
      <c r="F124" s="32"/>
      <c r="G124" s="1340" t="s">
        <v>2705</v>
      </c>
      <c r="H124" s="66" t="str">
        <f>'BID I'!B455</f>
        <v>Belanja perlengkapan barang konsumsi (makan/minum)- Belanja Barang Konsumsi</v>
      </c>
      <c r="I124" s="32"/>
      <c r="J124" s="32"/>
      <c r="K124" s="174">
        <f>'BID I'!F456</f>
        <v>6000000</v>
      </c>
      <c r="L124" s="66" t="s">
        <v>1682</v>
      </c>
    </row>
    <row r="125" spans="1:13" ht="30" x14ac:dyDescent="0.25">
      <c r="A125" s="32"/>
      <c r="B125" s="32"/>
      <c r="C125" s="32"/>
      <c r="D125" s="32"/>
      <c r="E125" s="32"/>
      <c r="F125" s="32"/>
      <c r="G125" s="32">
        <v>90</v>
      </c>
      <c r="H125" s="66" t="str">
        <f>'BID I'!B458</f>
        <v>Belanja Upakara, Upacara Dan Aci- Aci</v>
      </c>
      <c r="I125" s="32"/>
      <c r="J125" s="32"/>
      <c r="K125" s="174">
        <f>SUM('BID I'!F459:F462)</f>
        <v>325000</v>
      </c>
      <c r="L125" s="66" t="s">
        <v>1682</v>
      </c>
    </row>
    <row r="126" spans="1:13" ht="30" x14ac:dyDescent="0.25">
      <c r="A126" s="1344">
        <v>1</v>
      </c>
      <c r="B126" s="1344">
        <v>1</v>
      </c>
      <c r="C126" s="1344">
        <v>91</v>
      </c>
      <c r="D126" s="1344"/>
      <c r="E126" s="1344"/>
      <c r="F126" s="1344"/>
      <c r="G126" s="1344"/>
      <c r="H126" s="1345" t="str">
        <f>'BID I'!B479</f>
        <v xml:space="preserve">: Penyediaan Penghasilan Staf Desa </v>
      </c>
      <c r="I126" s="1344"/>
      <c r="J126" s="1344"/>
      <c r="K126" s="1347">
        <f>SUM(K127:K129)</f>
        <v>482054400</v>
      </c>
      <c r="L126" s="1345" t="s">
        <v>2620</v>
      </c>
      <c r="M126" s="286">
        <f>'BID I'!F495</f>
        <v>482054400</v>
      </c>
    </row>
    <row r="127" spans="1:13" x14ac:dyDescent="0.25">
      <c r="A127" s="32"/>
      <c r="B127" s="32"/>
      <c r="C127" s="32"/>
      <c r="D127" s="32">
        <v>5</v>
      </c>
      <c r="E127" s="32">
        <v>2</v>
      </c>
      <c r="F127" s="32"/>
      <c r="G127" s="32"/>
      <c r="H127" s="32" t="str">
        <f>'BID I'!B485</f>
        <v>Belanja Barang Jasa</v>
      </c>
      <c r="I127" s="32"/>
      <c r="J127" s="32"/>
      <c r="K127" s="32"/>
      <c r="L127" s="66"/>
    </row>
    <row r="128" spans="1:13" x14ac:dyDescent="0.25">
      <c r="A128" s="32"/>
      <c r="B128" s="32"/>
      <c r="C128" s="32"/>
      <c r="D128" s="32"/>
      <c r="E128" s="32"/>
      <c r="F128" s="32">
        <v>2</v>
      </c>
      <c r="G128" s="32"/>
      <c r="H128" s="32" t="str">
        <f>'BID I'!B486</f>
        <v>Belanja Jasa Honorarium</v>
      </c>
      <c r="I128" s="32"/>
      <c r="J128" s="32"/>
      <c r="K128" s="32"/>
      <c r="L128" s="66"/>
    </row>
    <row r="129" spans="1:13" x14ac:dyDescent="0.25">
      <c r="A129" s="32"/>
      <c r="B129" s="32"/>
      <c r="C129" s="32"/>
      <c r="D129" s="32"/>
      <c r="E129" s="32"/>
      <c r="F129" s="32"/>
      <c r="G129" s="32">
        <v>90</v>
      </c>
      <c r="H129" s="32" t="str">
        <f>'BID I'!B487</f>
        <v>Belanja Pengasilan Staf</v>
      </c>
      <c r="I129" s="32"/>
      <c r="J129" s="32"/>
      <c r="K129" s="513">
        <f>SUM('BID I'!F488:F493)</f>
        <v>482054400</v>
      </c>
      <c r="L129" s="66" t="s">
        <v>2620</v>
      </c>
    </row>
    <row r="130" spans="1:13" ht="45" x14ac:dyDescent="0.25">
      <c r="A130" s="1344">
        <v>1</v>
      </c>
      <c r="B130" s="1344">
        <v>1</v>
      </c>
      <c r="C130" s="1344">
        <v>93</v>
      </c>
      <c r="D130" s="1344"/>
      <c r="E130" s="1344"/>
      <c r="F130" s="1344"/>
      <c r="G130" s="1344"/>
      <c r="H130" s="1345" t="str">
        <f>'BID I'!B510</f>
        <v>Penjaringan dan Penyaringan Perangkat Desa/Staf</v>
      </c>
      <c r="I130" s="1344"/>
      <c r="J130" s="1344"/>
      <c r="K130" s="1348">
        <f>SUM(K131:K138)</f>
        <v>6699000</v>
      </c>
      <c r="L130" s="1345" t="s">
        <v>2626</v>
      </c>
      <c r="M130" s="286">
        <f>'BID I'!F538</f>
        <v>6699000</v>
      </c>
    </row>
    <row r="131" spans="1:13" x14ac:dyDescent="0.25">
      <c r="A131" s="32"/>
      <c r="B131" s="32"/>
      <c r="C131" s="32"/>
      <c r="D131" s="32">
        <v>5</v>
      </c>
      <c r="E131" s="32">
        <v>2</v>
      </c>
      <c r="F131" s="32"/>
      <c r="G131" s="32"/>
      <c r="H131" s="66" t="str">
        <f>'BID I'!B516</f>
        <v>Belanja Barang Jasa :</v>
      </c>
      <c r="I131" s="32"/>
      <c r="J131" s="32"/>
      <c r="K131" s="32"/>
      <c r="L131" s="66"/>
    </row>
    <row r="132" spans="1:13" ht="30" x14ac:dyDescent="0.25">
      <c r="A132" s="32"/>
      <c r="B132" s="32"/>
      <c r="C132" s="32"/>
      <c r="D132" s="32"/>
      <c r="E132" s="32"/>
      <c r="F132" s="32">
        <v>1</v>
      </c>
      <c r="G132" s="32"/>
      <c r="H132" s="66" t="str">
        <f>'BID I'!B517</f>
        <v>Belanja Barang Perlengkapan</v>
      </c>
      <c r="I132" s="32"/>
      <c r="J132" s="32"/>
      <c r="K132" s="32"/>
      <c r="L132" s="66"/>
    </row>
    <row r="133" spans="1:13" ht="30" x14ac:dyDescent="0.25">
      <c r="A133" s="32"/>
      <c r="B133" s="32"/>
      <c r="C133" s="32"/>
      <c r="D133" s="32"/>
      <c r="E133" s="32"/>
      <c r="F133" s="32"/>
      <c r="G133" s="1340" t="s">
        <v>2688</v>
      </c>
      <c r="H133" s="66" t="str">
        <f>'BID I'!B518</f>
        <v>Belanja alat tulis kantor dan benda pos</v>
      </c>
      <c r="I133" s="32"/>
      <c r="J133" s="32"/>
      <c r="K133" s="174">
        <f>SUM('BID I'!F519:F520)</f>
        <v>469000</v>
      </c>
      <c r="L133" s="66" t="s">
        <v>2626</v>
      </c>
    </row>
    <row r="134" spans="1:13" ht="60" x14ac:dyDescent="0.25">
      <c r="A134" s="32"/>
      <c r="B134" s="32"/>
      <c r="C134" s="32"/>
      <c r="D134" s="32"/>
      <c r="E134" s="32"/>
      <c r="F134" s="32"/>
      <c r="G134" s="1340" t="s">
        <v>2705</v>
      </c>
      <c r="H134" s="66" t="str">
        <f>'BID I'!B521</f>
        <v>Belanja perlengkapan barang konsumsi (makan/minum)- Belanja Barang Konsumsi</v>
      </c>
      <c r="I134" s="32"/>
      <c r="J134" s="32"/>
      <c r="K134" s="174">
        <f>'BID I'!F522+'BID I'!F523+'BID I'!F524</f>
        <v>2700000</v>
      </c>
      <c r="L134" s="66" t="s">
        <v>2626</v>
      </c>
    </row>
    <row r="135" spans="1:13" ht="30" x14ac:dyDescent="0.25">
      <c r="A135" s="32"/>
      <c r="B135" s="32"/>
      <c r="C135" s="32"/>
      <c r="D135" s="32"/>
      <c r="E135" s="32"/>
      <c r="F135" s="32"/>
      <c r="G135" s="1340" t="s">
        <v>2707</v>
      </c>
      <c r="H135" s="66" t="str">
        <f>'BID I'!B526</f>
        <v>Belanja Bendera/Umbul - umbul/Spanduk</v>
      </c>
      <c r="I135" s="32"/>
      <c r="J135" s="32"/>
      <c r="K135" s="174">
        <f>'BID I'!F527</f>
        <v>180000</v>
      </c>
      <c r="L135" s="66" t="s">
        <v>2626</v>
      </c>
    </row>
    <row r="136" spans="1:13" x14ac:dyDescent="0.25">
      <c r="A136" s="32"/>
      <c r="B136" s="32"/>
      <c r="C136" s="32"/>
      <c r="D136" s="32">
        <v>5</v>
      </c>
      <c r="E136" s="32">
        <v>2</v>
      </c>
      <c r="F136" s="32">
        <v>2</v>
      </c>
      <c r="G136" s="32"/>
      <c r="H136" s="66" t="str">
        <f>'BID I'!B529</f>
        <v>Belanja Jasa Honorarium</v>
      </c>
      <c r="I136" s="32"/>
      <c r="J136" s="32"/>
      <c r="K136" s="32"/>
      <c r="L136" s="66"/>
    </row>
    <row r="137" spans="1:13" ht="45" x14ac:dyDescent="0.25">
      <c r="A137" s="32"/>
      <c r="B137" s="32"/>
      <c r="C137" s="32"/>
      <c r="D137" s="32"/>
      <c r="E137" s="32"/>
      <c r="F137" s="32"/>
      <c r="G137" s="1340" t="s">
        <v>2688</v>
      </c>
      <c r="H137" s="66" t="str">
        <f>'BID I'!B530</f>
        <v>Belanja Jasa Honor Tim yang Melaksanakan Kegiatan</v>
      </c>
      <c r="I137" s="32"/>
      <c r="J137" s="32"/>
      <c r="K137" s="174">
        <f>SUM('BID I'!F531:F533)</f>
        <v>2450000</v>
      </c>
      <c r="L137" s="66" t="s">
        <v>2626</v>
      </c>
    </row>
    <row r="138" spans="1:13" ht="30" x14ac:dyDescent="0.25">
      <c r="A138" s="32"/>
      <c r="B138" s="32"/>
      <c r="C138" s="32"/>
      <c r="D138" s="32"/>
      <c r="E138" s="32"/>
      <c r="F138" s="32"/>
      <c r="G138" s="1340" t="s">
        <v>2706</v>
      </c>
      <c r="H138" s="66" t="str">
        <f>'BID I'!B534</f>
        <v>Belanja Jasa Honorarium Narasumber</v>
      </c>
      <c r="I138" s="32"/>
      <c r="J138" s="32"/>
      <c r="K138" s="513">
        <f>'BID I'!F535</f>
        <v>900000</v>
      </c>
      <c r="L138" s="66" t="s">
        <v>2626</v>
      </c>
    </row>
    <row r="139" spans="1:13" ht="45" x14ac:dyDescent="0.25">
      <c r="A139" s="1344">
        <v>1</v>
      </c>
      <c r="B139" s="1344">
        <v>1</v>
      </c>
      <c r="C139" s="1344">
        <v>93</v>
      </c>
      <c r="D139" s="1344"/>
      <c r="E139" s="1344"/>
      <c r="F139" s="1344"/>
      <c r="G139" s="1344"/>
      <c r="H139" s="1345" t="str">
        <f>'BID I'!B552</f>
        <v>Penyedian Jaminan Keshatan dan ketenagakerjaan BPD</v>
      </c>
      <c r="I139" s="1344"/>
      <c r="J139" s="1344"/>
      <c r="K139" s="1347">
        <f>SUM(K140:K143)</f>
        <v>36717720</v>
      </c>
      <c r="L139" s="1345" t="s">
        <v>2620</v>
      </c>
      <c r="M139" s="286">
        <f>'BID I'!F570</f>
        <v>36717720</v>
      </c>
    </row>
    <row r="140" spans="1:13" x14ac:dyDescent="0.25">
      <c r="A140" s="32"/>
      <c r="B140" s="32"/>
      <c r="C140" s="32"/>
      <c r="D140" s="32">
        <v>5</v>
      </c>
      <c r="E140" s="32">
        <v>1</v>
      </c>
      <c r="F140" s="32"/>
      <c r="G140" s="32"/>
      <c r="H140" s="32" t="str">
        <f>'BID I'!B558</f>
        <v>Belanja Pegawai</v>
      </c>
      <c r="I140" s="32"/>
      <c r="J140" s="32"/>
      <c r="K140" s="32"/>
      <c r="L140" s="66"/>
    </row>
    <row r="141" spans="1:13" ht="45" x14ac:dyDescent="0.25">
      <c r="A141" s="32"/>
      <c r="B141" s="32"/>
      <c r="C141" s="32"/>
      <c r="D141" s="32"/>
      <c r="E141" s="32"/>
      <c r="F141" s="32">
        <v>3</v>
      </c>
      <c r="G141" s="32"/>
      <c r="H141" s="66" t="str">
        <f>'BID I'!B559</f>
        <v>Belanja Jaminan Sosial Perbekel dan Perangkat Desa</v>
      </c>
      <c r="I141" s="32"/>
      <c r="J141" s="32"/>
      <c r="K141" s="32"/>
      <c r="L141" s="66"/>
    </row>
    <row r="142" spans="1:13" x14ac:dyDescent="0.25">
      <c r="A142" s="32"/>
      <c r="B142" s="32"/>
      <c r="C142" s="32"/>
      <c r="D142" s="32"/>
      <c r="E142" s="32"/>
      <c r="F142" s="32"/>
      <c r="G142" s="1340" t="s">
        <v>2688</v>
      </c>
      <c r="H142" s="66" t="str">
        <f>'BID I'!B560</f>
        <v>Jaminan Kesehatan BPD</v>
      </c>
      <c r="I142" s="32"/>
      <c r="J142" s="32"/>
      <c r="K142" s="174">
        <f>SUM('BID I'!F561:F564)</f>
        <v>14342856</v>
      </c>
      <c r="L142" s="66" t="s">
        <v>2620</v>
      </c>
    </row>
    <row r="143" spans="1:13" ht="30" x14ac:dyDescent="0.25">
      <c r="A143" s="32"/>
      <c r="B143" s="32"/>
      <c r="C143" s="32"/>
      <c r="D143" s="32"/>
      <c r="E143" s="32"/>
      <c r="F143" s="32"/>
      <c r="G143" s="1340" t="s">
        <v>2702</v>
      </c>
      <c r="H143" s="66" t="str">
        <f>'BID I'!B565</f>
        <v>Jaminan Ketenagakerjaan BPD</v>
      </c>
      <c r="I143" s="32"/>
      <c r="J143" s="32"/>
      <c r="K143" s="174">
        <f>SUM('BID I'!F566:F569)</f>
        <v>22374864</v>
      </c>
      <c r="L143" s="66" t="s">
        <v>2620</v>
      </c>
    </row>
    <row r="144" spans="1:13" ht="60" x14ac:dyDescent="0.25">
      <c r="A144" s="1344">
        <v>1</v>
      </c>
      <c r="B144" s="1344">
        <v>1</v>
      </c>
      <c r="C144" s="1344">
        <v>93</v>
      </c>
      <c r="D144" s="1344"/>
      <c r="E144" s="1344"/>
      <c r="F144" s="1344"/>
      <c r="G144" s="1344"/>
      <c r="H144" s="1345" t="str">
        <f>'BID I'!B584</f>
        <v>Penyedian Jaminan Keshatan dan ketenagakerjaan Staf Desa</v>
      </c>
      <c r="I144" s="1344"/>
      <c r="J144" s="1344"/>
      <c r="K144" s="1347">
        <f>K147+K148</f>
        <v>24226512</v>
      </c>
      <c r="L144" s="1345" t="s">
        <v>2620</v>
      </c>
      <c r="M144" s="286">
        <f>'BID I'!F606</f>
        <v>24226512</v>
      </c>
    </row>
    <row r="145" spans="1:13" x14ac:dyDescent="0.25">
      <c r="A145" s="32"/>
      <c r="B145" s="32"/>
      <c r="C145" s="32"/>
      <c r="D145" s="32">
        <v>5</v>
      </c>
      <c r="E145" s="32">
        <v>1</v>
      </c>
      <c r="F145" s="32"/>
      <c r="G145" s="32"/>
      <c r="H145" s="66" t="str">
        <f>'BID I'!B590</f>
        <v>Belanja Pegawai</v>
      </c>
      <c r="I145" s="32"/>
      <c r="J145" s="32"/>
      <c r="K145" s="32"/>
      <c r="L145" s="66"/>
    </row>
    <row r="146" spans="1:13" ht="45" x14ac:dyDescent="0.25">
      <c r="A146" s="32"/>
      <c r="B146" s="32"/>
      <c r="C146" s="32"/>
      <c r="D146" s="32"/>
      <c r="E146" s="32"/>
      <c r="F146" s="32">
        <v>3</v>
      </c>
      <c r="G146" s="32"/>
      <c r="H146" s="66" t="str">
        <f>'BID I'!B591</f>
        <v>Belanja Jaminan Sosial Perbekel dan Perangkat Desa</v>
      </c>
      <c r="I146" s="32"/>
      <c r="J146" s="32"/>
      <c r="K146" s="32"/>
      <c r="L146" s="66"/>
    </row>
    <row r="147" spans="1:13" x14ac:dyDescent="0.25">
      <c r="A147" s="32"/>
      <c r="B147" s="32"/>
      <c r="C147" s="32"/>
      <c r="D147" s="32"/>
      <c r="E147" s="32"/>
      <c r="F147" s="32"/>
      <c r="G147" s="1340" t="s">
        <v>2688</v>
      </c>
      <c r="H147" s="66" t="str">
        <f>'BID I'!B592</f>
        <v>Jaminan Kesehatan Staf</v>
      </c>
      <c r="I147" s="32"/>
      <c r="J147" s="32"/>
      <c r="K147" s="174">
        <f>SUM('BID I'!F593:F598)</f>
        <v>21101712</v>
      </c>
      <c r="L147" s="66" t="s">
        <v>2620</v>
      </c>
    </row>
    <row r="148" spans="1:13" ht="30" x14ac:dyDescent="0.25">
      <c r="A148" s="32"/>
      <c r="B148" s="32"/>
      <c r="C148" s="32"/>
      <c r="D148" s="32"/>
      <c r="E148" s="32"/>
      <c r="F148" s="32"/>
      <c r="G148" s="1340"/>
      <c r="H148" s="66" t="str">
        <f>'BID I'!B599</f>
        <v>Jaminan Ketenagakerjaan Staf</v>
      </c>
      <c r="I148" s="32"/>
      <c r="J148" s="32"/>
      <c r="K148" s="174">
        <f>SUM('BID I'!F600:F605)</f>
        <v>3124800</v>
      </c>
      <c r="L148" s="66" t="s">
        <v>2620</v>
      </c>
    </row>
    <row r="149" spans="1:13" ht="45" x14ac:dyDescent="0.25">
      <c r="A149" s="1344">
        <v>1</v>
      </c>
      <c r="B149" s="1344">
        <v>1</v>
      </c>
      <c r="C149" s="1344">
        <v>93</v>
      </c>
      <c r="D149" s="1344"/>
      <c r="E149" s="1344"/>
      <c r="F149" s="1344"/>
      <c r="G149" s="1344"/>
      <c r="H149" s="1345" t="str">
        <f>'BID I'!B620</f>
        <v>Penyedian Jaminan Ketenagakerjaan Ekosistem Desa</v>
      </c>
      <c r="I149" s="1344"/>
      <c r="J149" s="1344"/>
      <c r="K149" s="1347">
        <f>SUM(K150:K152)</f>
        <v>42537600</v>
      </c>
      <c r="L149" s="1345" t="s">
        <v>2620</v>
      </c>
    </row>
    <row r="150" spans="1:13" x14ac:dyDescent="0.25">
      <c r="A150" s="32"/>
      <c r="B150" s="32"/>
      <c r="C150" s="32"/>
      <c r="D150" s="32">
        <v>5</v>
      </c>
      <c r="E150" s="32">
        <v>1</v>
      </c>
      <c r="F150" s="32"/>
      <c r="G150" s="32"/>
      <c r="H150" s="66" t="str">
        <f>'BID I'!B626</f>
        <v>Belanja Pegawai</v>
      </c>
      <c r="I150" s="32"/>
      <c r="J150" s="32"/>
      <c r="K150" s="32"/>
      <c r="L150" s="66"/>
    </row>
    <row r="151" spans="1:13" ht="45" x14ac:dyDescent="0.25">
      <c r="A151" s="32"/>
      <c r="B151" s="32"/>
      <c r="C151" s="32"/>
      <c r="D151" s="32"/>
      <c r="E151" s="32"/>
      <c r="F151" s="32">
        <v>3</v>
      </c>
      <c r="G151" s="32"/>
      <c r="H151" s="66" t="str">
        <f>'BID I'!B627</f>
        <v>Belanja Jaminan Sosial Perbekel dan Perangkat Desa</v>
      </c>
      <c r="I151" s="32"/>
      <c r="J151" s="32"/>
      <c r="K151" s="32"/>
      <c r="L151" s="66"/>
    </row>
    <row r="152" spans="1:13" x14ac:dyDescent="0.25">
      <c r="A152" s="32"/>
      <c r="B152" s="32"/>
      <c r="C152" s="32"/>
      <c r="D152" s="32"/>
      <c r="E152" s="32"/>
      <c r="F152" s="32"/>
      <c r="G152" s="1340" t="s">
        <v>2688</v>
      </c>
      <c r="H152" s="66" t="str">
        <f>'BID I'!B628</f>
        <v>Jaminan Kesehatan Staf</v>
      </c>
      <c r="I152" s="32"/>
      <c r="J152" s="32"/>
      <c r="K152" s="174">
        <f>SUM('BID I'!F629)</f>
        <v>42537600</v>
      </c>
      <c r="L152" s="66" t="s">
        <v>2620</v>
      </c>
      <c r="M152" s="175">
        <f>'BID I'!F629</f>
        <v>42537600</v>
      </c>
    </row>
    <row r="153" spans="1:13" ht="66.75" customHeight="1" x14ac:dyDescent="0.25">
      <c r="A153" s="1344">
        <v>1</v>
      </c>
      <c r="B153" s="1344">
        <v>1</v>
      </c>
      <c r="C153" s="1344">
        <v>94</v>
      </c>
      <c r="D153" s="1344"/>
      <c r="E153" s="1344"/>
      <c r="F153" s="1344"/>
      <c r="G153" s="1344"/>
      <c r="H153" s="1345" t="str">
        <f>'BID I'!B657</f>
        <v>: Penyediaan Kegiatan Sosial Desa</v>
      </c>
      <c r="I153" s="1344"/>
      <c r="J153" s="1344"/>
      <c r="K153" s="1349">
        <f>K156</f>
        <v>34032000</v>
      </c>
      <c r="L153" s="1345" t="s">
        <v>2639</v>
      </c>
    </row>
    <row r="154" spans="1:13" x14ac:dyDescent="0.25">
      <c r="A154" s="32"/>
      <c r="B154" s="32"/>
      <c r="C154" s="32"/>
      <c r="D154" s="32">
        <v>5</v>
      </c>
      <c r="E154" s="32">
        <v>2</v>
      </c>
      <c r="F154" s="32"/>
      <c r="G154" s="32"/>
      <c r="H154" s="66" t="str">
        <f>'BID I'!B663</f>
        <v>Belanja Barang Jasa</v>
      </c>
      <c r="I154" s="32"/>
      <c r="J154" s="32"/>
      <c r="K154" s="32"/>
      <c r="L154" s="66"/>
    </row>
    <row r="155" spans="1:13" ht="45" x14ac:dyDescent="0.25">
      <c r="A155" s="32"/>
      <c r="B155" s="32"/>
      <c r="C155" s="32"/>
      <c r="D155" s="32"/>
      <c r="E155" s="32"/>
      <c r="F155" s="32">
        <v>7</v>
      </c>
      <c r="G155" s="32"/>
      <c r="H155" s="66" t="str">
        <f>'BID I'!B664</f>
        <v>Belanja Barang dan Jasa yang Diserahkan Kepada Masyarakat</v>
      </c>
      <c r="I155" s="32"/>
      <c r="J155" s="32"/>
      <c r="K155" s="32"/>
      <c r="L155" s="66"/>
    </row>
    <row r="156" spans="1:13" ht="45" x14ac:dyDescent="0.25">
      <c r="A156" s="32"/>
      <c r="B156" s="32"/>
      <c r="C156" s="32"/>
      <c r="D156" s="32"/>
      <c r="E156" s="32"/>
      <c r="F156" s="32"/>
      <c r="G156" s="1340" t="s">
        <v>2688</v>
      </c>
      <c r="H156" s="66" t="str">
        <f>'BID I'!B665</f>
        <v>Belanja Bahan Perlengkapan yang Diserahkan ke masyarakat</v>
      </c>
      <c r="I156" s="32"/>
      <c r="J156" s="32"/>
      <c r="K156" s="174">
        <f>SUM('BID I'!F666:F672)</f>
        <v>34032000</v>
      </c>
      <c r="L156" s="66" t="s">
        <v>2639</v>
      </c>
    </row>
    <row r="157" spans="1:13" ht="30" x14ac:dyDescent="0.25">
      <c r="A157" s="1344">
        <v>1</v>
      </c>
      <c r="B157" s="1344">
        <v>1</v>
      </c>
      <c r="C157" s="1344">
        <v>96</v>
      </c>
      <c r="D157" s="1344"/>
      <c r="E157" s="1344"/>
      <c r="F157" s="1344"/>
      <c r="G157" s="1344"/>
      <c r="H157" s="1345" t="str">
        <f>'BID I'!B716</f>
        <v>: Tambahan  Penghasilan Perbekel dari BKK</v>
      </c>
      <c r="I157" s="1344"/>
      <c r="J157" s="1344"/>
      <c r="K157" s="1350">
        <f>K160+K161</f>
        <v>22500000</v>
      </c>
      <c r="L157" s="1345" t="s">
        <v>2638</v>
      </c>
    </row>
    <row r="158" spans="1:13" x14ac:dyDescent="0.25">
      <c r="A158" s="32"/>
      <c r="B158" s="32"/>
      <c r="C158" s="32"/>
      <c r="D158" s="32">
        <v>5</v>
      </c>
      <c r="E158" s="32">
        <v>1</v>
      </c>
      <c r="F158" s="32"/>
      <c r="G158" s="32"/>
      <c r="H158" s="32" t="str">
        <f>'BID I'!B722</f>
        <v xml:space="preserve">Belanja Pegawai </v>
      </c>
      <c r="I158" s="32"/>
      <c r="J158" s="32"/>
      <c r="K158" s="32"/>
      <c r="L158" s="66"/>
    </row>
    <row r="159" spans="1:13" ht="30" x14ac:dyDescent="0.25">
      <c r="A159" s="32"/>
      <c r="B159" s="32"/>
      <c r="C159" s="32"/>
      <c r="D159" s="32"/>
      <c r="E159" s="32"/>
      <c r="F159" s="32">
        <v>1</v>
      </c>
      <c r="G159" s="32"/>
      <c r="H159" s="66" t="str">
        <f>'BID I'!B723</f>
        <v>Penghasilan tetap dan Tunjangan Perbekel</v>
      </c>
      <c r="I159" s="32"/>
      <c r="J159" s="32"/>
      <c r="K159" s="32"/>
      <c r="L159" s="66"/>
    </row>
    <row r="160" spans="1:13" ht="30" x14ac:dyDescent="0.25">
      <c r="A160" s="32"/>
      <c r="B160" s="32"/>
      <c r="C160" s="32"/>
      <c r="D160" s="32"/>
      <c r="E160" s="32"/>
      <c r="F160" s="32"/>
      <c r="G160" s="1340">
        <v>90</v>
      </c>
      <c r="H160" s="66" t="str">
        <f>'BID I'!B724</f>
        <v>Tambahan Penghasilan Perbekel Dari BKK</v>
      </c>
      <c r="I160" s="32"/>
      <c r="J160" s="32"/>
      <c r="K160" s="513">
        <f>'BID I'!F724</f>
        <v>18000000</v>
      </c>
      <c r="L160" s="66" t="s">
        <v>2638</v>
      </c>
    </row>
    <row r="161" spans="1:14" ht="30" x14ac:dyDescent="0.25">
      <c r="A161" s="32"/>
      <c r="B161" s="32"/>
      <c r="C161" s="32"/>
      <c r="D161" s="32"/>
      <c r="E161" s="32"/>
      <c r="F161" s="32"/>
      <c r="G161" s="1340">
        <v>91</v>
      </c>
      <c r="H161" s="66" t="str">
        <f>'BID I'!B725</f>
        <v>Kekurangan Tambaha Penghasilan Perbekel</v>
      </c>
      <c r="I161" s="32"/>
      <c r="J161" s="32"/>
      <c r="K161" s="513">
        <f>'BID I'!F725</f>
        <v>4500000</v>
      </c>
      <c r="L161" s="66" t="s">
        <v>2638</v>
      </c>
    </row>
    <row r="162" spans="1:14" ht="30" x14ac:dyDescent="0.25">
      <c r="A162" s="1344">
        <v>1</v>
      </c>
      <c r="B162" s="1344">
        <v>1</v>
      </c>
      <c r="C162" s="1344">
        <v>97</v>
      </c>
      <c r="D162" s="1344"/>
      <c r="E162" s="1344"/>
      <c r="F162" s="1344"/>
      <c r="G162" s="1344"/>
      <c r="H162" s="1345" t="str">
        <f>'BID I'!B742</f>
        <v>: Tambahan  Penghasilan Perangkat Desa dari BKK</v>
      </c>
      <c r="I162" s="1344"/>
      <c r="J162" s="1344"/>
      <c r="K162" s="1347">
        <f>K165+K166</f>
        <v>70500000</v>
      </c>
      <c r="L162" s="1345" t="s">
        <v>2638</v>
      </c>
      <c r="M162" s="286"/>
    </row>
    <row r="163" spans="1:14" x14ac:dyDescent="0.25">
      <c r="A163" s="32"/>
      <c r="B163" s="32"/>
      <c r="C163" s="32"/>
      <c r="D163" s="32">
        <v>5</v>
      </c>
      <c r="E163" s="32">
        <v>1</v>
      </c>
      <c r="F163" s="32"/>
      <c r="G163" s="32"/>
      <c r="H163" s="66" t="str">
        <f>'BID I'!B748</f>
        <v xml:space="preserve">Belanja Pegawai </v>
      </c>
      <c r="I163" s="32"/>
      <c r="J163" s="32"/>
      <c r="K163" s="32"/>
      <c r="L163" s="66"/>
    </row>
    <row r="164" spans="1:14" ht="30" x14ac:dyDescent="0.25">
      <c r="A164" s="32"/>
      <c r="B164" s="32"/>
      <c r="C164" s="32"/>
      <c r="D164" s="32"/>
      <c r="E164" s="32"/>
      <c r="F164" s="32">
        <v>2</v>
      </c>
      <c r="G164" s="32"/>
      <c r="H164" s="66" t="str">
        <f>'BID I'!B749</f>
        <v>Penghasilan tetap dan Tunjangan Perangkat</v>
      </c>
      <c r="I164" s="32"/>
      <c r="J164" s="32"/>
      <c r="K164" s="32"/>
      <c r="L164" s="66"/>
    </row>
    <row r="165" spans="1:14" ht="30" x14ac:dyDescent="0.25">
      <c r="A165" s="32"/>
      <c r="B165" s="32"/>
      <c r="C165" s="32"/>
      <c r="D165" s="32"/>
      <c r="E165" s="32"/>
      <c r="F165" s="32"/>
      <c r="G165" s="1340">
        <v>90</v>
      </c>
      <c r="H165" s="66" t="str">
        <f>'BID I'!B750</f>
        <v>Tambahan Penghasilan Perangkat Desa Dari BKK</v>
      </c>
      <c r="I165" s="32"/>
      <c r="J165" s="32"/>
      <c r="K165" s="513">
        <f>SUM('BID I'!F751:F754)</f>
        <v>56400000</v>
      </c>
      <c r="L165" s="66" t="s">
        <v>2638</v>
      </c>
    </row>
    <row r="166" spans="1:14" ht="45" x14ac:dyDescent="0.25">
      <c r="A166" s="32"/>
      <c r="B166" s="32"/>
      <c r="C166" s="32"/>
      <c r="D166" s="32"/>
      <c r="E166" s="32"/>
      <c r="F166" s="32"/>
      <c r="G166" s="1340">
        <v>91</v>
      </c>
      <c r="H166" s="66" t="str">
        <f>'BID I'!B755</f>
        <v>Kekurangan Tambahan Penghasilan Perangkat Desa Dari BKK</v>
      </c>
      <c r="I166" s="32"/>
      <c r="J166" s="32"/>
      <c r="K166" s="513">
        <f>SUM('BID I'!F756:F759)</f>
        <v>14100000</v>
      </c>
      <c r="L166" s="66" t="s">
        <v>2638</v>
      </c>
    </row>
    <row r="167" spans="1:14" ht="30" x14ac:dyDescent="0.25">
      <c r="A167" s="1344">
        <v>1</v>
      </c>
      <c r="B167" s="1344">
        <v>2</v>
      </c>
      <c r="C167" s="1344"/>
      <c r="D167" s="1344"/>
      <c r="E167" s="1344"/>
      <c r="F167" s="1344"/>
      <c r="G167" s="1346"/>
      <c r="H167" s="1345" t="str">
        <f>'BID I'!B777</f>
        <v>: Sarana dan Prasarana Pemerintah Desa</v>
      </c>
      <c r="I167" s="1344"/>
      <c r="J167" s="1344"/>
      <c r="K167" s="1350"/>
      <c r="L167" s="1345"/>
    </row>
    <row r="168" spans="1:14" ht="30" x14ac:dyDescent="0.25">
      <c r="A168" s="1344">
        <v>1</v>
      </c>
      <c r="B168" s="1344">
        <v>2</v>
      </c>
      <c r="C168" s="1344">
        <v>1</v>
      </c>
      <c r="D168" s="1344"/>
      <c r="E168" s="1344"/>
      <c r="F168" s="1344"/>
      <c r="G168" s="1344"/>
      <c r="H168" s="1345" t="str">
        <f>'BID I'!B778</f>
        <v>: Penyediaan Aset Tetap (Prasarana Kantor Desa)</v>
      </c>
      <c r="I168" s="1344"/>
      <c r="J168" s="1344"/>
      <c r="K168" s="1347">
        <f>SUM(K169:K179)</f>
        <v>84962003.659999996</v>
      </c>
      <c r="L168" s="1345"/>
      <c r="M168" s="175">
        <f>'BID I'!F802</f>
        <v>84962003.659999996</v>
      </c>
      <c r="N168" s="175">
        <f>M168-K168</f>
        <v>0</v>
      </c>
    </row>
    <row r="169" spans="1:14" x14ac:dyDescent="0.25">
      <c r="A169" s="32"/>
      <c r="B169" s="32"/>
      <c r="C169" s="32"/>
      <c r="D169" s="32">
        <v>5</v>
      </c>
      <c r="E169" s="32">
        <v>3</v>
      </c>
      <c r="F169" s="32"/>
      <c r="G169" s="32"/>
      <c r="H169" s="66" t="str">
        <f>'BID I'!B783</f>
        <v>Belanja Modal</v>
      </c>
      <c r="I169" s="32"/>
      <c r="J169" s="32"/>
      <c r="K169" s="32"/>
      <c r="L169" s="66"/>
    </row>
    <row r="170" spans="1:14" ht="30" x14ac:dyDescent="0.25">
      <c r="A170" s="32"/>
      <c r="B170" s="32"/>
      <c r="C170" s="32"/>
      <c r="D170" s="32"/>
      <c r="E170" s="32"/>
      <c r="F170" s="32">
        <v>2</v>
      </c>
      <c r="G170" s="32"/>
      <c r="H170" s="66" t="str">
        <f>'BID I'!B784</f>
        <v>Belanja Modal Peralatan, Mesin, dan Alat Berat</v>
      </c>
      <c r="I170" s="32"/>
      <c r="J170" s="32"/>
      <c r="K170" s="32"/>
      <c r="L170" s="66"/>
    </row>
    <row r="171" spans="1:14" ht="45" x14ac:dyDescent="0.25">
      <c r="A171" s="32"/>
      <c r="B171" s="32"/>
      <c r="C171" s="32"/>
      <c r="D171" s="32"/>
      <c r="E171" s="32"/>
      <c r="F171" s="32"/>
      <c r="G171" s="1340" t="s">
        <v>2688</v>
      </c>
      <c r="H171" s="66" t="str">
        <f>'BID I'!B785</f>
        <v>Belanja modal honor tim yang melaksanakan kegiatan</v>
      </c>
      <c r="I171" s="32"/>
      <c r="J171" s="32"/>
      <c r="K171" s="174">
        <f>SUM('BID I'!F786:F788)</f>
        <v>750000</v>
      </c>
      <c r="L171" s="66" t="s">
        <v>2626</v>
      </c>
    </row>
    <row r="172" spans="1:14" ht="45" x14ac:dyDescent="0.25">
      <c r="A172" s="32"/>
      <c r="B172" s="32"/>
      <c r="C172" s="32"/>
      <c r="D172" s="32"/>
      <c r="E172" s="32"/>
      <c r="F172" s="32"/>
      <c r="G172" s="1340" t="s">
        <v>2702</v>
      </c>
      <c r="H172" s="66" t="str">
        <f>'BID I'!B791</f>
        <v>Belanja Modal Peralatan elektronik dan Alat Studio</v>
      </c>
      <c r="I172" s="32"/>
      <c r="J172" s="32"/>
      <c r="K172" s="174">
        <f>'BID I'!F792</f>
        <v>2483689</v>
      </c>
      <c r="L172" s="66" t="s">
        <v>2639</v>
      </c>
    </row>
    <row r="173" spans="1:14" ht="45" x14ac:dyDescent="0.25">
      <c r="A173" s="32"/>
      <c r="B173" s="32"/>
      <c r="C173" s="32"/>
      <c r="D173" s="32"/>
      <c r="E173" s="32"/>
      <c r="F173" s="32"/>
      <c r="G173" s="1340" t="s">
        <v>2702</v>
      </c>
      <c r="H173" s="66" t="str">
        <f>'BID I'!B791</f>
        <v>Belanja Modal Peralatan elektronik dan Alat Studio</v>
      </c>
      <c r="I173" s="32"/>
      <c r="J173" s="32"/>
      <c r="K173" s="174">
        <f>'BID I'!F793</f>
        <v>3527047</v>
      </c>
      <c r="L173" s="66" t="s">
        <v>2621</v>
      </c>
    </row>
    <row r="174" spans="1:14" ht="45" x14ac:dyDescent="0.25">
      <c r="A174" s="32"/>
      <c r="B174" s="32"/>
      <c r="C174" s="32"/>
      <c r="D174" s="32"/>
      <c r="E174" s="32"/>
      <c r="F174" s="32"/>
      <c r="G174" s="1340" t="s">
        <v>2702</v>
      </c>
      <c r="H174" s="66" t="str">
        <f>'BID I'!B791</f>
        <v>Belanja Modal Peralatan elektronik dan Alat Studio</v>
      </c>
      <c r="I174" s="32"/>
      <c r="J174" s="32"/>
      <c r="K174" s="174">
        <f>'BID I'!F794</f>
        <v>16780704</v>
      </c>
      <c r="L174" s="66" t="s">
        <v>2620</v>
      </c>
    </row>
    <row r="175" spans="1:14" ht="45" x14ac:dyDescent="0.25">
      <c r="A175" s="32"/>
      <c r="B175" s="32"/>
      <c r="C175" s="32"/>
      <c r="D175" s="32"/>
      <c r="E175" s="32"/>
      <c r="F175" s="32"/>
      <c r="G175" s="1340" t="s">
        <v>2702</v>
      </c>
      <c r="H175" s="66" t="str">
        <f>'BID I'!B791</f>
        <v>Belanja Modal Peralatan elektronik dan Alat Studio</v>
      </c>
      <c r="I175" s="32"/>
      <c r="J175" s="32"/>
      <c r="K175" s="174">
        <f>'BID I'!F796</f>
        <v>4290193</v>
      </c>
      <c r="L175" s="66" t="s">
        <v>2626</v>
      </c>
    </row>
    <row r="176" spans="1:14" ht="45" x14ac:dyDescent="0.25">
      <c r="A176" s="32"/>
      <c r="B176" s="32"/>
      <c r="C176" s="32"/>
      <c r="D176" s="32"/>
      <c r="E176" s="32"/>
      <c r="F176" s="32"/>
      <c r="G176" s="1340" t="s">
        <v>2702</v>
      </c>
      <c r="H176" s="1352" t="str">
        <f>'BID I'!B791</f>
        <v>Belanja Modal Peralatan elektronik dan Alat Studio</v>
      </c>
      <c r="I176" s="32"/>
      <c r="J176" s="32"/>
      <c r="K176" s="174">
        <f>'BID I'!F795</f>
        <v>11000000</v>
      </c>
      <c r="L176" s="66" t="s">
        <v>1690</v>
      </c>
    </row>
    <row r="177" spans="1:14" ht="45" x14ac:dyDescent="0.25">
      <c r="A177" s="32"/>
      <c r="B177" s="32"/>
      <c r="C177" s="32"/>
      <c r="D177" s="32"/>
      <c r="E177" s="32"/>
      <c r="F177" s="32"/>
      <c r="G177" s="1340" t="s">
        <v>2702</v>
      </c>
      <c r="H177" s="1352" t="str">
        <f>'BID I'!B791</f>
        <v>Belanja Modal Peralatan elektronik dan Alat Studio</v>
      </c>
      <c r="I177" s="32"/>
      <c r="J177" s="32"/>
      <c r="K177" s="174">
        <f>'BID I'!F797</f>
        <v>25000000</v>
      </c>
      <c r="L177" s="66" t="s">
        <v>2623</v>
      </c>
    </row>
    <row r="178" spans="1:14" ht="45" x14ac:dyDescent="0.25">
      <c r="A178" s="32"/>
      <c r="B178" s="32"/>
      <c r="C178" s="32"/>
      <c r="D178" s="32"/>
      <c r="E178" s="32"/>
      <c r="F178" s="32"/>
      <c r="G178" s="1340" t="s">
        <v>2704</v>
      </c>
      <c r="H178" s="1352" t="str">
        <f>'BID I'!B798</f>
        <v>Belanja Modal Peralatan mebeulair dan Aksesori ruangan</v>
      </c>
      <c r="I178" s="32"/>
      <c r="J178" s="32"/>
      <c r="K178" s="174">
        <f>SUM('BID I'!F799:F800)</f>
        <v>10630370.66</v>
      </c>
      <c r="L178" s="66" t="s">
        <v>2635</v>
      </c>
    </row>
    <row r="179" spans="1:14" ht="45" x14ac:dyDescent="0.25">
      <c r="A179" s="32"/>
      <c r="B179" s="32"/>
      <c r="C179" s="32"/>
      <c r="D179" s="32"/>
      <c r="E179" s="32"/>
      <c r="F179" s="32"/>
      <c r="G179" s="1340" t="s">
        <v>2704</v>
      </c>
      <c r="H179" s="66" t="str">
        <f>'BID I'!B798</f>
        <v>Belanja Modal Peralatan mebeulair dan Aksesori ruangan</v>
      </c>
      <c r="I179" s="32"/>
      <c r="J179" s="32"/>
      <c r="K179" s="174">
        <f>'BID I'!F801</f>
        <v>10500000</v>
      </c>
      <c r="L179" s="66" t="s">
        <v>1690</v>
      </c>
    </row>
    <row r="180" spans="1:14" ht="45" x14ac:dyDescent="0.25">
      <c r="A180" s="1344">
        <v>1</v>
      </c>
      <c r="B180" s="1344">
        <v>2</v>
      </c>
      <c r="C180" s="1346" t="s">
        <v>2702</v>
      </c>
      <c r="D180" s="1344"/>
      <c r="E180" s="1344"/>
      <c r="F180" s="1344"/>
      <c r="G180" s="1344"/>
      <c r="H180" s="1345" t="str">
        <f>'BID I'!B815</f>
        <v>Pemeliharaan Gedung/Prasarana Kantor Desa (Ruang Rapat)</v>
      </c>
      <c r="I180" s="1344">
        <v>34.43</v>
      </c>
      <c r="J180" s="1344" t="s">
        <v>1940</v>
      </c>
      <c r="K180" s="1347">
        <f>SUM(K181:K184)</f>
        <v>45676945</v>
      </c>
      <c r="L180" s="1345" t="s">
        <v>2626</v>
      </c>
      <c r="M180" s="451">
        <f>'BID I'!F840</f>
        <v>45676945</v>
      </c>
      <c r="N180" s="175">
        <f>M180-K180</f>
        <v>0</v>
      </c>
    </row>
    <row r="181" spans="1:14" x14ac:dyDescent="0.25">
      <c r="A181" s="32"/>
      <c r="B181" s="32"/>
      <c r="C181" s="32"/>
      <c r="D181" s="32">
        <v>5</v>
      </c>
      <c r="E181" s="32">
        <v>3</v>
      </c>
      <c r="F181" s="32"/>
      <c r="G181" s="32"/>
      <c r="H181" s="66" t="str">
        <f>'BID I'!B822</f>
        <v>Belanja Modal</v>
      </c>
      <c r="I181" s="32"/>
      <c r="J181" s="32"/>
      <c r="K181" s="32"/>
      <c r="L181" s="66"/>
    </row>
    <row r="182" spans="1:14" ht="30" x14ac:dyDescent="0.25">
      <c r="A182" s="32"/>
      <c r="B182" s="32"/>
      <c r="C182" s="32"/>
      <c r="D182" s="32"/>
      <c r="E182" s="32"/>
      <c r="F182" s="32">
        <v>4</v>
      </c>
      <c r="G182" s="32"/>
      <c r="H182" s="66" t="str">
        <f>'BID I'!B823</f>
        <v>Belanja modal Gedung, Bangunan, Tanaman</v>
      </c>
      <c r="I182" s="32"/>
      <c r="J182" s="32"/>
      <c r="K182" s="32"/>
      <c r="L182" s="66"/>
    </row>
    <row r="183" spans="1:14" ht="45" x14ac:dyDescent="0.25">
      <c r="A183" s="32"/>
      <c r="B183" s="32"/>
      <c r="C183" s="32"/>
      <c r="D183" s="32"/>
      <c r="E183" s="32"/>
      <c r="F183" s="32"/>
      <c r="G183" s="1340" t="s">
        <v>2688</v>
      </c>
      <c r="H183" s="66" t="str">
        <f>'BID I'!B824</f>
        <v>Belanja modal oprasional tim yang melaksanakan kegiatan</v>
      </c>
      <c r="I183" s="32"/>
      <c r="J183" s="32"/>
      <c r="K183" s="174">
        <f>'BID I'!F826</f>
        <v>890000</v>
      </c>
      <c r="L183" s="66" t="s">
        <v>2626</v>
      </c>
    </row>
    <row r="184" spans="1:14" ht="30" x14ac:dyDescent="0.25">
      <c r="A184" s="32"/>
      <c r="B184" s="32"/>
      <c r="C184" s="32"/>
      <c r="D184" s="32"/>
      <c r="E184" s="32"/>
      <c r="F184" s="32"/>
      <c r="G184" s="1340" t="s">
        <v>2703</v>
      </c>
      <c r="H184" s="32" t="str">
        <f>'BID I'!B827</f>
        <v>Belanja modal bahan baku</v>
      </c>
      <c r="I184" s="32"/>
      <c r="J184" s="32"/>
      <c r="K184" s="174">
        <f>'BID I'!F838</f>
        <v>44786945</v>
      </c>
      <c r="L184" s="66" t="s">
        <v>2626</v>
      </c>
    </row>
    <row r="185" spans="1:14" ht="60" x14ac:dyDescent="0.25">
      <c r="A185" s="1344">
        <v>1</v>
      </c>
      <c r="B185" s="1344">
        <v>2</v>
      </c>
      <c r="C185" s="1346" t="s">
        <v>2702</v>
      </c>
      <c r="D185" s="1344"/>
      <c r="E185" s="1344"/>
      <c r="F185" s="1344"/>
      <c r="G185" s="1344"/>
      <c r="H185" s="1345" t="str">
        <f>'BID I'!B853:B853</f>
        <v xml:space="preserve">Pemeliharaan Gedung/Prasarana Kantor Desa (Pengelasan Atap Parkir) </v>
      </c>
      <c r="I185" s="1344">
        <v>62.1</v>
      </c>
      <c r="J185" s="1344" t="s">
        <v>1940</v>
      </c>
      <c r="K185" s="1347">
        <f>SUM(K186:K189)</f>
        <v>22899750</v>
      </c>
      <c r="L185" s="1345" t="s">
        <v>2626</v>
      </c>
    </row>
    <row r="186" spans="1:14" x14ac:dyDescent="0.25">
      <c r="A186" s="32"/>
      <c r="B186" s="32"/>
      <c r="C186" s="32"/>
      <c r="D186" s="32">
        <v>5</v>
      </c>
      <c r="E186" s="32">
        <v>3</v>
      </c>
      <c r="F186" s="32"/>
      <c r="G186" s="32"/>
      <c r="H186" s="66" t="str">
        <f>'BID I'!B860</f>
        <v>Belanja Modal</v>
      </c>
      <c r="I186" s="32"/>
      <c r="J186" s="32"/>
      <c r="K186" s="32"/>
      <c r="L186" s="66"/>
    </row>
    <row r="187" spans="1:14" ht="30" x14ac:dyDescent="0.25">
      <c r="A187" s="32"/>
      <c r="B187" s="32"/>
      <c r="C187" s="32"/>
      <c r="D187" s="32"/>
      <c r="E187" s="32"/>
      <c r="F187" s="32">
        <v>4</v>
      </c>
      <c r="G187" s="32"/>
      <c r="H187" s="66" t="str">
        <f>'BID I'!B861</f>
        <v>Belanja modal Gedung, Bangunan, Tanaman</v>
      </c>
      <c r="I187" s="32"/>
      <c r="J187" s="32"/>
      <c r="K187" s="32"/>
      <c r="L187" s="66"/>
    </row>
    <row r="188" spans="1:14" ht="45" x14ac:dyDescent="0.25">
      <c r="A188" s="32"/>
      <c r="B188" s="32"/>
      <c r="C188" s="32"/>
      <c r="D188" s="32"/>
      <c r="E188" s="32"/>
      <c r="F188" s="32"/>
      <c r="G188" s="1340" t="s">
        <v>2688</v>
      </c>
      <c r="H188" s="66" t="str">
        <f>'BID I'!B862</f>
        <v>Belanja modal oprasional tim yang melaksanakan kegiatan</v>
      </c>
      <c r="I188" s="32"/>
      <c r="J188" s="32"/>
      <c r="K188" s="174">
        <f>'BID I'!F864</f>
        <v>449000</v>
      </c>
      <c r="L188" s="66" t="s">
        <v>2626</v>
      </c>
    </row>
    <row r="189" spans="1:14" ht="30" x14ac:dyDescent="0.25">
      <c r="A189" s="32"/>
      <c r="B189" s="32"/>
      <c r="C189" s="32"/>
      <c r="D189" s="32"/>
      <c r="E189" s="32"/>
      <c r="F189" s="32"/>
      <c r="G189" s="1340" t="s">
        <v>2703</v>
      </c>
      <c r="H189" s="32" t="str">
        <f>'BID I'!B865</f>
        <v>Belanja modal bahan baku</v>
      </c>
      <c r="I189" s="32"/>
      <c r="J189" s="32"/>
      <c r="K189" s="174">
        <f>'BID I'!F869</f>
        <v>22450750</v>
      </c>
      <c r="L189" s="66" t="s">
        <v>2626</v>
      </c>
    </row>
    <row r="190" spans="1:14" ht="90" x14ac:dyDescent="0.25">
      <c r="A190" s="1344">
        <v>1</v>
      </c>
      <c r="B190" s="1344">
        <v>2</v>
      </c>
      <c r="C190" s="1346" t="s">
        <v>2702</v>
      </c>
      <c r="D190" s="1344"/>
      <c r="E190" s="1344"/>
      <c r="F190" s="1344"/>
      <c r="G190" s="1344"/>
      <c r="H190" s="1345" t="str">
        <f>'BID I'!B884</f>
        <v>Pemeliharaan/ Rehabilitasi/ Peningkatan Gedung/ Prasarana Kantor Desa (Penataan Kebun dan Vertical Garden)</v>
      </c>
      <c r="I190" s="1344">
        <v>126</v>
      </c>
      <c r="J190" s="1344" t="s">
        <v>1940</v>
      </c>
      <c r="K190" s="1347">
        <f>SUM(K191:K195)</f>
        <v>32007000</v>
      </c>
      <c r="L190" s="1345" t="s">
        <v>2627</v>
      </c>
    </row>
    <row r="191" spans="1:14" x14ac:dyDescent="0.25">
      <c r="A191" s="32"/>
      <c r="B191" s="32"/>
      <c r="C191" s="32"/>
      <c r="D191" s="32">
        <v>5</v>
      </c>
      <c r="E191" s="32">
        <v>3</v>
      </c>
      <c r="F191" s="32"/>
      <c r="G191" s="32"/>
      <c r="H191" s="66" t="str">
        <f>'BID I'!B891</f>
        <v>Belanja Modal</v>
      </c>
      <c r="I191" s="32"/>
      <c r="J191" s="32"/>
      <c r="K191" s="32"/>
      <c r="L191" s="66"/>
    </row>
    <row r="192" spans="1:14" ht="30" x14ac:dyDescent="0.25">
      <c r="A192" s="32"/>
      <c r="B192" s="32"/>
      <c r="C192" s="32"/>
      <c r="D192" s="32"/>
      <c r="E192" s="32"/>
      <c r="F192" s="32">
        <v>4</v>
      </c>
      <c r="G192" s="32"/>
      <c r="H192" s="66" t="str">
        <f>'BID I'!B892</f>
        <v>Belanja modal Gedung, Bangunan, Tanaman</v>
      </c>
      <c r="I192" s="32"/>
      <c r="J192" s="32"/>
      <c r="K192" s="32"/>
      <c r="L192" s="66"/>
    </row>
    <row r="193" spans="1:12" ht="45" x14ac:dyDescent="0.25">
      <c r="A193" s="32"/>
      <c r="B193" s="32"/>
      <c r="C193" s="32"/>
      <c r="D193" s="32"/>
      <c r="E193" s="32"/>
      <c r="F193" s="32"/>
      <c r="G193" s="1340" t="s">
        <v>2688</v>
      </c>
      <c r="H193" s="66" t="str">
        <f>'BID I'!B893</f>
        <v>Belanja modal oprasional tim yang melaksanakan kegiatan</v>
      </c>
      <c r="I193" s="32"/>
      <c r="J193" s="32"/>
      <c r="K193" s="174">
        <f>'BID I'!F895</f>
        <v>627000</v>
      </c>
      <c r="L193" s="66" t="s">
        <v>2627</v>
      </c>
    </row>
    <row r="194" spans="1:12" ht="30" x14ac:dyDescent="0.25">
      <c r="A194" s="32"/>
      <c r="B194" s="32"/>
      <c r="C194" s="32"/>
      <c r="D194" s="32"/>
      <c r="E194" s="32"/>
      <c r="F194" s="32"/>
      <c r="G194" s="1340" t="s">
        <v>2702</v>
      </c>
      <c r="H194" s="66" t="str">
        <f>'BID I'!B896</f>
        <v>Belanja modal upah tenaga kerja</v>
      </c>
      <c r="I194" s="32"/>
      <c r="J194" s="32"/>
      <c r="K194" s="174">
        <f>'BID I'!F899</f>
        <v>2600000</v>
      </c>
      <c r="L194" s="66" t="s">
        <v>2627</v>
      </c>
    </row>
    <row r="195" spans="1:12" ht="30" x14ac:dyDescent="0.25">
      <c r="A195" s="32"/>
      <c r="B195" s="32"/>
      <c r="C195" s="32"/>
      <c r="D195" s="32"/>
      <c r="E195" s="32"/>
      <c r="F195" s="32"/>
      <c r="G195" s="1340" t="s">
        <v>2703</v>
      </c>
      <c r="H195" s="66" t="str">
        <f>'BID I'!B900</f>
        <v>Belanja modal bahan baku</v>
      </c>
      <c r="I195" s="32"/>
      <c r="J195" s="32"/>
      <c r="K195" s="174">
        <f>'BID I'!F904</f>
        <v>28780000</v>
      </c>
      <c r="L195" s="66" t="s">
        <v>2627</v>
      </c>
    </row>
    <row r="196" spans="1:12" ht="75" x14ac:dyDescent="0.25">
      <c r="A196" s="1344">
        <v>1</v>
      </c>
      <c r="B196" s="1344">
        <v>3</v>
      </c>
      <c r="C196" s="1346" t="s">
        <v>2702</v>
      </c>
      <c r="D196" s="1344"/>
      <c r="E196" s="1344"/>
      <c r="F196" s="1344"/>
      <c r="G196" s="1344"/>
      <c r="H196" s="1345" t="str">
        <f>'BID I'!B919</f>
        <v>: Penyusunan/ Pendataan/Pemuktahiran Profil Desa (Profil Kependudukan dan potensi Desa )</v>
      </c>
      <c r="I196" s="1344"/>
      <c r="J196" s="1344"/>
      <c r="K196" s="1347">
        <f>SUM(K197:K208)</f>
        <v>51506000</v>
      </c>
      <c r="L196" s="1345" t="s">
        <v>2627</v>
      </c>
    </row>
    <row r="197" spans="1:12" x14ac:dyDescent="0.25">
      <c r="A197" s="32"/>
      <c r="B197" s="32"/>
      <c r="C197" s="32"/>
      <c r="D197" s="32">
        <v>5</v>
      </c>
      <c r="E197" s="32">
        <v>2</v>
      </c>
      <c r="F197" s="32"/>
      <c r="G197" s="32"/>
      <c r="H197" s="66" t="str">
        <f>'BID I'!B927</f>
        <v>Belanja Barang Jasa</v>
      </c>
      <c r="I197" s="32"/>
      <c r="J197" s="32"/>
      <c r="K197" s="32"/>
      <c r="L197" s="66"/>
    </row>
    <row r="198" spans="1:12" ht="30" x14ac:dyDescent="0.25">
      <c r="A198" s="32"/>
      <c r="B198" s="32"/>
      <c r="C198" s="32"/>
      <c r="D198" s="32"/>
      <c r="E198" s="32"/>
      <c r="F198" s="32">
        <v>1</v>
      </c>
      <c r="G198" s="32"/>
      <c r="H198" s="66" t="str">
        <f>'BID I'!B928</f>
        <v>Belanja Barang Perlengkapan</v>
      </c>
      <c r="I198" s="32"/>
      <c r="J198" s="32"/>
      <c r="K198" s="32"/>
      <c r="L198" s="66"/>
    </row>
    <row r="199" spans="1:12" ht="30" x14ac:dyDescent="0.25">
      <c r="A199" s="32"/>
      <c r="B199" s="32"/>
      <c r="C199" s="32"/>
      <c r="D199" s="32"/>
      <c r="E199" s="32"/>
      <c r="F199" s="32"/>
      <c r="G199" s="1340" t="s">
        <v>2705</v>
      </c>
      <c r="H199" s="66" t="str">
        <f>'BID I'!B929</f>
        <v>Belanja Perlengkapan Barang Konsumsi</v>
      </c>
      <c r="I199" s="32"/>
      <c r="J199" s="32"/>
      <c r="K199" s="174">
        <f>'BID I'!F930</f>
        <v>750000</v>
      </c>
      <c r="L199" s="66" t="s">
        <v>2627</v>
      </c>
    </row>
    <row r="200" spans="1:12" ht="30" x14ac:dyDescent="0.25">
      <c r="A200" s="32"/>
      <c r="B200" s="32"/>
      <c r="C200" s="32"/>
      <c r="D200" s="32"/>
      <c r="E200" s="32"/>
      <c r="F200" s="32"/>
      <c r="G200" s="1340" t="s">
        <v>2707</v>
      </c>
      <c r="H200" s="66" t="str">
        <f>'BID I'!B932</f>
        <v>Belanja Bendera/ Umbul-umbul/ Spanduk</v>
      </c>
      <c r="I200" s="32"/>
      <c r="J200" s="32"/>
      <c r="K200" s="174">
        <f>'BID I'!F933</f>
        <v>90000</v>
      </c>
      <c r="L200" s="66" t="s">
        <v>2627</v>
      </c>
    </row>
    <row r="201" spans="1:12" ht="30" x14ac:dyDescent="0.25">
      <c r="A201" s="32"/>
      <c r="B201" s="32"/>
      <c r="C201" s="32"/>
      <c r="D201" s="32"/>
      <c r="E201" s="32"/>
      <c r="F201" s="32"/>
      <c r="G201" s="32">
        <v>90</v>
      </c>
      <c r="H201" s="66" t="str">
        <f>'BID I'!B935</f>
        <v>Belanja Upakara, Upacara Dan Aci-aci</v>
      </c>
      <c r="I201" s="32"/>
      <c r="J201" s="32"/>
      <c r="K201" s="174">
        <f>SUM('BID I'!F936:F938)</f>
        <v>66000</v>
      </c>
      <c r="L201" s="66" t="s">
        <v>2627</v>
      </c>
    </row>
    <row r="202" spans="1:12" x14ac:dyDescent="0.25">
      <c r="A202" s="32"/>
      <c r="B202" s="32"/>
      <c r="C202" s="32"/>
      <c r="D202" s="32"/>
      <c r="E202" s="32"/>
      <c r="F202" s="32"/>
      <c r="G202" s="32"/>
      <c r="H202" s="32" t="str">
        <f>'BID I'!B940</f>
        <v>Pendataan</v>
      </c>
      <c r="I202" s="32"/>
      <c r="J202" s="32"/>
      <c r="K202" s="32"/>
      <c r="L202" s="66"/>
    </row>
    <row r="203" spans="1:12" x14ac:dyDescent="0.25">
      <c r="A203" s="32"/>
      <c r="B203" s="32"/>
      <c r="C203" s="32"/>
      <c r="D203" s="32">
        <v>5</v>
      </c>
      <c r="E203" s="32">
        <v>2</v>
      </c>
      <c r="F203" s="32"/>
      <c r="G203" s="32"/>
      <c r="H203" s="66" t="str">
        <f>'BID I'!B942</f>
        <v>Belanja Barang Jasa</v>
      </c>
      <c r="I203" s="32"/>
      <c r="J203" s="32"/>
      <c r="K203" s="32"/>
      <c r="L203" s="66"/>
    </row>
    <row r="204" spans="1:12" ht="30" x14ac:dyDescent="0.25">
      <c r="A204" s="32"/>
      <c r="B204" s="32"/>
      <c r="C204" s="32"/>
      <c r="D204" s="32"/>
      <c r="E204" s="32"/>
      <c r="F204" s="32">
        <v>1</v>
      </c>
      <c r="G204" s="32"/>
      <c r="H204" s="66" t="str">
        <f>'BID I'!B943</f>
        <v>Belanja Barang Perlengkapan</v>
      </c>
      <c r="I204" s="32"/>
      <c r="J204" s="32"/>
      <c r="K204" s="32"/>
      <c r="L204" s="66"/>
    </row>
    <row r="205" spans="1:12" ht="30" x14ac:dyDescent="0.25">
      <c r="A205" s="32"/>
      <c r="B205" s="32"/>
      <c r="C205" s="32"/>
      <c r="D205" s="32"/>
      <c r="E205" s="32"/>
      <c r="F205" s="32"/>
      <c r="G205" s="1340" t="s">
        <v>2706</v>
      </c>
      <c r="H205" s="66" t="str">
        <f>'BID I'!B944</f>
        <v>Belanja Perlengkapan Cetak</v>
      </c>
      <c r="I205" s="32"/>
      <c r="J205" s="32"/>
      <c r="K205" s="174">
        <f>SUM('BID I'!F945:F947)</f>
        <v>33400000</v>
      </c>
      <c r="L205" s="66" t="s">
        <v>2627</v>
      </c>
    </row>
    <row r="206" spans="1:12" x14ac:dyDescent="0.25">
      <c r="A206" s="32"/>
      <c r="B206" s="32"/>
      <c r="C206" s="32"/>
      <c r="D206" s="32">
        <v>5</v>
      </c>
      <c r="E206" s="32">
        <v>2</v>
      </c>
      <c r="F206" s="32">
        <v>2</v>
      </c>
      <c r="G206" s="32"/>
      <c r="H206" s="66" t="str">
        <f>'BID I'!B949</f>
        <v xml:space="preserve">Belanja Jasa Honorarium </v>
      </c>
      <c r="I206" s="32"/>
      <c r="J206" s="32"/>
      <c r="K206" s="32"/>
      <c r="L206" s="66"/>
    </row>
    <row r="207" spans="1:12" ht="45" x14ac:dyDescent="0.25">
      <c r="A207" s="32"/>
      <c r="B207" s="32"/>
      <c r="C207" s="32"/>
      <c r="D207" s="32"/>
      <c r="E207" s="32"/>
      <c r="F207" s="32"/>
      <c r="G207" s="1340" t="s">
        <v>2688</v>
      </c>
      <c r="H207" s="66" t="str">
        <f>'BID I'!B950</f>
        <v>Belanja Jasa Honorarium yang Melaksanakan Kegiatan</v>
      </c>
      <c r="I207" s="32"/>
      <c r="J207" s="32"/>
      <c r="K207" s="174">
        <f>SUM('BID I'!F951:F952)</f>
        <v>700000</v>
      </c>
      <c r="L207" s="66" t="s">
        <v>2627</v>
      </c>
    </row>
    <row r="208" spans="1:12" ht="30" x14ac:dyDescent="0.25">
      <c r="A208" s="32"/>
      <c r="B208" s="32"/>
      <c r="C208" s="32"/>
      <c r="D208" s="32"/>
      <c r="E208" s="32"/>
      <c r="F208" s="32"/>
      <c r="G208" s="1340" t="s">
        <v>2706</v>
      </c>
      <c r="H208" s="66" t="str">
        <f>'BID I'!B954</f>
        <v>Belanja Jasa Honorarium Petugas</v>
      </c>
      <c r="I208" s="32"/>
      <c r="J208" s="32"/>
      <c r="K208" s="174">
        <f>SUM('BID I'!F955:F956)</f>
        <v>16500000</v>
      </c>
      <c r="L208" s="66" t="s">
        <v>2627</v>
      </c>
    </row>
    <row r="209" spans="1:12" ht="60" x14ac:dyDescent="0.25">
      <c r="A209" s="1344">
        <v>1</v>
      </c>
      <c r="B209" s="1344">
        <v>3</v>
      </c>
      <c r="C209" s="1344">
        <v>90</v>
      </c>
      <c r="D209" s="1344"/>
      <c r="E209" s="1344"/>
      <c r="F209" s="1344"/>
      <c r="G209" s="1344"/>
      <c r="H209" s="1345" t="str">
        <f>'BID I'!B975</f>
        <v>: Pengelolaan Administrasi dan Kearsipan pemerintahan Desa ( Pelatihan )</v>
      </c>
      <c r="I209" s="1344"/>
      <c r="J209" s="1344"/>
      <c r="K209" s="1347">
        <f>SUM(K210:K216)</f>
        <v>910000</v>
      </c>
      <c r="L209" s="1345" t="s">
        <v>2628</v>
      </c>
    </row>
    <row r="210" spans="1:12" x14ac:dyDescent="0.25">
      <c r="A210" s="32"/>
      <c r="B210" s="32"/>
      <c r="C210" s="32"/>
      <c r="D210" s="32">
        <v>5</v>
      </c>
      <c r="E210" s="32">
        <v>2</v>
      </c>
      <c r="F210" s="32"/>
      <c r="G210" s="32"/>
      <c r="H210" s="66" t="str">
        <f>'BID I'!B981</f>
        <v>Belanja Barang Jasa</v>
      </c>
      <c r="I210" s="32"/>
      <c r="J210" s="32"/>
      <c r="K210" s="32"/>
      <c r="L210" s="66"/>
    </row>
    <row r="211" spans="1:12" ht="30" x14ac:dyDescent="0.25">
      <c r="A211" s="32"/>
      <c r="B211" s="32"/>
      <c r="C211" s="32"/>
      <c r="D211" s="32"/>
      <c r="E211" s="32"/>
      <c r="F211" s="32">
        <v>1</v>
      </c>
      <c r="G211" s="32"/>
      <c r="H211" s="66" t="str">
        <f>'BID I'!B982</f>
        <v>Belanja Barang Perlengkapan</v>
      </c>
      <c r="I211" s="32"/>
      <c r="J211" s="32"/>
      <c r="K211" s="32"/>
      <c r="L211" s="66"/>
    </row>
    <row r="212" spans="1:12" ht="60" x14ac:dyDescent="0.25">
      <c r="A212" s="32"/>
      <c r="B212" s="32"/>
      <c r="C212" s="32"/>
      <c r="D212" s="32"/>
      <c r="E212" s="32"/>
      <c r="F212" s="32"/>
      <c r="G212" s="1340" t="s">
        <v>2706</v>
      </c>
      <c r="H212" s="66" t="str">
        <f>'BID I'!B983</f>
        <v>Belanja perlengkapan cetak/pengadaan - belanja barang cetak dan pengadaan</v>
      </c>
      <c r="I212" s="32"/>
      <c r="J212" s="32"/>
      <c r="K212" s="174">
        <f>SUM('BID I'!F984)</f>
        <v>90000</v>
      </c>
      <c r="L212" s="66" t="s">
        <v>2628</v>
      </c>
    </row>
    <row r="213" spans="1:12" ht="60" x14ac:dyDescent="0.25">
      <c r="A213" s="32"/>
      <c r="B213" s="32"/>
      <c r="C213" s="32"/>
      <c r="D213" s="32"/>
      <c r="E213" s="32"/>
      <c r="F213" s="32"/>
      <c r="G213" s="1340" t="s">
        <v>2705</v>
      </c>
      <c r="H213" s="66" t="str">
        <f>'BID I'!B986</f>
        <v>Belanja perlengkapan barang konsumsi (makan/minum)- Belanja Barang Konsumsi</v>
      </c>
      <c r="I213" s="32"/>
      <c r="J213" s="32"/>
      <c r="K213" s="174">
        <f>'BID I'!F987</f>
        <v>450000</v>
      </c>
      <c r="L213" s="66" t="s">
        <v>2628</v>
      </c>
    </row>
    <row r="214" spans="1:12" ht="30" x14ac:dyDescent="0.25">
      <c r="A214" s="32"/>
      <c r="B214" s="32"/>
      <c r="C214" s="32"/>
      <c r="D214" s="32"/>
      <c r="E214" s="32"/>
      <c r="F214" s="32"/>
      <c r="G214" s="1340" t="s">
        <v>2718</v>
      </c>
      <c r="H214" s="66" t="str">
        <f>'BID I'!B989</f>
        <v>Belanja Upakara, Upacara Dan Aci- Aci</v>
      </c>
      <c r="I214" s="32"/>
      <c r="J214" s="32"/>
      <c r="K214" s="174">
        <f>SUM('BID I'!F990:F992)</f>
        <v>70000</v>
      </c>
      <c r="L214" s="66" t="s">
        <v>2628</v>
      </c>
    </row>
    <row r="215" spans="1:12" x14ac:dyDescent="0.25">
      <c r="A215" s="32"/>
      <c r="B215" s="32"/>
      <c r="C215" s="32"/>
      <c r="D215" s="32">
        <v>5</v>
      </c>
      <c r="E215" s="32">
        <v>2</v>
      </c>
      <c r="F215" s="32">
        <v>2</v>
      </c>
      <c r="G215" s="32"/>
      <c r="H215" s="66" t="str">
        <f>'BID I'!B994</f>
        <v>Belanja  Jasa Honorarium</v>
      </c>
      <c r="I215" s="32"/>
      <c r="J215" s="32"/>
      <c r="K215" s="32"/>
      <c r="L215" s="66"/>
    </row>
    <row r="216" spans="1:12" ht="45" x14ac:dyDescent="0.25">
      <c r="A216" s="32"/>
      <c r="B216" s="32"/>
      <c r="C216" s="32"/>
      <c r="D216" s="32"/>
      <c r="E216" s="32"/>
      <c r="F216" s="32"/>
      <c r="G216" s="1340" t="s">
        <v>2706</v>
      </c>
      <c r="H216" s="66" t="str">
        <f>'BID I'!B995</f>
        <v>Belanja Jasa Honorarium Ahli/Profesi/Konsultan/Narasumber</v>
      </c>
      <c r="I216" s="32"/>
      <c r="J216" s="32"/>
      <c r="K216" s="174">
        <f>SUM('BID I'!F996)</f>
        <v>300000</v>
      </c>
      <c r="L216" s="66" t="s">
        <v>2628</v>
      </c>
    </row>
    <row r="217" spans="1:12" ht="75" x14ac:dyDescent="0.25">
      <c r="A217" s="1344">
        <v>1</v>
      </c>
      <c r="B217" s="1344">
        <v>3</v>
      </c>
      <c r="C217" s="1344">
        <v>90</v>
      </c>
      <c r="D217" s="1344"/>
      <c r="E217" s="1344"/>
      <c r="F217" s="1344"/>
      <c r="G217" s="1344"/>
      <c r="H217" s="1345" t="str">
        <f>'BID I'!B1013</f>
        <v>: Pendataan Administrasi Penduduk Non Permanen (Penertiban Penduduk Pendatang dan Sidak Dialogis)</v>
      </c>
      <c r="I217" s="1344"/>
      <c r="J217" s="1344"/>
      <c r="K217" s="1347">
        <f>SUM(K218:K224)</f>
        <v>41205000</v>
      </c>
      <c r="L217" s="1345" t="s">
        <v>1682</v>
      </c>
    </row>
    <row r="218" spans="1:12" x14ac:dyDescent="0.25">
      <c r="A218" s="32"/>
      <c r="B218" s="32"/>
      <c r="C218" s="32"/>
      <c r="D218" s="32">
        <v>5</v>
      </c>
      <c r="E218" s="32">
        <v>2</v>
      </c>
      <c r="F218" s="32"/>
      <c r="G218" s="32"/>
      <c r="H218" s="66" t="str">
        <f>'BID I'!B1019</f>
        <v>Belanja Barang dan Jasa</v>
      </c>
      <c r="I218" s="32"/>
      <c r="J218" s="32"/>
      <c r="K218" s="32"/>
      <c r="L218" s="66"/>
    </row>
    <row r="219" spans="1:12" ht="30" x14ac:dyDescent="0.25">
      <c r="A219" s="32"/>
      <c r="B219" s="32"/>
      <c r="C219" s="32"/>
      <c r="D219" s="32"/>
      <c r="E219" s="32"/>
      <c r="F219" s="32">
        <v>1</v>
      </c>
      <c r="G219" s="32"/>
      <c r="H219" s="66" t="str">
        <f>'BID I'!B1020</f>
        <v>Belanja Barang Perlengkapan</v>
      </c>
      <c r="I219" s="32"/>
      <c r="J219" s="32"/>
      <c r="K219" s="32"/>
      <c r="L219" s="66"/>
    </row>
    <row r="220" spans="1:12" ht="60" x14ac:dyDescent="0.25">
      <c r="A220" s="32"/>
      <c r="B220" s="32"/>
      <c r="C220" s="32"/>
      <c r="D220" s="32"/>
      <c r="E220" s="32"/>
      <c r="F220" s="32"/>
      <c r="G220" s="1340" t="s">
        <v>2706</v>
      </c>
      <c r="H220" s="66" t="str">
        <f>'BID I'!B1021</f>
        <v>Belanja perlengkapan cetak/pengadaan - belanja barang cetak dan pengadaan</v>
      </c>
      <c r="I220" s="32"/>
      <c r="J220" s="32"/>
      <c r="K220" s="174">
        <f>SUM('BID I'!F1022)</f>
        <v>500000</v>
      </c>
      <c r="L220" s="66" t="s">
        <v>1682</v>
      </c>
    </row>
    <row r="221" spans="1:12" ht="30" x14ac:dyDescent="0.25">
      <c r="A221" s="32"/>
      <c r="B221" s="32"/>
      <c r="C221" s="32"/>
      <c r="D221" s="32"/>
      <c r="E221" s="32"/>
      <c r="F221" s="32"/>
      <c r="G221" s="1340" t="s">
        <v>2705</v>
      </c>
      <c r="H221" s="66" t="str">
        <f>'BID I'!B1024</f>
        <v>Belanja Perlengkapan Barang Konsumsi</v>
      </c>
      <c r="I221" s="32"/>
      <c r="J221" s="32"/>
      <c r="K221" s="174">
        <f>SUM('BID I'!F1025:F1027)</f>
        <v>10020000</v>
      </c>
      <c r="L221" s="66" t="s">
        <v>1682</v>
      </c>
    </row>
    <row r="222" spans="1:12" x14ac:dyDescent="0.25">
      <c r="A222" s="32"/>
      <c r="B222" s="32"/>
      <c r="C222" s="32"/>
      <c r="D222" s="32"/>
      <c r="E222" s="32"/>
      <c r="F222" s="32"/>
      <c r="G222" s="1340" t="s">
        <v>2708</v>
      </c>
      <c r="H222" s="66" t="str">
        <f>'BID I'!B1029</f>
        <v>Belanaja Bahan Meterial</v>
      </c>
      <c r="I222" s="32"/>
      <c r="J222" s="32"/>
      <c r="K222" s="513">
        <f>SUM('BID I'!F1030:F1031)</f>
        <v>3485000</v>
      </c>
      <c r="L222" s="66" t="s">
        <v>1682</v>
      </c>
    </row>
    <row r="223" spans="1:12" x14ac:dyDescent="0.25">
      <c r="A223" s="32"/>
      <c r="B223" s="32"/>
      <c r="C223" s="32"/>
      <c r="D223" s="32">
        <v>5</v>
      </c>
      <c r="E223" s="32">
        <v>2</v>
      </c>
      <c r="F223" s="32">
        <v>2</v>
      </c>
      <c r="G223" s="32"/>
      <c r="H223" s="66" t="str">
        <f>'BID I'!B1033</f>
        <v>Belanja Jasa Honorarium</v>
      </c>
      <c r="I223" s="32"/>
      <c r="J223" s="32"/>
      <c r="K223" s="32"/>
      <c r="L223" s="66"/>
    </row>
    <row r="224" spans="1:12" ht="30" x14ac:dyDescent="0.25">
      <c r="A224" s="32"/>
      <c r="B224" s="32"/>
      <c r="C224" s="32"/>
      <c r="D224" s="32"/>
      <c r="E224" s="32"/>
      <c r="F224" s="32"/>
      <c r="G224" s="1340" t="s">
        <v>2706</v>
      </c>
      <c r="H224" s="66" t="str">
        <f>'BID I'!B1034</f>
        <v>Belanja Jasa Honorium Petugas</v>
      </c>
      <c r="I224" s="32"/>
      <c r="J224" s="32"/>
      <c r="K224" s="513">
        <f>SUM('BID I'!F1035)</f>
        <v>27200000</v>
      </c>
      <c r="L224" s="66" t="s">
        <v>1682</v>
      </c>
    </row>
    <row r="225" spans="1:13" ht="60" x14ac:dyDescent="0.25">
      <c r="A225" s="1344">
        <v>1</v>
      </c>
      <c r="B225" s="1344">
        <v>4</v>
      </c>
      <c r="C225" s="1346" t="s">
        <v>2688</v>
      </c>
      <c r="D225" s="1344"/>
      <c r="E225" s="1344"/>
      <c r="F225" s="1344"/>
      <c r="G225" s="1344"/>
      <c r="H225" s="1345" t="str">
        <f>'BID I'!B1054</f>
        <v>Penyelenggaraan Musyawarah Desa/ Pembahasan APBDes (Musrenbangdes)</v>
      </c>
      <c r="I225" s="1344"/>
      <c r="J225" s="1344"/>
      <c r="K225" s="1347">
        <f>SUM(K226:K234)</f>
        <v>22595200</v>
      </c>
      <c r="L225" s="1345" t="s">
        <v>2620</v>
      </c>
    </row>
    <row r="226" spans="1:13" x14ac:dyDescent="0.25">
      <c r="A226" s="32"/>
      <c r="B226" s="32"/>
      <c r="C226" s="32"/>
      <c r="D226" s="32">
        <v>5</v>
      </c>
      <c r="E226" s="32">
        <v>2</v>
      </c>
      <c r="F226" s="32"/>
      <c r="G226" s="32"/>
      <c r="H226" s="66" t="str">
        <f>'BID I'!B1060</f>
        <v>Belanja Barang Jasa</v>
      </c>
      <c r="I226" s="32"/>
      <c r="J226" s="32"/>
      <c r="K226" s="32"/>
      <c r="L226" s="66"/>
    </row>
    <row r="227" spans="1:13" ht="30" x14ac:dyDescent="0.25">
      <c r="A227" s="32"/>
      <c r="B227" s="32"/>
      <c r="C227" s="32"/>
      <c r="D227" s="32"/>
      <c r="E227" s="32"/>
      <c r="F227" s="32">
        <v>1</v>
      </c>
      <c r="G227" s="32"/>
      <c r="H227" s="66" t="str">
        <f>'BID I'!B1061</f>
        <v>Belanja Barang Perlengkapan</v>
      </c>
      <c r="I227" s="32"/>
      <c r="J227" s="32"/>
      <c r="K227" s="32"/>
      <c r="L227" s="66"/>
    </row>
    <row r="228" spans="1:13" ht="60" x14ac:dyDescent="0.25">
      <c r="A228" s="32"/>
      <c r="B228" s="32"/>
      <c r="C228" s="32"/>
      <c r="D228" s="32"/>
      <c r="E228" s="32"/>
      <c r="F228" s="32"/>
      <c r="G228" s="1340" t="s">
        <v>2706</v>
      </c>
      <c r="H228" s="66" t="str">
        <f>'BID I'!B1062</f>
        <v>Belanja perlengkapan cetak/pengadaan - belanja barang cetak dan pengadaan</v>
      </c>
      <c r="I228" s="32"/>
      <c r="J228" s="32"/>
      <c r="K228" s="174">
        <f>SUM('BID I'!F1063)</f>
        <v>255200</v>
      </c>
      <c r="L228" s="66" t="s">
        <v>2620</v>
      </c>
    </row>
    <row r="229" spans="1:13" ht="60" x14ac:dyDescent="0.25">
      <c r="A229" s="32"/>
      <c r="B229" s="32"/>
      <c r="C229" s="32"/>
      <c r="D229" s="32"/>
      <c r="E229" s="32"/>
      <c r="F229" s="32"/>
      <c r="G229" s="1340" t="s">
        <v>2705</v>
      </c>
      <c r="H229" s="66" t="str">
        <f>'BID I'!B1065</f>
        <v>Belanja perlengkapan barang konsumsi (makan/minum)- Belanja Barang Konsumsi</v>
      </c>
      <c r="I229" s="32"/>
      <c r="J229" s="32"/>
      <c r="K229" s="174">
        <f>SUM('BID I'!F1066)</f>
        <v>15000000</v>
      </c>
      <c r="L229" s="66" t="s">
        <v>2620</v>
      </c>
    </row>
    <row r="230" spans="1:13" ht="30" x14ac:dyDescent="0.25">
      <c r="A230" s="32"/>
      <c r="B230" s="32"/>
      <c r="C230" s="32"/>
      <c r="D230" s="32"/>
      <c r="E230" s="32"/>
      <c r="F230" s="32"/>
      <c r="G230" s="32">
        <v>90</v>
      </c>
      <c r="H230" s="66" t="str">
        <f>'BID I'!B1068</f>
        <v>Belanja Upakara, Upacara Dan Aci- Aci</v>
      </c>
      <c r="I230" s="32"/>
      <c r="J230" s="32"/>
      <c r="K230" s="174">
        <f>SUM('BID I'!F1069:F1072)</f>
        <v>340000</v>
      </c>
      <c r="L230" s="66" t="s">
        <v>2620</v>
      </c>
    </row>
    <row r="231" spans="1:13" x14ac:dyDescent="0.25">
      <c r="A231" s="32"/>
      <c r="B231" s="32"/>
      <c r="C231" s="32"/>
      <c r="D231" s="32">
        <v>5</v>
      </c>
      <c r="E231" s="32">
        <v>2</v>
      </c>
      <c r="F231" s="32">
        <v>2</v>
      </c>
      <c r="G231" s="32"/>
      <c r="H231" s="66" t="str">
        <f>'BID I'!B1074</f>
        <v>Belanja  Jasa Honorarium</v>
      </c>
      <c r="I231" s="32"/>
      <c r="J231" s="32"/>
      <c r="K231" s="174"/>
      <c r="L231" s="66"/>
    </row>
    <row r="232" spans="1:13" ht="30" x14ac:dyDescent="0.25">
      <c r="A232" s="32"/>
      <c r="B232" s="32"/>
      <c r="C232" s="32"/>
      <c r="D232" s="32"/>
      <c r="E232" s="32"/>
      <c r="F232" s="32"/>
      <c r="G232" s="1340" t="s">
        <v>2706</v>
      </c>
      <c r="H232" s="66" t="str">
        <f>'BID I'!B1075</f>
        <v>Belanja Jasa Honorarium Petugas</v>
      </c>
      <c r="I232" s="32"/>
      <c r="J232" s="32"/>
      <c r="K232" s="174">
        <f>'BID I'!F1076</f>
        <v>200000</v>
      </c>
      <c r="L232" s="66" t="s">
        <v>2620</v>
      </c>
    </row>
    <row r="233" spans="1:13" ht="45" x14ac:dyDescent="0.25">
      <c r="A233" s="32"/>
      <c r="B233" s="32"/>
      <c r="C233" s="32"/>
      <c r="D233" s="32">
        <v>5</v>
      </c>
      <c r="E233" s="32">
        <v>2</v>
      </c>
      <c r="F233" s="32">
        <v>7</v>
      </c>
      <c r="G233" s="32"/>
      <c r="H233" s="66" t="str">
        <f>'BID I'!B1077</f>
        <v>Belanja Barang Jasa yang diserahkan kepada masyarakat</v>
      </c>
      <c r="I233" s="32"/>
      <c r="J233" s="32"/>
      <c r="K233" s="32"/>
      <c r="L233" s="66"/>
    </row>
    <row r="234" spans="1:13" x14ac:dyDescent="0.25">
      <c r="A234" s="32"/>
      <c r="B234" s="32"/>
      <c r="C234" s="32"/>
      <c r="D234" s="32"/>
      <c r="E234" s="32"/>
      <c r="F234" s="32"/>
      <c r="G234" s="32">
        <v>91</v>
      </c>
      <c r="H234" s="32" t="str">
        <f>'BID I'!B1078</f>
        <v>Belanja uang Saku</v>
      </c>
      <c r="I234" s="32"/>
      <c r="J234" s="32"/>
      <c r="K234" s="174">
        <f>SUM('BID I'!F1079)</f>
        <v>6800000</v>
      </c>
      <c r="L234" s="66" t="s">
        <v>2620</v>
      </c>
    </row>
    <row r="235" spans="1:13" ht="105" x14ac:dyDescent="0.25">
      <c r="A235" s="1344">
        <v>1</v>
      </c>
      <c r="B235" s="1344">
        <v>4</v>
      </c>
      <c r="C235" s="1346" t="s">
        <v>2688</v>
      </c>
      <c r="D235" s="1344"/>
      <c r="E235" s="1344"/>
      <c r="F235" s="1344"/>
      <c r="G235" s="1344"/>
      <c r="H235" s="1345" t="str">
        <f>'BID I'!B1098</f>
        <v>Penyelenggaraan Musyawarah Desa/ Pembahasan APBDes (Musdes, Musrenbangdes/pra musrenbangdes, dll yang bersifat reguler )</v>
      </c>
      <c r="I235" s="1344"/>
      <c r="J235" s="1344"/>
      <c r="K235" s="1347">
        <f>SUM(K236:K244)</f>
        <v>41416000</v>
      </c>
      <c r="L235" s="1345" t="s">
        <v>1682</v>
      </c>
      <c r="M235" s="175">
        <f>K235-41416000</f>
        <v>0</v>
      </c>
    </row>
    <row r="236" spans="1:13" x14ac:dyDescent="0.25">
      <c r="A236" s="32"/>
      <c r="B236" s="32"/>
      <c r="C236" s="32"/>
      <c r="D236" s="32">
        <v>5</v>
      </c>
      <c r="E236" s="32">
        <v>2</v>
      </c>
      <c r="F236" s="32"/>
      <c r="G236" s="32"/>
      <c r="H236" s="66" t="str">
        <f>'BID I'!B1104</f>
        <v>Belanja Barang Jasa</v>
      </c>
      <c r="I236" s="32"/>
      <c r="J236" s="32"/>
      <c r="K236" s="32"/>
      <c r="L236" s="66"/>
    </row>
    <row r="237" spans="1:13" ht="30" x14ac:dyDescent="0.25">
      <c r="A237" s="32"/>
      <c r="B237" s="32"/>
      <c r="C237" s="32"/>
      <c r="D237" s="32"/>
      <c r="E237" s="32"/>
      <c r="F237" s="32">
        <v>1</v>
      </c>
      <c r="G237" s="32"/>
      <c r="H237" s="66" t="str">
        <f>'BID I'!B1105</f>
        <v>Belanja Barang Perlengkapan</v>
      </c>
      <c r="I237" s="32"/>
      <c r="J237" s="32"/>
      <c r="K237" s="32"/>
      <c r="L237" s="66"/>
    </row>
    <row r="238" spans="1:13" ht="60" x14ac:dyDescent="0.25">
      <c r="A238" s="32"/>
      <c r="B238" s="32"/>
      <c r="C238" s="32"/>
      <c r="D238" s="32"/>
      <c r="E238" s="32"/>
      <c r="F238" s="32"/>
      <c r="G238" s="1340" t="s">
        <v>2706</v>
      </c>
      <c r="H238" s="66" t="str">
        <f>'BID I'!B1106</f>
        <v>Belanja perlengkapan cetak/pengadaan - belanja barang cetak dan pengadaan</v>
      </c>
      <c r="I238" s="32"/>
      <c r="J238" s="32"/>
      <c r="K238" s="174">
        <f>SUM('BID I'!F1107)</f>
        <v>360000</v>
      </c>
      <c r="L238" s="66" t="s">
        <v>1682</v>
      </c>
    </row>
    <row r="239" spans="1:13" ht="60" x14ac:dyDescent="0.25">
      <c r="A239" s="32"/>
      <c r="B239" s="32"/>
      <c r="C239" s="32"/>
      <c r="D239" s="32"/>
      <c r="E239" s="32"/>
      <c r="F239" s="32"/>
      <c r="G239" s="1340" t="s">
        <v>2705</v>
      </c>
      <c r="H239" s="66" t="str">
        <f>'BID I'!B1109</f>
        <v>Belanja perlengkapan barang konsumsi (makan/minum)- Belanja Barang Konsumsi</v>
      </c>
      <c r="I239" s="32"/>
      <c r="J239" s="32"/>
      <c r="K239" s="174">
        <f>'BID I'!F1110</f>
        <v>24000000</v>
      </c>
      <c r="L239" s="66" t="s">
        <v>1682</v>
      </c>
    </row>
    <row r="240" spans="1:13" ht="30" x14ac:dyDescent="0.25">
      <c r="A240" s="32"/>
      <c r="B240" s="32"/>
      <c r="C240" s="32"/>
      <c r="D240" s="32"/>
      <c r="E240" s="32"/>
      <c r="F240" s="32"/>
      <c r="G240" s="32">
        <v>90</v>
      </c>
      <c r="H240" s="66" t="str">
        <f>'BID I'!B1112</f>
        <v>Belanja Upakara, Upacara Dan Aci- Aci</v>
      </c>
      <c r="I240" s="32"/>
      <c r="J240" s="32"/>
      <c r="K240" s="174">
        <f>SUM('BID I'!F1113:F1116)</f>
        <v>656000</v>
      </c>
      <c r="L240" s="66" t="s">
        <v>1682</v>
      </c>
    </row>
    <row r="241" spans="1:12" x14ac:dyDescent="0.25">
      <c r="A241" s="32"/>
      <c r="B241" s="32"/>
      <c r="C241" s="32"/>
      <c r="D241" s="32">
        <v>5</v>
      </c>
      <c r="E241" s="32">
        <v>2</v>
      </c>
      <c r="F241" s="32">
        <v>2</v>
      </c>
      <c r="G241" s="32"/>
      <c r="H241" s="66" t="str">
        <f>'BID I'!B1074</f>
        <v>Belanja  Jasa Honorarium</v>
      </c>
      <c r="I241" s="32"/>
      <c r="J241" s="32"/>
      <c r="K241" s="174"/>
      <c r="L241" s="66"/>
    </row>
    <row r="242" spans="1:12" ht="30" x14ac:dyDescent="0.25">
      <c r="A242" s="32"/>
      <c r="B242" s="32"/>
      <c r="C242" s="32"/>
      <c r="D242" s="32"/>
      <c r="E242" s="32"/>
      <c r="F242" s="32"/>
      <c r="G242" s="1340" t="s">
        <v>2706</v>
      </c>
      <c r="H242" s="66" t="str">
        <f>'BID I'!B1075</f>
        <v>Belanja Jasa Honorarium Petugas</v>
      </c>
      <c r="I242" s="32"/>
      <c r="J242" s="32"/>
      <c r="K242" s="174">
        <f>'BID I'!F1120</f>
        <v>400000</v>
      </c>
      <c r="L242" s="66" t="s">
        <v>1682</v>
      </c>
    </row>
    <row r="243" spans="1:12" ht="45" x14ac:dyDescent="0.25">
      <c r="A243" s="32"/>
      <c r="B243" s="32"/>
      <c r="C243" s="32"/>
      <c r="D243" s="32">
        <v>5</v>
      </c>
      <c r="E243" s="32">
        <v>2</v>
      </c>
      <c r="F243" s="32">
        <v>7</v>
      </c>
      <c r="G243" s="32"/>
      <c r="H243" s="66" t="str">
        <f>'BID I'!B1122</f>
        <v>Belanja Barang Jasa yang diserahkan kepada masyarakat</v>
      </c>
      <c r="I243" s="32"/>
      <c r="J243" s="32"/>
      <c r="K243" s="32"/>
      <c r="L243" s="66"/>
    </row>
    <row r="244" spans="1:12" x14ac:dyDescent="0.25">
      <c r="A244" s="32"/>
      <c r="B244" s="32"/>
      <c r="C244" s="32"/>
      <c r="D244" s="32"/>
      <c r="E244" s="32"/>
      <c r="F244" s="32"/>
      <c r="G244" s="32">
        <v>91</v>
      </c>
      <c r="H244" s="66" t="str">
        <f>'BID I'!B1123</f>
        <v>Belanja Uang Saku</v>
      </c>
      <c r="I244" s="32"/>
      <c r="J244" s="32"/>
      <c r="K244" s="174">
        <f>SUM('BID I'!F1124)</f>
        <v>16000000</v>
      </c>
      <c r="L244" s="66" t="s">
        <v>1682</v>
      </c>
    </row>
    <row r="245" spans="1:12" ht="60" x14ac:dyDescent="0.25">
      <c r="A245" s="1344">
        <v>1</v>
      </c>
      <c r="B245" s="1344">
        <v>4</v>
      </c>
      <c r="C245" s="1346" t="s">
        <v>2702</v>
      </c>
      <c r="D245" s="1344"/>
      <c r="E245" s="1344"/>
      <c r="F245" s="1344"/>
      <c r="G245" s="1344"/>
      <c r="H245" s="1345" t="str">
        <f>'BID I'!B1143</f>
        <v>: Penyelenggaraan Musyawarah Desa lainya (yang bersifat non reguler )</v>
      </c>
      <c r="I245" s="1344"/>
      <c r="J245" s="1344"/>
      <c r="K245" s="1347">
        <f>SUM(K246:K254)</f>
        <v>41412000</v>
      </c>
      <c r="L245" s="1345" t="s">
        <v>1682</v>
      </c>
    </row>
    <row r="246" spans="1:12" x14ac:dyDescent="0.25">
      <c r="A246" s="32"/>
      <c r="B246" s="32"/>
      <c r="C246" s="32"/>
      <c r="D246" s="32">
        <v>5</v>
      </c>
      <c r="E246" s="32">
        <v>2</v>
      </c>
      <c r="F246" s="32"/>
      <c r="G246" s="32"/>
      <c r="H246" s="66" t="str">
        <f>'BID I'!B1149</f>
        <v>Belanja Barang Jasa</v>
      </c>
      <c r="I246" s="32"/>
      <c r="J246" s="32"/>
      <c r="K246" s="32"/>
      <c r="L246" s="66"/>
    </row>
    <row r="247" spans="1:12" ht="30" x14ac:dyDescent="0.25">
      <c r="A247" s="32"/>
      <c r="B247" s="32"/>
      <c r="C247" s="32"/>
      <c r="D247" s="32"/>
      <c r="E247" s="32"/>
      <c r="F247" s="32">
        <v>1</v>
      </c>
      <c r="G247" s="32"/>
      <c r="H247" s="66" t="str">
        <f>'BID I'!B1150</f>
        <v>Belanja Barang Perlengkapan</v>
      </c>
      <c r="I247" s="32"/>
      <c r="J247" s="32"/>
      <c r="K247" s="32"/>
      <c r="L247" s="66"/>
    </row>
    <row r="248" spans="1:12" ht="60" x14ac:dyDescent="0.25">
      <c r="A248" s="32"/>
      <c r="B248" s="32"/>
      <c r="C248" s="32"/>
      <c r="D248" s="32"/>
      <c r="E248" s="32"/>
      <c r="F248" s="32"/>
      <c r="G248" s="1340" t="s">
        <v>2706</v>
      </c>
      <c r="H248" s="66" t="str">
        <f>'BID I'!B1151</f>
        <v>Belanja perlengkapan cetak/pengadaan - belanja barang cetak dan pengadaan</v>
      </c>
      <c r="I248" s="32"/>
      <c r="J248" s="32"/>
      <c r="K248" s="174">
        <f>SUM('BID I'!F1152)</f>
        <v>360000</v>
      </c>
      <c r="L248" s="66" t="s">
        <v>1682</v>
      </c>
    </row>
    <row r="249" spans="1:12" ht="60" x14ac:dyDescent="0.25">
      <c r="A249" s="32"/>
      <c r="B249" s="32"/>
      <c r="C249" s="32"/>
      <c r="D249" s="32"/>
      <c r="E249" s="32"/>
      <c r="F249" s="32"/>
      <c r="G249" s="1340" t="s">
        <v>2705</v>
      </c>
      <c r="H249" s="66" t="str">
        <f>'BID I'!B1154</f>
        <v>Belanja perlengkapan barang konsumsi (makan/minum)- Belanja Barang Konsumsi</v>
      </c>
      <c r="I249" s="32"/>
      <c r="J249" s="32"/>
      <c r="K249" s="174">
        <f>'BID I'!F1155</f>
        <v>24000000</v>
      </c>
      <c r="L249" s="66" t="s">
        <v>1682</v>
      </c>
    </row>
    <row r="250" spans="1:12" ht="30" x14ac:dyDescent="0.25">
      <c r="A250" s="32"/>
      <c r="B250" s="32"/>
      <c r="C250" s="32"/>
      <c r="D250" s="32"/>
      <c r="E250" s="32"/>
      <c r="F250" s="32"/>
      <c r="G250" s="32">
        <v>90</v>
      </c>
      <c r="H250" s="66" t="str">
        <f>'BID I'!B1157</f>
        <v>Belanja Upakara, Upacara Dan Aci- Aci</v>
      </c>
      <c r="I250" s="32"/>
      <c r="J250" s="32"/>
      <c r="K250" s="174">
        <f>SUM('BID I'!F1158:F1161)</f>
        <v>652000</v>
      </c>
      <c r="L250" s="66" t="s">
        <v>1682</v>
      </c>
    </row>
    <row r="251" spans="1:12" x14ac:dyDescent="0.25">
      <c r="A251" s="32"/>
      <c r="B251" s="32"/>
      <c r="C251" s="32"/>
      <c r="D251" s="32">
        <v>5</v>
      </c>
      <c r="E251" s="32">
        <v>2</v>
      </c>
      <c r="F251" s="32">
        <v>2</v>
      </c>
      <c r="G251" s="32"/>
      <c r="H251" s="66" t="str">
        <f>'BID I'!B1163</f>
        <v>Belanja  Jasa Honorarium</v>
      </c>
      <c r="I251" s="32"/>
      <c r="J251" s="32"/>
      <c r="K251" s="32"/>
      <c r="L251" s="66"/>
    </row>
    <row r="252" spans="1:12" ht="30" x14ac:dyDescent="0.25">
      <c r="A252" s="32"/>
      <c r="B252" s="32"/>
      <c r="C252" s="32"/>
      <c r="D252" s="32"/>
      <c r="E252" s="32"/>
      <c r="F252" s="32"/>
      <c r="G252" s="1340" t="s">
        <v>2706</v>
      </c>
      <c r="H252" s="66" t="str">
        <f>'BID I'!B1164</f>
        <v>Belanja Jasa Honorarium Petugas</v>
      </c>
      <c r="I252" s="32"/>
      <c r="J252" s="32"/>
      <c r="K252" s="174">
        <f>SUM('BID I'!F1165)</f>
        <v>400000</v>
      </c>
      <c r="L252" s="66" t="s">
        <v>1682</v>
      </c>
    </row>
    <row r="253" spans="1:12" ht="45" x14ac:dyDescent="0.25">
      <c r="A253" s="32"/>
      <c r="B253" s="32"/>
      <c r="C253" s="32"/>
      <c r="D253" s="32">
        <v>5</v>
      </c>
      <c r="E253" s="32">
        <v>2</v>
      </c>
      <c r="F253" s="32">
        <v>7</v>
      </c>
      <c r="G253" s="32"/>
      <c r="H253" s="66" t="str">
        <f>'BID I'!B1167</f>
        <v>Belanja Barang Jasa yang diserahkan kepada masyarakat</v>
      </c>
      <c r="I253" s="32"/>
      <c r="J253" s="32"/>
      <c r="K253" s="32"/>
      <c r="L253" s="66"/>
    </row>
    <row r="254" spans="1:12" x14ac:dyDescent="0.25">
      <c r="A254" s="32"/>
      <c r="B254" s="32"/>
      <c r="C254" s="32"/>
      <c r="D254" s="32"/>
      <c r="E254" s="32"/>
      <c r="F254" s="32"/>
      <c r="G254" s="32">
        <v>91</v>
      </c>
      <c r="H254" s="32" t="str">
        <f>'BID I'!B1168</f>
        <v>Belanja Uang Saku</v>
      </c>
      <c r="I254" s="32"/>
      <c r="J254" s="32"/>
      <c r="K254" s="174">
        <f>SUM('BID I'!F1169)</f>
        <v>16000000</v>
      </c>
      <c r="L254" s="66" t="s">
        <v>1682</v>
      </c>
    </row>
    <row r="255" spans="1:12" ht="45" x14ac:dyDescent="0.25">
      <c r="A255" s="1344">
        <v>1</v>
      </c>
      <c r="B255" s="1344">
        <v>4</v>
      </c>
      <c r="C255" s="1346" t="s">
        <v>2703</v>
      </c>
      <c r="D255" s="1344"/>
      <c r="E255" s="1344"/>
      <c r="F255" s="1344"/>
      <c r="G255" s="1344"/>
      <c r="H255" s="1345" t="str">
        <f>'BID I'!B1219</f>
        <v>Penyusunan Dokumen Perencanaan Desa (RKP Desa 2025)</v>
      </c>
      <c r="I255" s="1344"/>
      <c r="J255" s="1344"/>
      <c r="K255" s="1347">
        <f>SUM(K256:K261)</f>
        <v>25930000</v>
      </c>
      <c r="L255" s="1345" t="s">
        <v>1682</v>
      </c>
    </row>
    <row r="256" spans="1:12" x14ac:dyDescent="0.25">
      <c r="A256" s="32"/>
      <c r="B256" s="32"/>
      <c r="C256" s="32"/>
      <c r="D256" s="32">
        <v>5</v>
      </c>
      <c r="E256" s="32">
        <v>2</v>
      </c>
      <c r="F256" s="32"/>
      <c r="G256" s="32"/>
      <c r="H256" s="66" t="str">
        <f>'BID I'!B1225</f>
        <v>Belanja Barang Jasa</v>
      </c>
      <c r="I256" s="32"/>
      <c r="J256" s="32"/>
      <c r="K256" s="32"/>
      <c r="L256" s="66"/>
    </row>
    <row r="257" spans="1:12" ht="30" x14ac:dyDescent="0.25">
      <c r="A257" s="32"/>
      <c r="B257" s="32"/>
      <c r="C257" s="32"/>
      <c r="D257" s="32"/>
      <c r="E257" s="32"/>
      <c r="F257" s="32">
        <v>1</v>
      </c>
      <c r="G257" s="32"/>
      <c r="H257" s="66" t="str">
        <f>'BID I'!B1226</f>
        <v>Belanja Barang Perlengkapan</v>
      </c>
      <c r="I257" s="32"/>
      <c r="J257" s="32"/>
      <c r="K257" s="32"/>
      <c r="L257" s="66"/>
    </row>
    <row r="258" spans="1:12" ht="60" x14ac:dyDescent="0.25">
      <c r="A258" s="32"/>
      <c r="B258" s="32"/>
      <c r="C258" s="32"/>
      <c r="D258" s="32"/>
      <c r="E258" s="32"/>
      <c r="F258" s="32"/>
      <c r="G258" s="1340" t="s">
        <v>2706</v>
      </c>
      <c r="H258" s="66" t="str">
        <f>'BID I'!B1227</f>
        <v>Belanja perlengkapan cetak/pengadaan - belanja barang cetak dan pengadaan</v>
      </c>
      <c r="I258" s="32"/>
      <c r="J258" s="32"/>
      <c r="K258" s="174">
        <f>SUM('BID I'!F1228)</f>
        <v>1800000</v>
      </c>
      <c r="L258" s="66" t="s">
        <v>1682</v>
      </c>
    </row>
    <row r="259" spans="1:12" ht="60" x14ac:dyDescent="0.25">
      <c r="A259" s="32"/>
      <c r="B259" s="32"/>
      <c r="C259" s="32"/>
      <c r="D259" s="32"/>
      <c r="E259" s="32"/>
      <c r="F259" s="32"/>
      <c r="G259" s="1340" t="s">
        <v>2705</v>
      </c>
      <c r="H259" s="66" t="str">
        <f>'BID I'!B1230</f>
        <v>Belanja perlengkapan barang konsumsi (makan/minum)- Belanja Barang Konsumsi</v>
      </c>
      <c r="I259" s="32"/>
      <c r="J259" s="32"/>
      <c r="K259" s="174">
        <f>SUM('BID I'!F1231)</f>
        <v>1980000</v>
      </c>
      <c r="L259" s="66" t="s">
        <v>1682</v>
      </c>
    </row>
    <row r="260" spans="1:12" x14ac:dyDescent="0.25">
      <c r="A260" s="32"/>
      <c r="B260" s="32"/>
      <c r="C260" s="32"/>
      <c r="D260" s="32">
        <v>5</v>
      </c>
      <c r="E260" s="32">
        <v>2</v>
      </c>
      <c r="F260" s="32">
        <v>2</v>
      </c>
      <c r="G260" s="32"/>
      <c r="H260" s="66" t="str">
        <f>'BID I'!B1233</f>
        <v>Belanja Jasa Honorarium</v>
      </c>
      <c r="I260" s="32"/>
      <c r="J260" s="32"/>
      <c r="K260" s="32"/>
      <c r="L260" s="66"/>
    </row>
    <row r="261" spans="1:12" ht="45" x14ac:dyDescent="0.25">
      <c r="A261" s="32"/>
      <c r="B261" s="32"/>
      <c r="C261" s="32"/>
      <c r="D261" s="32"/>
      <c r="E261" s="32"/>
      <c r="F261" s="32"/>
      <c r="G261" s="1340" t="s">
        <v>2688</v>
      </c>
      <c r="H261" s="66" t="str">
        <f>'BID I'!B1234</f>
        <v>Belanja Jasa Honorarium Tim yang melaksanakan kegiatan</v>
      </c>
      <c r="I261" s="32"/>
      <c r="J261" s="32"/>
      <c r="K261" s="174">
        <f>SUM('BID I'!F1236:F1243)</f>
        <v>22150000</v>
      </c>
      <c r="L261" s="66" t="s">
        <v>1682</v>
      </c>
    </row>
    <row r="262" spans="1:12" ht="45" x14ac:dyDescent="0.25">
      <c r="A262" s="1344">
        <v>1</v>
      </c>
      <c r="B262" s="1344">
        <v>4</v>
      </c>
      <c r="C262" s="1346" t="s">
        <v>2704</v>
      </c>
      <c r="D262" s="1344"/>
      <c r="E262" s="1344"/>
      <c r="F262" s="1344"/>
      <c r="G262" s="1344"/>
      <c r="H262" s="1345" t="str">
        <f>'BID I'!B1260</f>
        <v>: Penyusunan dokumen keuangan Desa (APBDesa 2025 )</v>
      </c>
      <c r="I262" s="1344"/>
      <c r="J262" s="1344"/>
      <c r="K262" s="1347">
        <f>SUM(K263:K266)</f>
        <v>5175000</v>
      </c>
      <c r="L262" s="1345" t="s">
        <v>2627</v>
      </c>
    </row>
    <row r="263" spans="1:12" x14ac:dyDescent="0.25">
      <c r="A263" s="32"/>
      <c r="B263" s="32"/>
      <c r="C263" s="32"/>
      <c r="D263" s="32">
        <v>5</v>
      </c>
      <c r="E263" s="32">
        <v>2</v>
      </c>
      <c r="F263" s="32"/>
      <c r="G263" s="32"/>
      <c r="H263" s="66" t="str">
        <f>'BID I'!B1266</f>
        <v>Belanja Barang Jasa :</v>
      </c>
      <c r="I263" s="32"/>
      <c r="J263" s="32"/>
      <c r="K263" s="32"/>
      <c r="L263" s="66"/>
    </row>
    <row r="264" spans="1:12" ht="30" x14ac:dyDescent="0.25">
      <c r="A264" s="32"/>
      <c r="B264" s="32"/>
      <c r="C264" s="32"/>
      <c r="D264" s="32"/>
      <c r="E264" s="32"/>
      <c r="F264" s="32">
        <v>1</v>
      </c>
      <c r="G264" s="32"/>
      <c r="H264" s="66" t="str">
        <f>'BID I'!B1267</f>
        <v>Belanja Barang Perlengkapan</v>
      </c>
      <c r="I264" s="32"/>
      <c r="J264" s="32"/>
      <c r="K264" s="32"/>
      <c r="L264" s="66"/>
    </row>
    <row r="265" spans="1:12" ht="60" x14ac:dyDescent="0.25">
      <c r="A265" s="32"/>
      <c r="B265" s="32"/>
      <c r="C265" s="32"/>
      <c r="D265" s="32"/>
      <c r="E265" s="32"/>
      <c r="F265" s="32"/>
      <c r="G265" s="1340" t="s">
        <v>2706</v>
      </c>
      <c r="H265" s="66" t="str">
        <f>'BID I'!B1268</f>
        <v>Belanja perlengkapan cetak/pengadaan - belanja barang cetak dan pengadaan</v>
      </c>
      <c r="I265" s="32"/>
      <c r="J265" s="32"/>
      <c r="K265" s="174">
        <f>SUM('BID I'!F1269:F1270)</f>
        <v>2475000</v>
      </c>
      <c r="L265" s="66" t="s">
        <v>2627</v>
      </c>
    </row>
    <row r="266" spans="1:12" ht="60" x14ac:dyDescent="0.25">
      <c r="A266" s="32"/>
      <c r="B266" s="32"/>
      <c r="C266" s="32"/>
      <c r="D266" s="32"/>
      <c r="E266" s="32"/>
      <c r="F266" s="32"/>
      <c r="G266" s="1340" t="s">
        <v>2705</v>
      </c>
      <c r="H266" s="66" t="str">
        <f>'BID I'!B1272</f>
        <v>Belanja Perlengkapan barang konsumsi (makan/minum) - Belanja barang konsumsi</v>
      </c>
      <c r="I266" s="32"/>
      <c r="J266" s="32"/>
      <c r="K266" s="513">
        <f>SUM('BID I'!F1273)</f>
        <v>2700000</v>
      </c>
      <c r="L266" s="66" t="s">
        <v>2627</v>
      </c>
    </row>
    <row r="267" spans="1:12" ht="45" x14ac:dyDescent="0.25">
      <c r="A267" s="1344">
        <v>1</v>
      </c>
      <c r="B267" s="1344">
        <v>4</v>
      </c>
      <c r="C267" s="1346" t="s">
        <v>2704</v>
      </c>
      <c r="D267" s="1344"/>
      <c r="E267" s="1344"/>
      <c r="F267" s="1344"/>
      <c r="G267" s="1344"/>
      <c r="H267" s="1345" t="str">
        <f>'BID I'!B1291</f>
        <v>: Penyusunan dokumen keuangan Desa (APBDesa Perubahan 2024)</v>
      </c>
      <c r="I267" s="1344"/>
      <c r="J267" s="1344"/>
      <c r="K267" s="1347">
        <f>SUM(K268:K271)</f>
        <v>4805000</v>
      </c>
      <c r="L267" s="1345" t="s">
        <v>1682</v>
      </c>
    </row>
    <row r="268" spans="1:12" x14ac:dyDescent="0.25">
      <c r="A268" s="32"/>
      <c r="B268" s="32"/>
      <c r="C268" s="32"/>
      <c r="D268" s="32">
        <v>5</v>
      </c>
      <c r="E268" s="32">
        <v>2</v>
      </c>
      <c r="F268" s="32"/>
      <c r="G268" s="32"/>
      <c r="H268" s="66" t="str">
        <f>'BID I'!B1297</f>
        <v>Belanja Barang Jasa :</v>
      </c>
      <c r="I268" s="32"/>
      <c r="J268" s="32"/>
      <c r="K268" s="32"/>
      <c r="L268" s="66"/>
    </row>
    <row r="269" spans="1:12" ht="30" x14ac:dyDescent="0.25">
      <c r="A269" s="32"/>
      <c r="B269" s="32"/>
      <c r="C269" s="32"/>
      <c r="D269" s="32"/>
      <c r="E269" s="32"/>
      <c r="F269" s="32"/>
      <c r="G269" s="32">
        <v>1</v>
      </c>
      <c r="H269" s="66" t="str">
        <f>'BID I'!B1298</f>
        <v>Belanja Barang Perlengkapan</v>
      </c>
      <c r="I269" s="32"/>
      <c r="J269" s="32"/>
      <c r="K269" s="32"/>
      <c r="L269" s="66"/>
    </row>
    <row r="270" spans="1:12" ht="60" x14ac:dyDescent="0.25">
      <c r="A270" s="32"/>
      <c r="B270" s="32"/>
      <c r="C270" s="32"/>
      <c r="D270" s="32"/>
      <c r="E270" s="32"/>
      <c r="F270" s="32"/>
      <c r="G270" s="1340" t="s">
        <v>2706</v>
      </c>
      <c r="H270" s="66" t="str">
        <f>'BID I'!B1299</f>
        <v>Belanja perlengkapan cetak/pengadaan - belanja barang cetak dan pengadaan</v>
      </c>
      <c r="I270" s="32"/>
      <c r="J270" s="32"/>
      <c r="K270" s="174">
        <f>SUM('BID I'!F1300:F1301)</f>
        <v>3725000</v>
      </c>
      <c r="L270" s="66" t="s">
        <v>1682</v>
      </c>
    </row>
    <row r="271" spans="1:12" ht="60" x14ac:dyDescent="0.25">
      <c r="A271" s="32"/>
      <c r="B271" s="32"/>
      <c r="C271" s="32"/>
      <c r="D271" s="32"/>
      <c r="E271" s="32"/>
      <c r="F271" s="32"/>
      <c r="G271" s="1340" t="s">
        <v>2705</v>
      </c>
      <c r="H271" s="66" t="str">
        <f>'BID I'!B1303</f>
        <v>Belanja Perlengkapan barang konsumsi (makan/minum) - Belanja barang konsumsi</v>
      </c>
      <c r="I271" s="32"/>
      <c r="J271" s="32"/>
      <c r="K271" s="513">
        <f>SUM('BID I'!F1304)</f>
        <v>1080000</v>
      </c>
      <c r="L271" s="66" t="s">
        <v>1682</v>
      </c>
    </row>
    <row r="272" spans="1:12" ht="45" x14ac:dyDescent="0.25">
      <c r="A272" s="1344">
        <v>1</v>
      </c>
      <c r="B272" s="1344">
        <v>4</v>
      </c>
      <c r="C272" s="1346" t="s">
        <v>2704</v>
      </c>
      <c r="D272" s="1344"/>
      <c r="E272" s="1344"/>
      <c r="F272" s="1344"/>
      <c r="G272" s="1344"/>
      <c r="H272" s="1345" t="str">
        <f>'BID I'!B1321</f>
        <v>: Penyusunan dokumen keuangan Desa ( LPJ APBDesa 2023)</v>
      </c>
      <c r="I272" s="1344"/>
      <c r="J272" s="1344"/>
      <c r="K272" s="1349">
        <f>K275:K275</f>
        <v>1575000</v>
      </c>
      <c r="L272" s="1345" t="s">
        <v>2626</v>
      </c>
    </row>
    <row r="273" spans="1:14" x14ac:dyDescent="0.25">
      <c r="A273" s="32"/>
      <c r="B273" s="32"/>
      <c r="C273" s="32"/>
      <c r="D273" s="32">
        <v>5</v>
      </c>
      <c r="E273" s="32">
        <v>2</v>
      </c>
      <c r="F273" s="32"/>
      <c r="G273" s="32"/>
      <c r="H273" s="66" t="str">
        <f>'BID I'!B1327</f>
        <v>Belanja Barang Jasa :</v>
      </c>
      <c r="I273" s="32"/>
      <c r="J273" s="32"/>
      <c r="K273" s="32"/>
      <c r="L273" s="66"/>
    </row>
    <row r="274" spans="1:14" ht="30" x14ac:dyDescent="0.25">
      <c r="A274" s="32"/>
      <c r="B274" s="32"/>
      <c r="C274" s="32"/>
      <c r="D274" s="32"/>
      <c r="E274" s="32"/>
      <c r="F274" s="32">
        <v>1</v>
      </c>
      <c r="G274" s="32"/>
      <c r="H274" s="66" t="str">
        <f>'BID I'!B1328</f>
        <v>Belanja Barang Perlengkapan</v>
      </c>
      <c r="I274" s="32"/>
      <c r="J274" s="32"/>
      <c r="K274" s="32"/>
      <c r="L274" s="66"/>
    </row>
    <row r="275" spans="1:14" ht="60" x14ac:dyDescent="0.25">
      <c r="A275" s="32"/>
      <c r="B275" s="32"/>
      <c r="C275" s="32"/>
      <c r="D275" s="32"/>
      <c r="E275" s="32"/>
      <c r="F275" s="32"/>
      <c r="G275" s="1340" t="s">
        <v>2706</v>
      </c>
      <c r="H275" s="66" t="str">
        <f>'BID I'!B1329</f>
        <v>Belanja perlengkapan cetak/pengadaan - belanja barang cetak dan pengadaan</v>
      </c>
      <c r="I275" s="32"/>
      <c r="J275" s="32"/>
      <c r="K275" s="174">
        <f>SUM('BID I'!F1330:F1331)</f>
        <v>1575000</v>
      </c>
      <c r="L275" s="66" t="s">
        <v>2626</v>
      </c>
    </row>
    <row r="276" spans="1:14" ht="90" x14ac:dyDescent="0.25">
      <c r="A276" s="1344">
        <v>1</v>
      </c>
      <c r="B276" s="1344">
        <v>4</v>
      </c>
      <c r="C276" s="1346" t="s">
        <v>2708</v>
      </c>
      <c r="D276" s="1344"/>
      <c r="E276" s="1344"/>
      <c r="F276" s="1344"/>
      <c r="G276" s="1344"/>
      <c r="H276" s="1345" t="str">
        <f>'BID I'!B1349</f>
        <v>: Penyusunan laporan Kepala Desa/ Penyelenggaraan Pemerintah Desa (Laporan akhir tahun anggaran )</v>
      </c>
      <c r="I276" s="1344"/>
      <c r="J276" s="1344"/>
      <c r="K276" s="1349">
        <f>K279</f>
        <v>1625000</v>
      </c>
      <c r="L276" s="1345" t="s">
        <v>2628</v>
      </c>
    </row>
    <row r="277" spans="1:14" x14ac:dyDescent="0.25">
      <c r="A277" s="32"/>
      <c r="B277" s="32"/>
      <c r="C277" s="32"/>
      <c r="D277" s="32">
        <v>5</v>
      </c>
      <c r="E277" s="32">
        <v>2</v>
      </c>
      <c r="F277" s="32"/>
      <c r="G277" s="32"/>
      <c r="H277" s="66" t="str">
        <f>'BID I'!B1355</f>
        <v>Belanja Barang Jasa :</v>
      </c>
      <c r="I277" s="32"/>
      <c r="J277" s="32"/>
      <c r="K277" s="32"/>
      <c r="L277" s="66"/>
    </row>
    <row r="278" spans="1:14" ht="30" x14ac:dyDescent="0.25">
      <c r="A278" s="32"/>
      <c r="B278" s="32"/>
      <c r="C278" s="32"/>
      <c r="D278" s="32"/>
      <c r="E278" s="32"/>
      <c r="F278" s="32">
        <v>1</v>
      </c>
      <c r="G278" s="32"/>
      <c r="H278" s="66" t="str">
        <f>'BID I'!B1356</f>
        <v>Belanja Barang Perlengkapan</v>
      </c>
      <c r="I278" s="32"/>
      <c r="J278" s="32"/>
      <c r="K278" s="32"/>
      <c r="L278" s="66"/>
    </row>
    <row r="279" spans="1:14" ht="60" x14ac:dyDescent="0.25">
      <c r="A279" s="32"/>
      <c r="B279" s="32"/>
      <c r="C279" s="32"/>
      <c r="D279" s="32"/>
      <c r="E279" s="32"/>
      <c r="F279" s="32"/>
      <c r="G279" s="1340" t="s">
        <v>2706</v>
      </c>
      <c r="H279" s="66" t="str">
        <f>'BID I'!B1357</f>
        <v>Belanja perlengkapan cetak/pengadaan - belanja barang cetak dan pengadaan</v>
      </c>
      <c r="I279" s="32"/>
      <c r="J279" s="32"/>
      <c r="K279" s="174">
        <f>'BID I'!F1358+'BID I'!F1359</f>
        <v>1625000</v>
      </c>
      <c r="L279" s="66" t="s">
        <v>2628</v>
      </c>
    </row>
    <row r="280" spans="1:14" ht="75" x14ac:dyDescent="0.25">
      <c r="A280" s="1344">
        <v>1</v>
      </c>
      <c r="B280" s="1344">
        <v>4</v>
      </c>
      <c r="C280" s="1344">
        <v>11</v>
      </c>
      <c r="D280" s="1344"/>
      <c r="E280" s="1344"/>
      <c r="F280" s="1344"/>
      <c r="G280" s="1344"/>
      <c r="H280" s="1345" t="str">
        <f>'BID I'!B1377</f>
        <v xml:space="preserve">: Penyelenggaraan Lomba antar kewilayahan dan pengiriman kontingen dalam mengikuti Lomba Desa </v>
      </c>
      <c r="I280" s="1344"/>
      <c r="J280" s="1344"/>
      <c r="K280" s="1347">
        <f>SUM(K281:K291)</f>
        <v>110468445</v>
      </c>
      <c r="L280" s="1345" t="s">
        <v>1682</v>
      </c>
      <c r="M280" s="451"/>
      <c r="N280" s="175">
        <f>M280-K280</f>
        <v>-110468445</v>
      </c>
    </row>
    <row r="281" spans="1:14" x14ac:dyDescent="0.25">
      <c r="A281" s="32"/>
      <c r="B281" s="32"/>
      <c r="C281" s="32"/>
      <c r="D281" s="32">
        <v>5</v>
      </c>
      <c r="E281" s="32">
        <v>2</v>
      </c>
      <c r="F281" s="32"/>
      <c r="G281" s="32"/>
      <c r="H281" s="66" t="str">
        <f>'BID I'!B1383</f>
        <v>Belanja Barang Jasa</v>
      </c>
      <c r="I281" s="32"/>
      <c r="J281" s="32"/>
      <c r="K281" s="32"/>
      <c r="L281" s="66"/>
    </row>
    <row r="282" spans="1:14" ht="30" x14ac:dyDescent="0.25">
      <c r="A282" s="32"/>
      <c r="B282" s="32"/>
      <c r="C282" s="32"/>
      <c r="D282" s="32"/>
      <c r="E282" s="32"/>
      <c r="F282" s="32">
        <v>1</v>
      </c>
      <c r="G282" s="32"/>
      <c r="H282" s="66" t="str">
        <f>'BID I'!B1384</f>
        <v>Belanja Barang Perlengkepan</v>
      </c>
      <c r="I282" s="32"/>
      <c r="J282" s="32"/>
      <c r="K282" s="32"/>
      <c r="L282" s="66"/>
    </row>
    <row r="283" spans="1:14" ht="45" x14ac:dyDescent="0.25">
      <c r="A283" s="32"/>
      <c r="B283" s="32"/>
      <c r="C283" s="32"/>
      <c r="D283" s="32"/>
      <c r="E283" s="32"/>
      <c r="F283" s="32"/>
      <c r="G283" s="1340" t="s">
        <v>2688</v>
      </c>
      <c r="H283" s="66" t="str">
        <f>'BID I'!B1385</f>
        <v xml:space="preserve">Belanja Perlengkapan Alat Tulis Kantor dan Benda Pos </v>
      </c>
      <c r="I283" s="32"/>
      <c r="J283" s="32"/>
      <c r="K283" s="470">
        <f>SUM('BID I'!F1386:F1389)</f>
        <v>559100</v>
      </c>
      <c r="L283" s="66" t="s">
        <v>1682</v>
      </c>
    </row>
    <row r="284" spans="1:14" ht="30" x14ac:dyDescent="0.25">
      <c r="A284" s="32"/>
      <c r="B284" s="32"/>
      <c r="C284" s="32"/>
      <c r="D284" s="32"/>
      <c r="E284" s="32"/>
      <c r="F284" s="32"/>
      <c r="G284" s="1340" t="s">
        <v>2706</v>
      </c>
      <c r="H284" s="66" t="str">
        <f>'BID I'!B1391</f>
        <v xml:space="preserve">Belanja Cetak dan Penggandaan </v>
      </c>
      <c r="I284" s="32"/>
      <c r="J284" s="32"/>
      <c r="K284" s="470">
        <f>SUM('BID I'!F1392:F1394)</f>
        <v>7860000</v>
      </c>
      <c r="L284" s="66" t="s">
        <v>1682</v>
      </c>
    </row>
    <row r="285" spans="1:14" ht="30" x14ac:dyDescent="0.25">
      <c r="A285" s="32"/>
      <c r="B285" s="32"/>
      <c r="C285" s="32"/>
      <c r="D285" s="32"/>
      <c r="E285" s="32"/>
      <c r="F285" s="32"/>
      <c r="G285" s="1340" t="s">
        <v>2705</v>
      </c>
      <c r="H285" s="66" t="str">
        <f>'BID I'!B1395</f>
        <v>Belanja Perlengkapan Barang Konsumsi</v>
      </c>
      <c r="I285" s="32"/>
      <c r="J285" s="32"/>
      <c r="K285" s="513">
        <f>SUM('BID I'!F1396:F1403)</f>
        <v>16200000</v>
      </c>
      <c r="L285" s="66" t="s">
        <v>1682</v>
      </c>
    </row>
    <row r="286" spans="1:14" x14ac:dyDescent="0.25">
      <c r="A286" s="32"/>
      <c r="B286" s="32"/>
      <c r="C286" s="32"/>
      <c r="D286" s="32"/>
      <c r="E286" s="32"/>
      <c r="F286" s="32"/>
      <c r="G286" s="1340" t="s">
        <v>2708</v>
      </c>
      <c r="H286" s="66" t="str">
        <f>'BID I'!B1404</f>
        <v>Belanja Bahan/Material</v>
      </c>
      <c r="I286" s="32"/>
      <c r="J286" s="32"/>
      <c r="K286" s="513">
        <f>SUM('BID I'!F1405:F1413)</f>
        <v>31799345</v>
      </c>
      <c r="L286" s="66" t="s">
        <v>1682</v>
      </c>
    </row>
    <row r="287" spans="1:14" ht="30" x14ac:dyDescent="0.25">
      <c r="A287" s="32"/>
      <c r="B287" s="32"/>
      <c r="C287" s="32"/>
      <c r="D287" s="32"/>
      <c r="E287" s="32"/>
      <c r="F287" s="32"/>
      <c r="G287" s="1340" t="s">
        <v>2707</v>
      </c>
      <c r="H287" s="66" t="str">
        <f>'BID I'!B1414</f>
        <v>Belanja Bendera/Umbul-umbul/Spanduk</v>
      </c>
      <c r="I287" s="32"/>
      <c r="J287" s="32"/>
      <c r="K287" s="470">
        <f>SUM('BID I'!F1415:F1416)</f>
        <v>1050000</v>
      </c>
      <c r="L287" s="66" t="s">
        <v>1682</v>
      </c>
    </row>
    <row r="288" spans="1:14" ht="30" x14ac:dyDescent="0.25">
      <c r="A288" s="32"/>
      <c r="B288" s="32"/>
      <c r="C288" s="32"/>
      <c r="D288" s="32"/>
      <c r="E288" s="32"/>
      <c r="F288" s="32"/>
      <c r="G288" s="1340" t="s">
        <v>2709</v>
      </c>
      <c r="H288" s="66" t="str">
        <f>'BID I'!B1417</f>
        <v>Belanja Pakaian Dinas/Seragam/Atribut</v>
      </c>
      <c r="I288" s="32"/>
      <c r="J288" s="32"/>
      <c r="K288" s="470">
        <f>'BID I'!F1418</f>
        <v>34500000</v>
      </c>
      <c r="L288" s="66" t="s">
        <v>1682</v>
      </c>
    </row>
    <row r="289" spans="1:14" x14ac:dyDescent="0.25">
      <c r="A289" s="32"/>
      <c r="B289" s="32"/>
      <c r="C289" s="32"/>
      <c r="D289" s="32">
        <v>5</v>
      </c>
      <c r="E289" s="32">
        <v>2</v>
      </c>
      <c r="F289" s="32">
        <v>4</v>
      </c>
      <c r="G289" s="1340"/>
      <c r="H289" s="66" t="str">
        <f>'BID I'!B1420</f>
        <v>Belanja Jasa Sewa</v>
      </c>
      <c r="I289" s="32"/>
      <c r="J289" s="32"/>
      <c r="K289" s="470"/>
      <c r="L289" s="66"/>
    </row>
    <row r="290" spans="1:14" ht="30" x14ac:dyDescent="0.25">
      <c r="A290" s="32"/>
      <c r="B290" s="32"/>
      <c r="C290" s="32"/>
      <c r="D290" s="32"/>
      <c r="E290" s="32"/>
      <c r="F290" s="32"/>
      <c r="G290" s="1340" t="s">
        <v>2688</v>
      </c>
      <c r="H290" s="66" t="str">
        <f>'BID I'!B1421</f>
        <v>Belanja Jasa Sewa Bangunan/Gedung/Ruang</v>
      </c>
      <c r="I290" s="32"/>
      <c r="J290" s="32"/>
      <c r="K290" s="470">
        <f>SUM('BID I'!F1422)</f>
        <v>5000000</v>
      </c>
      <c r="L290" s="66" t="s">
        <v>1682</v>
      </c>
    </row>
    <row r="291" spans="1:14" ht="30" x14ac:dyDescent="0.25">
      <c r="A291" s="32"/>
      <c r="B291" s="32"/>
      <c r="C291" s="32"/>
      <c r="D291" s="32"/>
      <c r="E291" s="32"/>
      <c r="F291" s="32"/>
      <c r="G291" s="1340" t="s">
        <v>2702</v>
      </c>
      <c r="H291" s="66" t="str">
        <f>'BID I'!B1423</f>
        <v>Belanja Jasa Sewa Peralatan/Perlengkapan</v>
      </c>
      <c r="I291" s="32"/>
      <c r="J291" s="32"/>
      <c r="K291" s="470">
        <f>SUM('BID I'!F1424:F1426)</f>
        <v>13500000</v>
      </c>
      <c r="L291" s="66" t="s">
        <v>1682</v>
      </c>
    </row>
    <row r="292" spans="1:14" ht="30" x14ac:dyDescent="0.25">
      <c r="A292" s="1342">
        <v>2</v>
      </c>
      <c r="B292" s="1342"/>
      <c r="C292" s="1342"/>
      <c r="D292" s="1342"/>
      <c r="E292" s="1342"/>
      <c r="F292" s="1342"/>
      <c r="G292" s="1342"/>
      <c r="H292" s="1343" t="str">
        <f>'BID II'!B7</f>
        <v>Pelaksanaan Pembangunan Desa</v>
      </c>
      <c r="I292" s="1342"/>
      <c r="J292" s="1342"/>
      <c r="K292" s="1351">
        <f>K294+K311+K319+K328+K333+K339+K345+K351+K356+K381+K370+K388+K395+K405+K417+K428+K445+K457+K463+K473+K486+K495+K514+K527+K540+K547+K557+K574+K581+K590+K598+K606+K653+K657+K663+K670+K676+K682+K717+K727+K737+K743+K612+K617+K623+K629+K635+K641+K647</f>
        <v>3355644206.27</v>
      </c>
      <c r="L292" s="1343"/>
      <c r="M292" s="451"/>
    </row>
    <row r="293" spans="1:14" x14ac:dyDescent="0.25">
      <c r="A293" s="1344"/>
      <c r="B293" s="1344"/>
      <c r="C293" s="1344"/>
      <c r="D293" s="1344"/>
      <c r="E293" s="1344"/>
      <c r="F293" s="1344"/>
      <c r="G293" s="1344"/>
      <c r="H293" s="1345" t="str">
        <f>'BID II'!B8</f>
        <v>Pendidikan</v>
      </c>
      <c r="I293" s="1344"/>
      <c r="J293" s="1344"/>
      <c r="K293" s="1344"/>
      <c r="L293" s="1345"/>
      <c r="M293" s="175"/>
      <c r="N293" s="175">
        <f>M293-K292</f>
        <v>-3355644206.27</v>
      </c>
    </row>
    <row r="294" spans="1:14" ht="90" x14ac:dyDescent="0.25">
      <c r="A294" s="1344">
        <v>2</v>
      </c>
      <c r="B294" s="1344">
        <v>1</v>
      </c>
      <c r="C294" s="1346" t="s">
        <v>2688</v>
      </c>
      <c r="D294" s="1344"/>
      <c r="E294" s="1344"/>
      <c r="F294" s="1344"/>
      <c r="G294" s="1344"/>
      <c r="H294" s="1345" t="str">
        <f>'BID II'!B9</f>
        <v>Penyelenggaraan PAUD/TK/TKA/ Madrasah Non Formal Milik Desa (Pengelolaan Taman Kanak - kanak  TK Kumara Sari VI )</v>
      </c>
      <c r="I294" s="1344"/>
      <c r="J294" s="1344"/>
      <c r="K294" s="1347">
        <f>SUM(K295:K310)</f>
        <v>237334529.18000001</v>
      </c>
      <c r="L294" s="1345"/>
      <c r="M294" s="451"/>
      <c r="N294" s="175">
        <f>M294-K294</f>
        <v>-237334529.18000001</v>
      </c>
    </row>
    <row r="295" spans="1:14" x14ac:dyDescent="0.25">
      <c r="A295" s="32"/>
      <c r="B295" s="32"/>
      <c r="C295" s="32"/>
      <c r="D295" s="32">
        <v>5</v>
      </c>
      <c r="E295" s="32">
        <v>2</v>
      </c>
      <c r="F295" s="32"/>
      <c r="G295" s="32"/>
      <c r="H295" s="66" t="str">
        <f>'BID II'!B14</f>
        <v>Belanja Barang Jasa :</v>
      </c>
      <c r="I295" s="32"/>
      <c r="J295" s="32"/>
      <c r="K295" s="32"/>
      <c r="L295" s="66"/>
    </row>
    <row r="296" spans="1:14" ht="30" x14ac:dyDescent="0.25">
      <c r="A296" s="32"/>
      <c r="B296" s="32"/>
      <c r="C296" s="32"/>
      <c r="D296" s="32"/>
      <c r="E296" s="32"/>
      <c r="F296" s="32">
        <v>1</v>
      </c>
      <c r="G296" s="32"/>
      <c r="H296" s="66" t="str">
        <f>'BID II'!B15</f>
        <v>Belanja Barang Perlengkapan</v>
      </c>
      <c r="I296" s="32"/>
      <c r="J296" s="32"/>
      <c r="K296" s="32"/>
      <c r="L296" s="66"/>
    </row>
    <row r="297" spans="1:14" ht="45" x14ac:dyDescent="0.25">
      <c r="A297" s="32"/>
      <c r="B297" s="32"/>
      <c r="C297" s="32"/>
      <c r="D297" s="32"/>
      <c r="E297" s="32"/>
      <c r="F297" s="32"/>
      <c r="G297" s="1340" t="s">
        <v>2688</v>
      </c>
      <c r="H297" s="66" t="str">
        <f>'BID II'!B16</f>
        <v>Belanja perlengkapan alat tulis kantor dan Benda Pos</v>
      </c>
      <c r="I297" s="32"/>
      <c r="J297" s="32"/>
      <c r="K297" s="513">
        <f>SUM('BID II'!F18:F45)</f>
        <v>11461360</v>
      </c>
      <c r="L297" s="66" t="s">
        <v>2387</v>
      </c>
      <c r="M297" s="286"/>
    </row>
    <row r="298" spans="1:14" ht="45" x14ac:dyDescent="0.25">
      <c r="A298" s="32"/>
      <c r="B298" s="32"/>
      <c r="C298" s="32"/>
      <c r="D298" s="32"/>
      <c r="E298" s="32"/>
      <c r="F298" s="32"/>
      <c r="G298" s="1340" t="s">
        <v>2688</v>
      </c>
      <c r="H298" s="66" t="str">
        <f>'BID II'!B16</f>
        <v>Belanja perlengkapan alat tulis kantor dan Benda Pos</v>
      </c>
      <c r="I298" s="32"/>
      <c r="J298" s="32"/>
      <c r="K298" s="513">
        <f>SUM('BID II'!F46:F73)</f>
        <v>56795000</v>
      </c>
      <c r="L298" s="66" t="s">
        <v>2624</v>
      </c>
    </row>
    <row r="299" spans="1:14" ht="45" x14ac:dyDescent="0.25">
      <c r="A299" s="32"/>
      <c r="B299" s="32"/>
      <c r="C299" s="32"/>
      <c r="D299" s="32"/>
      <c r="E299" s="32"/>
      <c r="F299" s="32"/>
      <c r="G299" s="1340" t="s">
        <v>2702</v>
      </c>
      <c r="H299" s="66" t="str">
        <f>'BID II'!B74</f>
        <v xml:space="preserve">Belanja Perlengkapan Alat Listrik </v>
      </c>
      <c r="I299" s="32"/>
      <c r="J299" s="32"/>
      <c r="K299" s="513">
        <f>'BID II'!F75</f>
        <v>1280000</v>
      </c>
      <c r="L299" s="66" t="s">
        <v>2624</v>
      </c>
    </row>
    <row r="300" spans="1:14" ht="60" x14ac:dyDescent="0.25">
      <c r="A300" s="32"/>
      <c r="B300" s="32"/>
      <c r="C300" s="32"/>
      <c r="D300" s="32"/>
      <c r="E300" s="32"/>
      <c r="F300" s="32"/>
      <c r="G300" s="1340" t="s">
        <v>2703</v>
      </c>
      <c r="H300" s="66" t="str">
        <f>'BID II'!B77</f>
        <v xml:space="preserve">Belanja perlengkapan alat alat rumah tangga/peralatan dan Bahan kebersihan </v>
      </c>
      <c r="I300" s="32"/>
      <c r="J300" s="32"/>
      <c r="K300" s="174">
        <f>SUM('BID II'!F78:F98)</f>
        <v>4061100</v>
      </c>
      <c r="L300" s="66" t="s">
        <v>2624</v>
      </c>
    </row>
    <row r="301" spans="1:14" ht="45" x14ac:dyDescent="0.25">
      <c r="A301" s="32"/>
      <c r="B301" s="32"/>
      <c r="C301" s="32"/>
      <c r="D301" s="32"/>
      <c r="E301" s="32"/>
      <c r="F301" s="32"/>
      <c r="G301" s="1340" t="s">
        <v>2704</v>
      </c>
      <c r="H301" s="66" t="str">
        <f>'BID II'!B99</f>
        <v>Belanja Bahan Bakar Minyak</v>
      </c>
      <c r="I301" s="32"/>
      <c r="J301" s="32"/>
      <c r="K301" s="174">
        <f>'BID II'!F100</f>
        <v>1200000</v>
      </c>
      <c r="L301" s="66" t="s">
        <v>2624</v>
      </c>
    </row>
    <row r="302" spans="1:14" ht="60" x14ac:dyDescent="0.25">
      <c r="A302" s="32"/>
      <c r="B302" s="32"/>
      <c r="C302" s="32"/>
      <c r="D302" s="32"/>
      <c r="E302" s="32"/>
      <c r="F302" s="32"/>
      <c r="G302" s="1340" t="s">
        <v>2705</v>
      </c>
      <c r="H302" s="66" t="str">
        <f>'BID II'!B101</f>
        <v>Belanja perlengkapan barang konsumsi (makan/ minum) Belanja Barang konsumsi</v>
      </c>
      <c r="I302" s="32"/>
      <c r="J302" s="32"/>
      <c r="K302" s="513">
        <f>'BID II'!F102</f>
        <v>180000</v>
      </c>
      <c r="L302" s="66" t="s">
        <v>2624</v>
      </c>
    </row>
    <row r="303" spans="1:14" ht="45" x14ac:dyDescent="0.25">
      <c r="A303" s="32"/>
      <c r="B303" s="32"/>
      <c r="C303" s="32"/>
      <c r="D303" s="32"/>
      <c r="E303" s="32"/>
      <c r="F303" s="32"/>
      <c r="G303" s="1340" t="s">
        <v>2708</v>
      </c>
      <c r="H303" s="66" t="str">
        <f>'BID II'!B104</f>
        <v>Belanja Bahan / Material</v>
      </c>
      <c r="I303" s="32"/>
      <c r="J303" s="32"/>
      <c r="K303" s="513">
        <f>SUM('BID II'!F105:F106)</f>
        <v>4250000</v>
      </c>
      <c r="L303" s="66" t="s">
        <v>2624</v>
      </c>
    </row>
    <row r="304" spans="1:14" ht="45" x14ac:dyDescent="0.25">
      <c r="A304" s="32"/>
      <c r="B304" s="32"/>
      <c r="C304" s="32"/>
      <c r="D304" s="32"/>
      <c r="E304" s="32"/>
      <c r="F304" s="32"/>
      <c r="G304" s="1340" t="s">
        <v>2707</v>
      </c>
      <c r="H304" s="66" t="str">
        <f>'BID II'!B108</f>
        <v>Belanja bendera/ umbul umbul/ spanduk</v>
      </c>
      <c r="I304" s="32"/>
      <c r="J304" s="32"/>
      <c r="K304" s="174">
        <f>'BID II'!F109</f>
        <v>300000</v>
      </c>
      <c r="L304" s="66" t="s">
        <v>2624</v>
      </c>
    </row>
    <row r="305" spans="1:13" ht="45" x14ac:dyDescent="0.25">
      <c r="A305" s="32"/>
      <c r="B305" s="32"/>
      <c r="C305" s="32"/>
      <c r="D305" s="32"/>
      <c r="E305" s="32"/>
      <c r="F305" s="32"/>
      <c r="G305" s="1340" t="s">
        <v>2709</v>
      </c>
      <c r="H305" s="66" t="str">
        <f>'BID II'!B111</f>
        <v>Belanja Pakaian Dinas/ Seragam/ Atribut</v>
      </c>
      <c r="I305" s="32"/>
      <c r="J305" s="32"/>
      <c r="K305" s="174">
        <f>'BID II'!F112</f>
        <v>3750000</v>
      </c>
      <c r="L305" s="66" t="s">
        <v>2624</v>
      </c>
    </row>
    <row r="306" spans="1:13" ht="30" x14ac:dyDescent="0.25">
      <c r="A306" s="32"/>
      <c r="B306" s="32"/>
      <c r="C306" s="32"/>
      <c r="D306" s="32"/>
      <c r="E306" s="32"/>
      <c r="F306" s="32"/>
      <c r="G306" s="32">
        <v>90</v>
      </c>
      <c r="H306" s="66" t="str">
        <f>'BID II'!B114</f>
        <v>Belanja Upakara, Upacara Dan Aci</v>
      </c>
      <c r="I306" s="32"/>
      <c r="J306" s="32"/>
      <c r="K306" s="174">
        <f>SUM('BID II'!F115:F123)</f>
        <v>14857069.18</v>
      </c>
      <c r="L306" s="66" t="s">
        <v>2628</v>
      </c>
    </row>
    <row r="307" spans="1:13" x14ac:dyDescent="0.25">
      <c r="A307" s="32"/>
      <c r="B307" s="32"/>
      <c r="C307" s="32"/>
      <c r="D307" s="32">
        <v>5</v>
      </c>
      <c r="E307" s="32">
        <v>2</v>
      </c>
      <c r="F307" s="32">
        <v>2</v>
      </c>
      <c r="G307" s="32"/>
      <c r="H307" s="66" t="str">
        <f>'BID II'!B125</f>
        <v>Belanja jasa honorarium</v>
      </c>
      <c r="I307" s="32"/>
      <c r="J307" s="32"/>
      <c r="K307" s="32"/>
      <c r="L307" s="66"/>
    </row>
    <row r="308" spans="1:13" ht="45" x14ac:dyDescent="0.25">
      <c r="A308" s="32"/>
      <c r="B308" s="32"/>
      <c r="C308" s="32"/>
      <c r="D308" s="32"/>
      <c r="E308" s="32"/>
      <c r="F308" s="32"/>
      <c r="G308" s="1340" t="s">
        <v>2704</v>
      </c>
      <c r="H308" s="66" t="str">
        <f>'BID II'!B126</f>
        <v>Belanja jasa honorarium Ahli/Profesi/Konsultan/Narasumber</v>
      </c>
      <c r="I308" s="32"/>
      <c r="J308" s="32"/>
      <c r="K308" s="513">
        <f>SUM('BID II'!F127:F133)</f>
        <v>120000000</v>
      </c>
      <c r="L308" s="66" t="s">
        <v>2639</v>
      </c>
      <c r="M308" s="286">
        <f>K308+K309</f>
        <v>125400000</v>
      </c>
    </row>
    <row r="309" spans="1:13" ht="45" x14ac:dyDescent="0.25">
      <c r="A309" s="32"/>
      <c r="B309" s="32"/>
      <c r="C309" s="32"/>
      <c r="D309" s="32"/>
      <c r="E309" s="32"/>
      <c r="F309" s="32"/>
      <c r="G309" s="1340" t="s">
        <v>2704</v>
      </c>
      <c r="H309" s="66" t="str">
        <f>'BID II'!B126</f>
        <v>Belanja jasa honorarium Ahli/Profesi/Konsultan/Narasumber</v>
      </c>
      <c r="I309" s="32"/>
      <c r="J309" s="32"/>
      <c r="K309" s="513">
        <f>'BID II'!F135+'BID II'!F136</f>
        <v>5400000</v>
      </c>
      <c r="L309" s="66" t="s">
        <v>2624</v>
      </c>
      <c r="M309" s="286"/>
    </row>
    <row r="310" spans="1:13" ht="30" x14ac:dyDescent="0.25">
      <c r="A310" s="32"/>
      <c r="B310" s="32"/>
      <c r="C310" s="32"/>
      <c r="D310" s="32">
        <v>5</v>
      </c>
      <c r="E310" s="32">
        <v>2</v>
      </c>
      <c r="F310" s="32">
        <v>5</v>
      </c>
      <c r="G310" s="1340" t="s">
        <v>2688</v>
      </c>
      <c r="H310" s="66" t="str">
        <f>'BID II'!B138</f>
        <v>Belanja Operasional perkantoran</v>
      </c>
      <c r="I310" s="32"/>
      <c r="J310" s="32"/>
      <c r="K310" s="513">
        <f>SUM('BID II'!F139:F141)</f>
        <v>13800000</v>
      </c>
      <c r="L310" s="66" t="s">
        <v>2628</v>
      </c>
    </row>
    <row r="311" spans="1:13" ht="90" x14ac:dyDescent="0.25">
      <c r="A311" s="1344">
        <v>2</v>
      </c>
      <c r="B311" s="1344">
        <v>1</v>
      </c>
      <c r="C311" s="1346" t="s">
        <v>2703</v>
      </c>
      <c r="D311" s="1344"/>
      <c r="E311" s="1344"/>
      <c r="F311" s="1344"/>
      <c r="G311" s="1344"/>
      <c r="H311" s="1345" t="str">
        <f>'BID II'!B157</f>
        <v>: Penyuluhan dan Pelatihan Pendidikan Bagi Masyarakat ( Pelatihan Bahasa Bali Untuk Anak-Anak 7-12 Th )</v>
      </c>
      <c r="I311" s="1344"/>
      <c r="J311" s="1344"/>
      <c r="K311" s="1347">
        <f>SUM(K312:K318)</f>
        <v>9015000</v>
      </c>
      <c r="L311" s="1345" t="s">
        <v>2621</v>
      </c>
      <c r="M311" s="175">
        <f>K311+K319</f>
        <v>23193000</v>
      </c>
    </row>
    <row r="312" spans="1:13" x14ac:dyDescent="0.25">
      <c r="A312" s="32"/>
      <c r="B312" s="32"/>
      <c r="C312" s="32"/>
      <c r="D312" s="32">
        <v>5</v>
      </c>
      <c r="E312" s="32">
        <v>2</v>
      </c>
      <c r="F312" s="32"/>
      <c r="G312" s="32"/>
      <c r="H312" s="66" t="str">
        <f>'BID II'!B164</f>
        <v>Belanja Barang Jasa</v>
      </c>
      <c r="I312" s="32"/>
      <c r="J312" s="32"/>
      <c r="K312" s="32"/>
      <c r="L312" s="66"/>
    </row>
    <row r="313" spans="1:13" ht="30" x14ac:dyDescent="0.25">
      <c r="A313" s="32"/>
      <c r="B313" s="32"/>
      <c r="C313" s="32"/>
      <c r="D313" s="32"/>
      <c r="E313" s="32"/>
      <c r="F313" s="32">
        <v>1</v>
      </c>
      <c r="G313" s="32"/>
      <c r="H313" s="66" t="str">
        <f>'BID II'!B165</f>
        <v>Belanja Barang Perlengkapan</v>
      </c>
      <c r="I313" s="32"/>
      <c r="J313" s="32"/>
      <c r="K313" s="32"/>
      <c r="L313" s="66"/>
    </row>
    <row r="314" spans="1:13" ht="30" x14ac:dyDescent="0.25">
      <c r="A314" s="32"/>
      <c r="B314" s="32"/>
      <c r="C314" s="32"/>
      <c r="D314" s="32"/>
      <c r="E314" s="32"/>
      <c r="F314" s="32"/>
      <c r="G314" s="1340" t="s">
        <v>2688</v>
      </c>
      <c r="H314" s="66" t="str">
        <f>'BID II'!B166</f>
        <v>Belanja Alat Tulis Kantor dan Benda Pos</v>
      </c>
      <c r="I314" s="32"/>
      <c r="J314" s="32"/>
      <c r="K314" s="174">
        <f>SUM('BID II'!F167)</f>
        <v>300000</v>
      </c>
      <c r="L314" s="66" t="s">
        <v>2621</v>
      </c>
    </row>
    <row r="315" spans="1:13" ht="30" x14ac:dyDescent="0.25">
      <c r="A315" s="32"/>
      <c r="B315" s="32"/>
      <c r="C315" s="32"/>
      <c r="D315" s="32"/>
      <c r="E315" s="32"/>
      <c r="F315" s="32"/>
      <c r="G315" s="1340" t="s">
        <v>2705</v>
      </c>
      <c r="H315" s="66" t="str">
        <f>'BID II'!B168</f>
        <v>Belanja Barang Perlengkapan Konsumsi</v>
      </c>
      <c r="I315" s="32"/>
      <c r="J315" s="32"/>
      <c r="K315" s="174">
        <f>'BID II'!F169</f>
        <v>5625000</v>
      </c>
      <c r="L315" s="66" t="s">
        <v>2621</v>
      </c>
    </row>
    <row r="316" spans="1:13" ht="30" x14ac:dyDescent="0.25">
      <c r="A316" s="32"/>
      <c r="B316" s="32"/>
      <c r="C316" s="32"/>
      <c r="D316" s="32"/>
      <c r="E316" s="32"/>
      <c r="F316" s="32"/>
      <c r="G316" s="1340" t="s">
        <v>2707</v>
      </c>
      <c r="H316" s="66" t="str">
        <f>'BID II'!B170</f>
        <v>Belanja Bendera/ Umbul-umbul/ Spanduk</v>
      </c>
      <c r="I316" s="32"/>
      <c r="J316" s="32"/>
      <c r="K316" s="174">
        <f>'BID II'!F171</f>
        <v>90000</v>
      </c>
      <c r="L316" s="66" t="s">
        <v>2621</v>
      </c>
    </row>
    <row r="317" spans="1:13" x14ac:dyDescent="0.25">
      <c r="A317" s="32"/>
      <c r="B317" s="32"/>
      <c r="C317" s="32"/>
      <c r="D317" s="32">
        <v>5</v>
      </c>
      <c r="E317" s="32">
        <v>2</v>
      </c>
      <c r="F317" s="32">
        <v>2</v>
      </c>
      <c r="G317" s="32"/>
      <c r="H317" s="66" t="str">
        <f>'BID II'!B172</f>
        <v>Belanja Honorarium</v>
      </c>
      <c r="I317" s="32"/>
      <c r="J317" s="32"/>
      <c r="K317" s="32"/>
      <c r="L317" s="66"/>
    </row>
    <row r="318" spans="1:13" ht="45" x14ac:dyDescent="0.25">
      <c r="A318" s="32"/>
      <c r="B318" s="32"/>
      <c r="C318" s="32"/>
      <c r="D318" s="32"/>
      <c r="E318" s="32"/>
      <c r="F318" s="32"/>
      <c r="G318" s="1340" t="s">
        <v>2688</v>
      </c>
      <c r="H318" s="66" t="str">
        <f>'BID II'!B173</f>
        <v>Belanja Jasa Honorarium Tim Yang Melaksanakan Kegiatan</v>
      </c>
      <c r="I318" s="32"/>
      <c r="J318" s="32"/>
      <c r="K318" s="174">
        <f>'BID II'!F174</f>
        <v>3000000</v>
      </c>
      <c r="L318" s="66" t="s">
        <v>2621</v>
      </c>
    </row>
    <row r="319" spans="1:13" ht="90" x14ac:dyDescent="0.25">
      <c r="A319" s="1344">
        <v>2</v>
      </c>
      <c r="B319" s="1344">
        <v>1</v>
      </c>
      <c r="C319" s="1346" t="s">
        <v>2703</v>
      </c>
      <c r="D319" s="1344"/>
      <c r="E319" s="1344"/>
      <c r="F319" s="1344"/>
      <c r="G319" s="1344"/>
      <c r="H319" s="1345" t="str">
        <f>'BID II'!B189</f>
        <v>: Penyuluhan dan Pelatihan Pendidikan Bagi Masyarakat ( Pembinaan dan Penyelenggaraan Bunda Literasi )</v>
      </c>
      <c r="I319" s="1344"/>
      <c r="J319" s="1344"/>
      <c r="K319" s="1347">
        <f>SUM(K320:K327)</f>
        <v>14178000</v>
      </c>
      <c r="L319" s="1345" t="s">
        <v>2625</v>
      </c>
    </row>
    <row r="320" spans="1:13" x14ac:dyDescent="0.25">
      <c r="A320" s="32"/>
      <c r="B320" s="32"/>
      <c r="C320" s="32"/>
      <c r="D320" s="32">
        <v>5</v>
      </c>
      <c r="E320" s="32">
        <v>2</v>
      </c>
      <c r="F320" s="32"/>
      <c r="G320" s="32"/>
      <c r="H320" s="66" t="str">
        <f>'BID II'!B196</f>
        <v>Belanja Barang Jasa</v>
      </c>
      <c r="I320" s="32"/>
      <c r="J320" s="32"/>
      <c r="K320" s="32"/>
      <c r="L320" s="66"/>
    </row>
    <row r="321" spans="1:13" ht="30" x14ac:dyDescent="0.25">
      <c r="A321" s="32"/>
      <c r="B321" s="32"/>
      <c r="C321" s="32"/>
      <c r="D321" s="32"/>
      <c r="E321" s="32"/>
      <c r="F321" s="32">
        <v>1</v>
      </c>
      <c r="G321" s="32"/>
      <c r="H321" s="66" t="str">
        <f>'BID II'!B197</f>
        <v>Belanja Barang Perlengkapan</v>
      </c>
      <c r="I321" s="32"/>
      <c r="J321" s="32"/>
      <c r="K321" s="32"/>
      <c r="L321" s="66"/>
    </row>
    <row r="322" spans="1:13" ht="30" x14ac:dyDescent="0.25">
      <c r="A322" s="32"/>
      <c r="B322" s="32"/>
      <c r="C322" s="32"/>
      <c r="D322" s="32"/>
      <c r="E322" s="32"/>
      <c r="F322" s="32"/>
      <c r="G322" s="1340" t="s">
        <v>2688</v>
      </c>
      <c r="H322" s="66" t="str">
        <f>'BID II'!B198</f>
        <v>Belanja Alat Tulis Kantor dan Benda Pos</v>
      </c>
      <c r="I322" s="32"/>
      <c r="J322" s="32"/>
      <c r="K322" s="174">
        <f>SUM('BID II'!F199:F200)</f>
        <v>63000</v>
      </c>
      <c r="L322" s="66" t="s">
        <v>2625</v>
      </c>
    </row>
    <row r="323" spans="1:13" ht="30" x14ac:dyDescent="0.25">
      <c r="A323" s="32"/>
      <c r="B323" s="32"/>
      <c r="C323" s="32"/>
      <c r="D323" s="32"/>
      <c r="E323" s="32"/>
      <c r="F323" s="32"/>
      <c r="G323" s="1340" t="s">
        <v>2705</v>
      </c>
      <c r="H323" s="66" t="str">
        <f>'BID II'!B168</f>
        <v>Belanja Barang Perlengkapan Konsumsi</v>
      </c>
      <c r="I323" s="32"/>
      <c r="J323" s="32"/>
      <c r="K323" s="174">
        <f>'BID II'!F202+'BID II'!F203</f>
        <v>2835000</v>
      </c>
      <c r="L323" s="66" t="s">
        <v>2625</v>
      </c>
    </row>
    <row r="324" spans="1:13" ht="30" x14ac:dyDescent="0.25">
      <c r="A324" s="32"/>
      <c r="B324" s="32"/>
      <c r="C324" s="32"/>
      <c r="D324" s="32"/>
      <c r="E324" s="32"/>
      <c r="F324" s="32"/>
      <c r="G324" s="1340" t="s">
        <v>2708</v>
      </c>
      <c r="H324" s="32" t="str">
        <f>'BID II'!B204</f>
        <v>Belanja Bahan Material</v>
      </c>
      <c r="I324" s="32"/>
      <c r="J324" s="32"/>
      <c r="K324" s="174">
        <f>SUM('BID II'!F205+'BID II'!F206)</f>
        <v>10500000</v>
      </c>
      <c r="L324" s="66" t="s">
        <v>2625</v>
      </c>
    </row>
    <row r="325" spans="1:13" ht="30" x14ac:dyDescent="0.25">
      <c r="A325" s="32"/>
      <c r="B325" s="32"/>
      <c r="C325" s="32"/>
      <c r="D325" s="32"/>
      <c r="E325" s="32"/>
      <c r="F325" s="32"/>
      <c r="G325" s="1340" t="s">
        <v>2707</v>
      </c>
      <c r="H325" s="66" t="str">
        <f>'BID II'!B207</f>
        <v>Belanja Bendera/ Umbul-umbul/ Spanduk</v>
      </c>
      <c r="I325" s="32"/>
      <c r="J325" s="32"/>
      <c r="K325" s="174">
        <f>'BID II'!F208</f>
        <v>180000</v>
      </c>
      <c r="L325" s="66" t="s">
        <v>2625</v>
      </c>
    </row>
    <row r="326" spans="1:13" x14ac:dyDescent="0.25">
      <c r="A326" s="32"/>
      <c r="B326" s="32"/>
      <c r="C326" s="32"/>
      <c r="D326" s="32">
        <v>5</v>
      </c>
      <c r="E326" s="32">
        <v>2</v>
      </c>
      <c r="F326" s="32">
        <v>2</v>
      </c>
      <c r="G326" s="32"/>
      <c r="H326" s="66" t="str">
        <f>'BID II'!B209</f>
        <v>Belanja Honorarium</v>
      </c>
      <c r="I326" s="32"/>
      <c r="J326" s="32"/>
      <c r="K326" s="32"/>
      <c r="L326" s="66"/>
    </row>
    <row r="327" spans="1:13" ht="45" x14ac:dyDescent="0.25">
      <c r="A327" s="32"/>
      <c r="B327" s="32"/>
      <c r="C327" s="32"/>
      <c r="D327" s="32"/>
      <c r="E327" s="32"/>
      <c r="F327" s="32"/>
      <c r="G327" s="1340" t="s">
        <v>2688</v>
      </c>
      <c r="H327" s="66" t="str">
        <f>'BID II'!B210</f>
        <v>Belanja Jasa Honorarium Tim Yang Melaksanakan Kegiatan</v>
      </c>
      <c r="I327" s="32"/>
      <c r="J327" s="32"/>
      <c r="K327" s="174">
        <f>SUM('BID II'!F211)</f>
        <v>600000</v>
      </c>
      <c r="L327" s="66" t="s">
        <v>2625</v>
      </c>
    </row>
    <row r="328" spans="1:13" ht="45" x14ac:dyDescent="0.25">
      <c r="A328" s="1344">
        <v>2</v>
      </c>
      <c r="B328" s="1344">
        <v>1</v>
      </c>
      <c r="C328" s="1346" t="s">
        <v>2706</v>
      </c>
      <c r="D328" s="1344"/>
      <c r="E328" s="1344"/>
      <c r="F328" s="1344"/>
      <c r="G328" s="1344"/>
      <c r="H328" s="1345" t="str">
        <f>'BID II'!B226</f>
        <v>Pemeliharaan Sarana dan Prasarana TK Milik Desa (Pemagaran)</v>
      </c>
      <c r="I328" s="1344"/>
      <c r="J328" s="1344"/>
      <c r="K328" s="1347">
        <f>SUM(K329:K332)</f>
        <v>15269700</v>
      </c>
      <c r="L328" s="1345" t="s">
        <v>2387</v>
      </c>
      <c r="M328" s="175">
        <f>K328+K333+K339+K345+K351</f>
        <v>134027900</v>
      </c>
    </row>
    <row r="329" spans="1:13" x14ac:dyDescent="0.25">
      <c r="A329" s="32"/>
      <c r="B329" s="32"/>
      <c r="C329" s="32"/>
      <c r="D329" s="32">
        <v>5</v>
      </c>
      <c r="E329" s="32">
        <v>3</v>
      </c>
      <c r="F329" s="32"/>
      <c r="G329" s="32"/>
      <c r="H329" s="66" t="str">
        <f>'BID II'!B233</f>
        <v>Belanja Modal</v>
      </c>
      <c r="I329" s="32"/>
      <c r="J329" s="32"/>
      <c r="K329" s="32"/>
      <c r="L329" s="66"/>
      <c r="M329" s="451">
        <v>134027900</v>
      </c>
    </row>
    <row r="330" spans="1:13" ht="30" x14ac:dyDescent="0.25">
      <c r="A330" s="32"/>
      <c r="B330" s="32"/>
      <c r="C330" s="32"/>
      <c r="D330" s="32"/>
      <c r="E330" s="32"/>
      <c r="F330" s="32">
        <v>4</v>
      </c>
      <c r="G330" s="32"/>
      <c r="H330" s="66" t="str">
        <f>'BID II'!B234</f>
        <v>Belanja modal Gedung, Bangunan, Tanaman</v>
      </c>
      <c r="I330" s="32"/>
      <c r="J330" s="32"/>
      <c r="K330" s="32"/>
      <c r="L330" s="66"/>
      <c r="M330" s="175">
        <f>M329-M328</f>
        <v>0</v>
      </c>
    </row>
    <row r="331" spans="1:13" ht="45" x14ac:dyDescent="0.25">
      <c r="A331" s="32"/>
      <c r="B331" s="32"/>
      <c r="C331" s="32"/>
      <c r="D331" s="32"/>
      <c r="E331" s="32"/>
      <c r="F331" s="32"/>
      <c r="G331" s="1340" t="s">
        <v>2688</v>
      </c>
      <c r="H331" s="66" t="str">
        <f>'BID II'!B235</f>
        <v>Belanja modal honor tim yang melaksanakan kegiatan</v>
      </c>
      <c r="I331" s="32"/>
      <c r="J331" s="32"/>
      <c r="K331" s="174">
        <f>'BID II'!F239</f>
        <v>750000</v>
      </c>
      <c r="L331" s="66" t="s">
        <v>2387</v>
      </c>
    </row>
    <row r="332" spans="1:13" x14ac:dyDescent="0.25">
      <c r="A332" s="32"/>
      <c r="B332" s="32"/>
      <c r="C332" s="32"/>
      <c r="D332" s="32"/>
      <c r="E332" s="32"/>
      <c r="F332" s="32"/>
      <c r="G332" s="1340" t="s">
        <v>2703</v>
      </c>
      <c r="H332" s="32" t="str">
        <f>'BID II'!B240</f>
        <v>Belanja modal bahan baku</v>
      </c>
      <c r="I332" s="32"/>
      <c r="J332" s="32"/>
      <c r="K332" s="174">
        <f>'BID II'!F242</f>
        <v>14519700</v>
      </c>
      <c r="L332" s="66" t="s">
        <v>2387</v>
      </c>
    </row>
    <row r="333" spans="1:13" ht="45" x14ac:dyDescent="0.25">
      <c r="A333" s="1344">
        <v>2</v>
      </c>
      <c r="B333" s="1344">
        <v>1</v>
      </c>
      <c r="C333" s="1346" t="s">
        <v>2706</v>
      </c>
      <c r="D333" s="1344"/>
      <c r="E333" s="1344"/>
      <c r="F333" s="1344"/>
      <c r="G333" s="1344"/>
      <c r="H333" s="1345" t="str">
        <f>'BID II'!B258</f>
        <v>Pemeliharaan Sarana dan Prasarana TK Milik Desa (Cat Tembok Dalam)</v>
      </c>
      <c r="I333" s="1344"/>
      <c r="J333" s="1344"/>
      <c r="K333" s="1347">
        <f>SUM(K334:K338)</f>
        <v>5532000</v>
      </c>
      <c r="L333" s="1345" t="s">
        <v>2387</v>
      </c>
      <c r="M333" s="175">
        <f>'BID II'!F282</f>
        <v>5532000</v>
      </c>
    </row>
    <row r="334" spans="1:13" x14ac:dyDescent="0.25">
      <c r="A334" s="32"/>
      <c r="B334" s="32"/>
      <c r="C334" s="32"/>
      <c r="D334" s="32">
        <v>5</v>
      </c>
      <c r="E334" s="32">
        <v>3</v>
      </c>
      <c r="F334" s="32"/>
      <c r="G334" s="32"/>
      <c r="H334" s="32" t="str">
        <f>'BID II'!B265</f>
        <v>Belanja Modal</v>
      </c>
      <c r="I334" s="32"/>
      <c r="J334" s="32"/>
      <c r="K334" s="32"/>
      <c r="L334" s="66"/>
    </row>
    <row r="335" spans="1:13" ht="30" x14ac:dyDescent="0.25">
      <c r="A335" s="32"/>
      <c r="B335" s="32"/>
      <c r="C335" s="32"/>
      <c r="D335" s="32"/>
      <c r="E335" s="32"/>
      <c r="F335" s="32">
        <v>4</v>
      </c>
      <c r="G335" s="32"/>
      <c r="H335" s="66" t="str">
        <f>'BID II'!B266</f>
        <v>Belanja modal Gedung, Bangunan, Tanaman</v>
      </c>
      <c r="I335" s="32"/>
      <c r="J335" s="32"/>
      <c r="K335" s="32"/>
      <c r="L335" s="66"/>
    </row>
    <row r="336" spans="1:13" ht="45" x14ac:dyDescent="0.25">
      <c r="A336" s="32"/>
      <c r="B336" s="32"/>
      <c r="C336" s="32"/>
      <c r="D336" s="32"/>
      <c r="E336" s="32"/>
      <c r="F336" s="32"/>
      <c r="G336" s="1340" t="s">
        <v>2688</v>
      </c>
      <c r="H336" s="66" t="str">
        <f>'BID II'!B267</f>
        <v>Belanja modal honor tim yang melaksanakan kegiatan</v>
      </c>
      <c r="I336" s="32"/>
      <c r="J336" s="32"/>
      <c r="K336" s="174">
        <f>SUM('BID II'!F269)</f>
        <v>108000</v>
      </c>
      <c r="L336" s="66" t="s">
        <v>2387</v>
      </c>
    </row>
    <row r="337" spans="1:13" ht="30" x14ac:dyDescent="0.25">
      <c r="A337" s="32"/>
      <c r="B337" s="32"/>
      <c r="C337" s="32"/>
      <c r="D337" s="32"/>
      <c r="E337" s="32"/>
      <c r="F337" s="32"/>
      <c r="G337" s="1340" t="s">
        <v>2702</v>
      </c>
      <c r="H337" s="66" t="str">
        <f>'BID II'!B270</f>
        <v>Belanja modal upah tenaga kerja</v>
      </c>
      <c r="I337" s="32"/>
      <c r="J337" s="32"/>
      <c r="K337" s="174">
        <f>'BID II'!F274</f>
        <v>1222000</v>
      </c>
      <c r="L337" s="66" t="s">
        <v>2387</v>
      </c>
    </row>
    <row r="338" spans="1:13" ht="30" x14ac:dyDescent="0.25">
      <c r="A338" s="32"/>
      <c r="B338" s="32"/>
      <c r="C338" s="32"/>
      <c r="D338" s="32"/>
      <c r="E338" s="32"/>
      <c r="F338" s="32"/>
      <c r="G338" s="1340" t="s">
        <v>2703</v>
      </c>
      <c r="H338" s="66" t="str">
        <f>'BID II'!B275</f>
        <v>Belanja modal bahan baku</v>
      </c>
      <c r="I338" s="32"/>
      <c r="J338" s="32"/>
      <c r="K338" s="174">
        <f>'BID II'!F280</f>
        <v>4202000</v>
      </c>
      <c r="L338" s="66" t="s">
        <v>2387</v>
      </c>
    </row>
    <row r="339" spans="1:13" ht="45" x14ac:dyDescent="0.25">
      <c r="A339" s="1344">
        <v>2</v>
      </c>
      <c r="B339" s="1344">
        <v>1</v>
      </c>
      <c r="C339" s="1346" t="s">
        <v>2706</v>
      </c>
      <c r="D339" s="1344"/>
      <c r="E339" s="1344"/>
      <c r="F339" s="1344"/>
      <c r="G339" s="1344"/>
      <c r="H339" s="1345" t="str">
        <f>'BID II'!B295</f>
        <v>Pemeliharaan Sarana dan Prasarana TK Milik Desa (Lapis Water Proofig)</v>
      </c>
      <c r="I339" s="1344"/>
      <c r="J339" s="1344"/>
      <c r="K339" s="1347">
        <f>SUM(K340:K344)</f>
        <v>21546000</v>
      </c>
      <c r="L339" s="1345" t="s">
        <v>2387</v>
      </c>
    </row>
    <row r="340" spans="1:13" x14ac:dyDescent="0.25">
      <c r="A340" s="32"/>
      <c r="B340" s="32"/>
      <c r="C340" s="32"/>
      <c r="D340" s="32">
        <v>5</v>
      </c>
      <c r="E340" s="32">
        <v>3</v>
      </c>
      <c r="F340" s="32"/>
      <c r="G340" s="32"/>
      <c r="H340" s="66" t="str">
        <f>'BID II'!B302</f>
        <v>Belanja Modal</v>
      </c>
      <c r="I340" s="32"/>
      <c r="J340" s="32"/>
      <c r="K340" s="32"/>
      <c r="L340" s="66"/>
    </row>
    <row r="341" spans="1:13" ht="30" x14ac:dyDescent="0.25">
      <c r="A341" s="32"/>
      <c r="B341" s="32"/>
      <c r="C341" s="32"/>
      <c r="D341" s="32"/>
      <c r="E341" s="32"/>
      <c r="F341" s="32">
        <v>4</v>
      </c>
      <c r="G341" s="32"/>
      <c r="H341" s="66" t="str">
        <f>'BID II'!B303</f>
        <v>Belanja modal Gedung, Bangunan, Tanaman</v>
      </c>
      <c r="I341" s="32"/>
      <c r="J341" s="32"/>
      <c r="K341" s="32"/>
      <c r="L341" s="66"/>
    </row>
    <row r="342" spans="1:13" ht="45" x14ac:dyDescent="0.25">
      <c r="A342" s="32"/>
      <c r="B342" s="32"/>
      <c r="C342" s="32"/>
      <c r="D342" s="32"/>
      <c r="E342" s="32"/>
      <c r="F342" s="32"/>
      <c r="G342" s="1340" t="s">
        <v>2688</v>
      </c>
      <c r="H342" s="66" t="str">
        <f>'BID II'!B304</f>
        <v>Belanja modal honor tim yang melaksanakan kegiatan</v>
      </c>
      <c r="I342" s="32"/>
      <c r="J342" s="32"/>
      <c r="K342" s="174">
        <f>'BID II'!F306</f>
        <v>422000</v>
      </c>
      <c r="L342" s="66" t="s">
        <v>2387</v>
      </c>
    </row>
    <row r="343" spans="1:13" ht="30" x14ac:dyDescent="0.25">
      <c r="A343" s="32"/>
      <c r="B343" s="32"/>
      <c r="C343" s="32"/>
      <c r="D343" s="32"/>
      <c r="E343" s="32"/>
      <c r="F343" s="32"/>
      <c r="G343" s="1340" t="s">
        <v>2702</v>
      </c>
      <c r="H343" s="66" t="str">
        <f>'BID II'!B307</f>
        <v>Belanja modal upah tenaga kerja</v>
      </c>
      <c r="I343" s="32"/>
      <c r="J343" s="32"/>
      <c r="K343" s="174">
        <f>'BID II'!F311</f>
        <v>1898000</v>
      </c>
      <c r="L343" s="66" t="s">
        <v>2387</v>
      </c>
    </row>
    <row r="344" spans="1:13" ht="30" x14ac:dyDescent="0.25">
      <c r="A344" s="32"/>
      <c r="B344" s="32"/>
      <c r="C344" s="32"/>
      <c r="D344" s="32"/>
      <c r="E344" s="32"/>
      <c r="F344" s="32"/>
      <c r="G344" s="1340" t="s">
        <v>2703</v>
      </c>
      <c r="H344" s="66" t="str">
        <f>'BID II'!B312</f>
        <v>Belanja modal bahan baku</v>
      </c>
      <c r="I344" s="32"/>
      <c r="J344" s="32"/>
      <c r="K344" s="174">
        <f>'BID II'!F316</f>
        <v>19226000</v>
      </c>
      <c r="L344" s="66" t="s">
        <v>2387</v>
      </c>
    </row>
    <row r="345" spans="1:13" ht="45" x14ac:dyDescent="0.25">
      <c r="A345" s="1344">
        <v>2</v>
      </c>
      <c r="B345" s="1344">
        <v>1</v>
      </c>
      <c r="C345" s="1346" t="s">
        <v>2706</v>
      </c>
      <c r="D345" s="1344"/>
      <c r="E345" s="1344"/>
      <c r="F345" s="1344"/>
      <c r="G345" s="1344"/>
      <c r="H345" s="1345" t="str">
        <f>'BID II'!B331</f>
        <v>Pemeliharaan Sarana dan Prasarana TK Milik Desa (Cat Plafon)</v>
      </c>
      <c r="I345" s="1344"/>
      <c r="J345" s="1344"/>
      <c r="K345" s="1347">
        <f>SUM(K346:K350)</f>
        <v>11123000</v>
      </c>
      <c r="L345" s="1345" t="s">
        <v>2625</v>
      </c>
      <c r="M345" s="175">
        <f>'BID II'!F356</f>
        <v>11123000</v>
      </c>
    </row>
    <row r="346" spans="1:13" x14ac:dyDescent="0.25">
      <c r="A346" s="32"/>
      <c r="B346" s="32"/>
      <c r="C346" s="32"/>
      <c r="D346" s="32">
        <v>5</v>
      </c>
      <c r="E346" s="32">
        <v>3</v>
      </c>
      <c r="F346" s="32"/>
      <c r="G346" s="32"/>
      <c r="H346" s="66" t="str">
        <f>'BID II'!B338</f>
        <v>Belanja Modal</v>
      </c>
      <c r="I346" s="32"/>
      <c r="J346" s="32"/>
      <c r="K346" s="32"/>
      <c r="L346" s="66"/>
    </row>
    <row r="347" spans="1:13" ht="30" x14ac:dyDescent="0.25">
      <c r="A347" s="32"/>
      <c r="B347" s="32"/>
      <c r="C347" s="32"/>
      <c r="D347" s="32"/>
      <c r="E347" s="32"/>
      <c r="F347" s="32">
        <v>4</v>
      </c>
      <c r="G347" s="32"/>
      <c r="H347" s="66" t="str">
        <f>'BID II'!B339</f>
        <v>Belanja modal Gedung, Bangunan, Tanaman</v>
      </c>
      <c r="I347" s="32"/>
      <c r="J347" s="32"/>
      <c r="K347" s="32"/>
      <c r="L347" s="66"/>
    </row>
    <row r="348" spans="1:13" ht="45" x14ac:dyDescent="0.25">
      <c r="A348" s="32"/>
      <c r="B348" s="32"/>
      <c r="C348" s="32"/>
      <c r="D348" s="32"/>
      <c r="E348" s="32"/>
      <c r="F348" s="32"/>
      <c r="G348" s="1340" t="s">
        <v>2688</v>
      </c>
      <c r="H348" s="66" t="str">
        <f>'BID II'!B340</f>
        <v>Belanja modal honor tim yang melaksanakan kegiatan</v>
      </c>
      <c r="I348" s="32"/>
      <c r="J348" s="32"/>
      <c r="K348" s="174">
        <f>'BID II'!F342</f>
        <v>218000</v>
      </c>
      <c r="L348" s="66" t="s">
        <v>2625</v>
      </c>
    </row>
    <row r="349" spans="1:13" ht="30" x14ac:dyDescent="0.25">
      <c r="A349" s="32"/>
      <c r="B349" s="32"/>
      <c r="C349" s="32"/>
      <c r="D349" s="32"/>
      <c r="E349" s="32"/>
      <c r="F349" s="32"/>
      <c r="G349" s="1340" t="s">
        <v>2702</v>
      </c>
      <c r="H349" s="1352" t="str">
        <f>'BID II'!B343</f>
        <v>Belanja modal upah tenaga kerja</v>
      </c>
      <c r="I349" s="32"/>
      <c r="J349" s="32"/>
      <c r="K349" s="174">
        <f>'BID II'!F347</f>
        <v>2028000</v>
      </c>
      <c r="L349" s="66" t="s">
        <v>2625</v>
      </c>
    </row>
    <row r="350" spans="1:13" ht="30" x14ac:dyDescent="0.25">
      <c r="A350" s="32"/>
      <c r="B350" s="32"/>
      <c r="C350" s="32"/>
      <c r="D350" s="32"/>
      <c r="E350" s="32"/>
      <c r="F350" s="32"/>
      <c r="G350" s="1340" t="s">
        <v>2703</v>
      </c>
      <c r="H350" s="66" t="str">
        <f>'BID II'!B348</f>
        <v>Belanja modal bahan baku</v>
      </c>
      <c r="I350" s="32"/>
      <c r="J350" s="32"/>
      <c r="K350" s="174">
        <f>'BID II'!F354</f>
        <v>8877000</v>
      </c>
      <c r="L350" s="66" t="s">
        <v>2625</v>
      </c>
    </row>
    <row r="351" spans="1:13" ht="45" x14ac:dyDescent="0.25">
      <c r="A351" s="1344">
        <v>2</v>
      </c>
      <c r="B351" s="1344">
        <v>1</v>
      </c>
      <c r="C351" s="1346" t="s">
        <v>2706</v>
      </c>
      <c r="D351" s="1344"/>
      <c r="E351" s="1344"/>
      <c r="F351" s="1344"/>
      <c r="G351" s="1344"/>
      <c r="H351" s="1345" t="str">
        <f>'BID II'!B370</f>
        <v>Pemeliharaan Sarana dan Prasarana TK Milik Desa (Mural)</v>
      </c>
      <c r="I351" s="1344"/>
      <c r="J351" s="1344"/>
      <c r="K351" s="1347">
        <f>SUM(K352:K355)</f>
        <v>80557200</v>
      </c>
      <c r="L351" s="1345" t="s">
        <v>2620</v>
      </c>
    </row>
    <row r="352" spans="1:13" x14ac:dyDescent="0.25">
      <c r="A352" s="32"/>
      <c r="B352" s="32"/>
      <c r="C352" s="32"/>
      <c r="D352" s="32">
        <v>5</v>
      </c>
      <c r="E352" s="32">
        <v>3</v>
      </c>
      <c r="F352" s="32"/>
      <c r="G352" s="32"/>
      <c r="H352" s="66" t="str">
        <f>'BID II'!B377</f>
        <v>Belanja Modal</v>
      </c>
      <c r="I352" s="32"/>
      <c r="J352" s="32"/>
      <c r="K352" s="32"/>
      <c r="L352" s="66"/>
    </row>
    <row r="353" spans="1:12" ht="30" x14ac:dyDescent="0.25">
      <c r="A353" s="32"/>
      <c r="B353" s="32"/>
      <c r="C353" s="32"/>
      <c r="D353" s="32"/>
      <c r="E353" s="32"/>
      <c r="F353" s="32">
        <v>4</v>
      </c>
      <c r="G353" s="32"/>
      <c r="H353" s="66" t="str">
        <f>'BID II'!B378</f>
        <v>Belanja modal Gedung, Bangunan, Tanaman</v>
      </c>
      <c r="I353" s="32"/>
      <c r="J353" s="32"/>
      <c r="K353" s="32"/>
      <c r="L353" s="66"/>
    </row>
    <row r="354" spans="1:12" ht="45" x14ac:dyDescent="0.25">
      <c r="A354" s="32"/>
      <c r="B354" s="32"/>
      <c r="C354" s="32"/>
      <c r="D354" s="32"/>
      <c r="E354" s="32"/>
      <c r="F354" s="32"/>
      <c r="G354" s="1340" t="s">
        <v>2688</v>
      </c>
      <c r="H354" s="66" t="str">
        <f>'BID II'!B379</f>
        <v>Belanja modal honor tim yang melaksanakan kegiatan</v>
      </c>
      <c r="I354" s="32"/>
      <c r="J354" s="32"/>
      <c r="K354" s="174">
        <f>'BID II'!F381</f>
        <v>1500000</v>
      </c>
      <c r="L354" s="66" t="s">
        <v>2620</v>
      </c>
    </row>
    <row r="355" spans="1:12" ht="30" x14ac:dyDescent="0.25">
      <c r="A355" s="32"/>
      <c r="B355" s="32"/>
      <c r="C355" s="32"/>
      <c r="D355" s="32"/>
      <c r="E355" s="32"/>
      <c r="F355" s="32"/>
      <c r="G355" s="1340" t="s">
        <v>2703</v>
      </c>
      <c r="H355" s="66" t="str">
        <f>'BID II'!B382</f>
        <v>Belanja modal bahan baku</v>
      </c>
      <c r="I355" s="32"/>
      <c r="J355" s="32"/>
      <c r="K355" s="174">
        <f>'BID II'!F385</f>
        <v>79057200</v>
      </c>
      <c r="L355" s="66" t="s">
        <v>2620</v>
      </c>
    </row>
    <row r="356" spans="1:12" ht="105" x14ac:dyDescent="0.25">
      <c r="A356" s="1344">
        <v>2</v>
      </c>
      <c r="B356" s="1344">
        <v>1</v>
      </c>
      <c r="C356" s="1346" t="s">
        <v>2708</v>
      </c>
      <c r="D356" s="1344"/>
      <c r="E356" s="1344"/>
      <c r="F356" s="1344"/>
      <c r="G356" s="1346"/>
      <c r="H356" s="1345" t="str">
        <f>'BID II'!B400</f>
        <v>:Peningkatan Sarana Prasarana Perpustakaan/Taman Bacaan Desa/ Sanggar Belajar Milik Desa (Perpustakaan Desa, Digital dan keliling)</v>
      </c>
      <c r="I356" s="1344"/>
      <c r="J356" s="1344"/>
      <c r="K356" s="1349">
        <f>SUM(K357:K369)</f>
        <v>196621400</v>
      </c>
      <c r="L356" s="1345" t="s">
        <v>2620</v>
      </c>
    </row>
    <row r="357" spans="1:12" x14ac:dyDescent="0.25">
      <c r="A357" s="32"/>
      <c r="B357" s="32"/>
      <c r="C357" s="32"/>
      <c r="D357" s="32">
        <v>5</v>
      </c>
      <c r="E357" s="32">
        <v>2</v>
      </c>
      <c r="F357" s="32"/>
      <c r="G357" s="1340"/>
      <c r="H357" s="66" t="str">
        <f>'BID II'!B407</f>
        <v>Belanja Barang Jasa</v>
      </c>
      <c r="I357" s="32"/>
      <c r="J357" s="32"/>
      <c r="K357" s="174"/>
      <c r="L357" s="66"/>
    </row>
    <row r="358" spans="1:12" ht="30" x14ac:dyDescent="0.25">
      <c r="A358" s="32"/>
      <c r="B358" s="32"/>
      <c r="C358" s="32"/>
      <c r="D358" s="32"/>
      <c r="E358" s="32"/>
      <c r="F358" s="32">
        <v>1</v>
      </c>
      <c r="G358" s="1340"/>
      <c r="H358" s="66" t="str">
        <f>'BID II'!B408</f>
        <v>Belanja Barang Perlengkapan</v>
      </c>
      <c r="I358" s="32"/>
      <c r="J358" s="32"/>
      <c r="K358" s="174"/>
      <c r="L358" s="66"/>
    </row>
    <row r="359" spans="1:12" ht="30" x14ac:dyDescent="0.25">
      <c r="A359" s="32"/>
      <c r="B359" s="32"/>
      <c r="C359" s="32"/>
      <c r="D359" s="32"/>
      <c r="E359" s="32"/>
      <c r="F359" s="32"/>
      <c r="G359" s="1340" t="s">
        <v>2688</v>
      </c>
      <c r="H359" s="66" t="str">
        <f>'BID II'!B409</f>
        <v>Belanja Alat Tulis Kantor dan Benda Pos</v>
      </c>
      <c r="I359" s="32"/>
      <c r="J359" s="32"/>
      <c r="K359" s="174">
        <f>SUM('BID II'!F410)</f>
        <v>20000000</v>
      </c>
      <c r="L359" s="66" t="s">
        <v>2620</v>
      </c>
    </row>
    <row r="360" spans="1:12" ht="30" x14ac:dyDescent="0.25">
      <c r="A360" s="32"/>
      <c r="B360" s="32"/>
      <c r="C360" s="32"/>
      <c r="D360" s="32"/>
      <c r="E360" s="32"/>
      <c r="F360" s="32"/>
      <c r="G360" s="1340" t="s">
        <v>2704</v>
      </c>
      <c r="H360" s="66" t="str">
        <f>'BID II'!B411</f>
        <v>Belanja Bahan Bakar Kendaraan Bermotor</v>
      </c>
      <c r="I360" s="32"/>
      <c r="J360" s="32"/>
      <c r="K360" s="174">
        <f>'BID II'!F412</f>
        <v>5000000</v>
      </c>
      <c r="L360" s="66" t="s">
        <v>2620</v>
      </c>
    </row>
    <row r="361" spans="1:12" x14ac:dyDescent="0.25">
      <c r="A361" s="32"/>
      <c r="B361" s="32"/>
      <c r="C361" s="32"/>
      <c r="D361" s="32">
        <v>5</v>
      </c>
      <c r="E361" s="32">
        <v>2</v>
      </c>
      <c r="F361" s="32">
        <v>6</v>
      </c>
      <c r="G361" s="1340"/>
      <c r="H361" s="66" t="str">
        <f>'BID II'!B413</f>
        <v>Belanja Pemeliharaan</v>
      </c>
      <c r="I361" s="32"/>
      <c r="J361" s="32"/>
      <c r="K361" s="174"/>
      <c r="L361" s="66"/>
    </row>
    <row r="362" spans="1:12" ht="30" x14ac:dyDescent="0.25">
      <c r="A362" s="32"/>
      <c r="B362" s="32"/>
      <c r="C362" s="32"/>
      <c r="D362" s="32"/>
      <c r="E362" s="32"/>
      <c r="F362" s="32"/>
      <c r="G362" s="1340" t="s">
        <v>2702</v>
      </c>
      <c r="H362" s="66" t="str">
        <f>'BID II'!B414</f>
        <v>Belanja Pemeliharaan Kendaraan Bermotor</v>
      </c>
      <c r="I362" s="32"/>
      <c r="J362" s="32"/>
      <c r="K362" s="174">
        <f>'BID II'!F415</f>
        <v>2000000</v>
      </c>
      <c r="L362" s="66" t="s">
        <v>2620</v>
      </c>
    </row>
    <row r="363" spans="1:12" x14ac:dyDescent="0.25">
      <c r="A363" s="32"/>
      <c r="B363" s="32"/>
      <c r="C363" s="32"/>
      <c r="D363" s="32">
        <v>5</v>
      </c>
      <c r="E363" s="32">
        <v>2</v>
      </c>
      <c r="F363" s="32">
        <v>2</v>
      </c>
      <c r="G363" s="1340"/>
      <c r="H363" s="66" t="str">
        <f>'BID II'!B416</f>
        <v>Belanja Jasa Honorarium</v>
      </c>
      <c r="I363" s="32"/>
      <c r="J363" s="32"/>
      <c r="K363" s="174"/>
      <c r="L363" s="66"/>
    </row>
    <row r="364" spans="1:12" ht="45" x14ac:dyDescent="0.25">
      <c r="A364" s="32"/>
      <c r="B364" s="32"/>
      <c r="C364" s="32"/>
      <c r="D364" s="32"/>
      <c r="E364" s="32"/>
      <c r="F364" s="32"/>
      <c r="G364" s="1340" t="s">
        <v>2688</v>
      </c>
      <c r="H364" s="66" t="str">
        <f>'BID II'!B417</f>
        <v>Belanja Jasa Honorarium Tim yang Melaksanakan Kegiatan</v>
      </c>
      <c r="I364" s="32"/>
      <c r="J364" s="32"/>
      <c r="K364" s="174">
        <f>SUM('BID II'!F418:F420)</f>
        <v>1150000</v>
      </c>
      <c r="L364" s="66" t="s">
        <v>2620</v>
      </c>
    </row>
    <row r="365" spans="1:12" x14ac:dyDescent="0.25">
      <c r="A365" s="32"/>
      <c r="B365" s="32"/>
      <c r="C365" s="32"/>
      <c r="D365" s="32">
        <v>5</v>
      </c>
      <c r="E365" s="32">
        <v>3</v>
      </c>
      <c r="F365" s="32"/>
      <c r="G365" s="1340"/>
      <c r="H365" s="66" t="str">
        <f>'BID II'!B421</f>
        <v>Belanja Modal</v>
      </c>
      <c r="I365" s="32"/>
      <c r="J365" s="32"/>
      <c r="K365" s="174"/>
      <c r="L365" s="66"/>
    </row>
    <row r="366" spans="1:12" ht="30" x14ac:dyDescent="0.25">
      <c r="A366" s="32"/>
      <c r="B366" s="32"/>
      <c r="C366" s="32"/>
      <c r="D366" s="32"/>
      <c r="E366" s="32"/>
      <c r="F366" s="32">
        <v>2</v>
      </c>
      <c r="G366" s="1340"/>
      <c r="H366" s="66" t="str">
        <f>'BID II'!B422</f>
        <v>Belanja Modal Peralatan, Mesin, dan Alat Berat</v>
      </c>
      <c r="I366" s="32"/>
      <c r="J366" s="32"/>
      <c r="K366" s="174"/>
      <c r="L366" s="66"/>
    </row>
    <row r="367" spans="1:12" ht="30" x14ac:dyDescent="0.25">
      <c r="A367" s="32"/>
      <c r="B367" s="32"/>
      <c r="C367" s="32"/>
      <c r="D367" s="32"/>
      <c r="E367" s="32"/>
      <c r="F367" s="32"/>
      <c r="G367" s="1340" t="s">
        <v>2702</v>
      </c>
      <c r="H367" s="66" t="str">
        <f>'BID II'!B423</f>
        <v>Belanja Modal Peralatan Elektronik dan Alat Studio</v>
      </c>
      <c r="I367" s="32"/>
      <c r="J367" s="32"/>
      <c r="K367" s="174">
        <f>SUM('BID II'!F424:F426)</f>
        <v>119750000</v>
      </c>
      <c r="L367" s="66" t="s">
        <v>2620</v>
      </c>
    </row>
    <row r="368" spans="1:12" x14ac:dyDescent="0.25">
      <c r="A368" s="32"/>
      <c r="B368" s="32"/>
      <c r="C368" s="32"/>
      <c r="D368" s="32">
        <v>5</v>
      </c>
      <c r="E368" s="32">
        <v>3</v>
      </c>
      <c r="F368" s="32">
        <v>3</v>
      </c>
      <c r="G368" s="1340"/>
      <c r="H368" s="66" t="str">
        <f>'BID II'!B427</f>
        <v>Belanja Modal Kendaraan</v>
      </c>
      <c r="I368" s="32"/>
      <c r="J368" s="32"/>
      <c r="K368" s="174"/>
      <c r="L368" s="66"/>
    </row>
    <row r="369" spans="1:13" ht="30" x14ac:dyDescent="0.25">
      <c r="A369" s="32"/>
      <c r="B369" s="32"/>
      <c r="C369" s="32"/>
      <c r="D369" s="32"/>
      <c r="E369" s="32"/>
      <c r="F369" s="32"/>
      <c r="G369" s="1340" t="s">
        <v>2702</v>
      </c>
      <c r="H369" s="66" t="str">
        <f>'BID II'!B428</f>
        <v>Belanja Modal Kendaraan Darat Bermotor</v>
      </c>
      <c r="I369" s="32"/>
      <c r="J369" s="32"/>
      <c r="K369" s="174">
        <f>SUM('BID II'!F429:F430)</f>
        <v>48721400</v>
      </c>
      <c r="L369" s="66" t="s">
        <v>2620</v>
      </c>
    </row>
    <row r="370" spans="1:13" ht="45" x14ac:dyDescent="0.25">
      <c r="A370" s="1344">
        <v>2</v>
      </c>
      <c r="B370" s="1344">
        <v>2</v>
      </c>
      <c r="C370" s="1346" t="s">
        <v>2702</v>
      </c>
      <c r="D370" s="1344"/>
      <c r="E370" s="1344"/>
      <c r="F370" s="1344"/>
      <c r="G370" s="1344"/>
      <c r="H370" s="1345" t="str">
        <f>'BID II'!B444</f>
        <v>: Penyelenggaraan Posyandu (Pemberian PMT)</v>
      </c>
      <c r="I370" s="1344"/>
      <c r="J370" s="1344"/>
      <c r="K370" s="1347">
        <f>SUM(K371:K380)</f>
        <v>266295500</v>
      </c>
      <c r="L370" s="1345"/>
      <c r="M370" s="175">
        <f>'BID II'!F483</f>
        <v>266295500</v>
      </c>
    </row>
    <row r="371" spans="1:13" x14ac:dyDescent="0.25">
      <c r="A371" s="32"/>
      <c r="B371" s="32"/>
      <c r="C371" s="32"/>
      <c r="D371" s="32">
        <v>5</v>
      </c>
      <c r="E371" s="32">
        <v>2</v>
      </c>
      <c r="F371" s="32"/>
      <c r="G371" s="32"/>
      <c r="H371" s="66" t="str">
        <f>'BID II'!B449</f>
        <v>Belanja Barang dan Jasa</v>
      </c>
      <c r="I371" s="32"/>
      <c r="J371" s="32"/>
      <c r="K371" s="32"/>
      <c r="L371" s="66"/>
      <c r="M371" s="175">
        <f>K370+K381+K388+K486+K590</f>
        <v>428687500</v>
      </c>
    </row>
    <row r="372" spans="1:13" ht="30" x14ac:dyDescent="0.25">
      <c r="A372" s="32"/>
      <c r="B372" s="32"/>
      <c r="C372" s="32"/>
      <c r="D372" s="32"/>
      <c r="E372" s="32"/>
      <c r="F372" s="32">
        <v>1</v>
      </c>
      <c r="G372" s="32"/>
      <c r="H372" s="66" t="str">
        <f>'BID II'!B450</f>
        <v>Belanaja Barang Pelengkapan</v>
      </c>
      <c r="I372" s="32"/>
      <c r="J372" s="32"/>
      <c r="K372" s="32"/>
      <c r="L372" s="66"/>
      <c r="M372" s="451">
        <v>428687500</v>
      </c>
    </row>
    <row r="373" spans="1:13" ht="30" x14ac:dyDescent="0.25">
      <c r="A373" s="32"/>
      <c r="B373" s="32"/>
      <c r="C373" s="32"/>
      <c r="D373" s="32"/>
      <c r="E373" s="32"/>
      <c r="F373" s="32"/>
      <c r="G373" s="1340" t="s">
        <v>2688</v>
      </c>
      <c r="H373" s="66" t="str">
        <f>'BID II'!B451</f>
        <v>Perlangakapan Alat Tulis Kantor dan Benda POS</v>
      </c>
      <c r="I373" s="32"/>
      <c r="J373" s="32"/>
      <c r="K373" s="174">
        <f>SUM('BID II'!F452:F459)</f>
        <v>11993500</v>
      </c>
      <c r="L373" s="66" t="s">
        <v>2387</v>
      </c>
      <c r="M373" s="175">
        <f>M372-M371</f>
        <v>0</v>
      </c>
    </row>
    <row r="374" spans="1:13" ht="30" x14ac:dyDescent="0.25">
      <c r="A374" s="32"/>
      <c r="B374" s="32"/>
      <c r="C374" s="32"/>
      <c r="D374" s="32"/>
      <c r="E374" s="32"/>
      <c r="F374" s="32"/>
      <c r="G374" s="1340" t="s">
        <v>2705</v>
      </c>
      <c r="H374" s="66" t="str">
        <f>'BID II'!B460</f>
        <v>Belanja Perlengkapan Barang Konsumsi</v>
      </c>
      <c r="I374" s="32"/>
      <c r="J374" s="32"/>
      <c r="K374" s="174">
        <f>SUM('BID II'!F462:F467)</f>
        <v>151992000</v>
      </c>
      <c r="L374" s="66" t="s">
        <v>2387</v>
      </c>
    </row>
    <row r="375" spans="1:13" ht="30" x14ac:dyDescent="0.25">
      <c r="A375" s="32"/>
      <c r="B375" s="32"/>
      <c r="C375" s="32"/>
      <c r="D375" s="32"/>
      <c r="E375" s="32"/>
      <c r="F375" s="32"/>
      <c r="G375" s="1340" t="s">
        <v>2708</v>
      </c>
      <c r="H375" s="32" t="str">
        <f>'BID II'!B469</f>
        <v>Belanja Bahan/Material</v>
      </c>
      <c r="I375" s="32"/>
      <c r="J375" s="32"/>
      <c r="K375" s="174">
        <f>SUM('BID II'!F470)</f>
        <v>3900000</v>
      </c>
      <c r="L375" s="66" t="s">
        <v>2625</v>
      </c>
    </row>
    <row r="376" spans="1:13" ht="30" x14ac:dyDescent="0.25">
      <c r="A376" s="32"/>
      <c r="B376" s="32"/>
      <c r="C376" s="32"/>
      <c r="D376" s="32"/>
      <c r="E376" s="32"/>
      <c r="F376" s="32"/>
      <c r="G376" s="1340" t="s">
        <v>2707</v>
      </c>
      <c r="H376" s="66" t="str">
        <f>'BID II'!B472</f>
        <v>Belanja Bendera/Umbul - umbul Spanduk</v>
      </c>
      <c r="I376" s="32"/>
      <c r="J376" s="32"/>
      <c r="K376" s="174">
        <f>'BID II'!F473</f>
        <v>1170000</v>
      </c>
      <c r="L376" s="66" t="s">
        <v>2625</v>
      </c>
    </row>
    <row r="377" spans="1:13" ht="30" x14ac:dyDescent="0.25">
      <c r="A377" s="32"/>
      <c r="B377" s="32"/>
      <c r="C377" s="32"/>
      <c r="D377" s="32"/>
      <c r="E377" s="32"/>
      <c r="F377" s="32"/>
      <c r="G377" s="32">
        <v>90</v>
      </c>
      <c r="H377" s="66" t="str">
        <f>'BID II'!B475</f>
        <v>Belanja Upakara, Upacara Dan Aci</v>
      </c>
      <c r="I377" s="32"/>
      <c r="J377" s="32"/>
      <c r="K377" s="174">
        <f>SUM('BID II'!F476:F477)</f>
        <v>6240000</v>
      </c>
      <c r="L377" s="66" t="s">
        <v>2625</v>
      </c>
    </row>
    <row r="378" spans="1:13" x14ac:dyDescent="0.25">
      <c r="A378" s="32"/>
      <c r="B378" s="32"/>
      <c r="C378" s="32"/>
      <c r="D378" s="32">
        <v>5</v>
      </c>
      <c r="E378" s="32">
        <v>2</v>
      </c>
      <c r="F378" s="32">
        <v>2</v>
      </c>
      <c r="G378" s="32"/>
      <c r="H378" s="32" t="str">
        <f>'BID II'!B478</f>
        <v>Belanja Jasa Honorarium</v>
      </c>
      <c r="I378" s="32"/>
      <c r="J378" s="32"/>
      <c r="K378" s="32"/>
      <c r="L378" s="66"/>
    </row>
    <row r="379" spans="1:13" ht="30" x14ac:dyDescent="0.25">
      <c r="A379" s="32"/>
      <c r="B379" s="32"/>
      <c r="C379" s="32"/>
      <c r="D379" s="32"/>
      <c r="E379" s="32"/>
      <c r="F379" s="32"/>
      <c r="G379" s="1340" t="s">
        <v>2704</v>
      </c>
      <c r="H379" s="66" t="str">
        <f>'BID II'!B479</f>
        <v>Belanja Jasa Honorarium Narasumber/ Ahli</v>
      </c>
      <c r="I379" s="32"/>
      <c r="J379" s="32"/>
      <c r="K379" s="174">
        <f>SUM('BID II'!F480)</f>
        <v>13000000</v>
      </c>
      <c r="L379" s="66" t="s">
        <v>2625</v>
      </c>
    </row>
    <row r="380" spans="1:13" ht="30" x14ac:dyDescent="0.25">
      <c r="A380" s="32"/>
      <c r="B380" s="32"/>
      <c r="C380" s="32"/>
      <c r="D380" s="32"/>
      <c r="E380" s="32"/>
      <c r="F380" s="32"/>
      <c r="G380" s="1340" t="s">
        <v>2706</v>
      </c>
      <c r="H380" s="66" t="str">
        <f>'BID II'!B481</f>
        <v>Belanja Jasa Honorarium Petugas</v>
      </c>
      <c r="I380" s="32"/>
      <c r="J380" s="32"/>
      <c r="K380" s="174">
        <f>'BID II'!F482</f>
        <v>78000000</v>
      </c>
      <c r="L380" s="66" t="s">
        <v>2387</v>
      </c>
    </row>
    <row r="381" spans="1:13" ht="45" x14ac:dyDescent="0.25">
      <c r="A381" s="1344">
        <v>2</v>
      </c>
      <c r="B381" s="1344">
        <v>2</v>
      </c>
      <c r="C381" s="1346" t="s">
        <v>2702</v>
      </c>
      <c r="D381" s="1344"/>
      <c r="E381" s="1344"/>
      <c r="F381" s="1344"/>
      <c r="G381" s="1344"/>
      <c r="H381" s="1345" t="str">
        <f>'BID II'!B496</f>
        <v>: Penyelenggaraan POSyandu (Pos Gizi dan Ibu Hamil)</v>
      </c>
      <c r="I381" s="1344"/>
      <c r="J381" s="1344"/>
      <c r="K381" s="1347">
        <f>SUM(K382:K387)</f>
        <v>4140000</v>
      </c>
      <c r="L381" s="1345" t="s">
        <v>2625</v>
      </c>
      <c r="M381" s="175">
        <f>'BID II'!F518</f>
        <v>4140000</v>
      </c>
    </row>
    <row r="382" spans="1:13" x14ac:dyDescent="0.25">
      <c r="A382" s="32"/>
      <c r="B382" s="32"/>
      <c r="C382" s="32"/>
      <c r="D382" s="32">
        <v>5</v>
      </c>
      <c r="E382" s="32">
        <v>2</v>
      </c>
      <c r="F382" s="32"/>
      <c r="G382" s="32"/>
      <c r="H382" s="66" t="str">
        <f>'BID II'!B503</f>
        <v>Belanja Barang Jasa</v>
      </c>
      <c r="I382" s="32"/>
      <c r="J382" s="32"/>
      <c r="K382" s="32"/>
      <c r="L382" s="66"/>
    </row>
    <row r="383" spans="1:13" ht="30" x14ac:dyDescent="0.25">
      <c r="A383" s="32"/>
      <c r="B383" s="32"/>
      <c r="C383" s="32"/>
      <c r="D383" s="32"/>
      <c r="E383" s="32"/>
      <c r="F383" s="32">
        <v>1</v>
      </c>
      <c r="G383" s="32"/>
      <c r="H383" s="66" t="str">
        <f>'BID II'!B504</f>
        <v>Belanja Barang Perlengkapan</v>
      </c>
      <c r="I383" s="32"/>
      <c r="J383" s="32"/>
      <c r="K383" s="32"/>
      <c r="L383" s="66"/>
    </row>
    <row r="384" spans="1:13" ht="30" x14ac:dyDescent="0.25">
      <c r="A384" s="32"/>
      <c r="B384" s="32"/>
      <c r="C384" s="32"/>
      <c r="D384" s="32"/>
      <c r="E384" s="32"/>
      <c r="F384" s="32"/>
      <c r="G384" s="1340" t="s">
        <v>2705</v>
      </c>
      <c r="H384" s="66" t="str">
        <f>'BID II'!B505</f>
        <v>Belanja Perlengkapan Barang Konsumsi</v>
      </c>
      <c r="I384" s="32"/>
      <c r="J384" s="32"/>
      <c r="K384" s="174">
        <f>SUM('BID II'!F506:F508)</f>
        <v>3450000</v>
      </c>
      <c r="L384" s="66" t="s">
        <v>2625</v>
      </c>
    </row>
    <row r="385" spans="1:13" ht="30" x14ac:dyDescent="0.25">
      <c r="A385" s="32"/>
      <c r="B385" s="32"/>
      <c r="C385" s="32"/>
      <c r="D385" s="32"/>
      <c r="E385" s="32"/>
      <c r="F385" s="32"/>
      <c r="G385" s="1340" t="s">
        <v>2707</v>
      </c>
      <c r="H385" s="66" t="str">
        <f>'BID II'!B511</f>
        <v>Belanja Bendera/ Umbul-umbul/ Spanduk</v>
      </c>
      <c r="I385" s="32"/>
      <c r="J385" s="32"/>
      <c r="K385" s="174">
        <f>'BID II'!F512</f>
        <v>90000</v>
      </c>
      <c r="L385" s="66" t="s">
        <v>2625</v>
      </c>
    </row>
    <row r="386" spans="1:13" x14ac:dyDescent="0.25">
      <c r="A386" s="32"/>
      <c r="B386" s="32"/>
      <c r="C386" s="32"/>
      <c r="D386" s="32">
        <v>5</v>
      </c>
      <c r="E386" s="32">
        <v>2</v>
      </c>
      <c r="F386" s="32">
        <v>2</v>
      </c>
      <c r="G386" s="32"/>
      <c r="H386" s="66" t="str">
        <f>'BID II'!B514</f>
        <v>Belanja Jasa Honorarium</v>
      </c>
      <c r="I386" s="32"/>
      <c r="J386" s="32"/>
      <c r="K386" s="32"/>
      <c r="L386" s="66"/>
    </row>
    <row r="387" spans="1:13" ht="60" x14ac:dyDescent="0.25">
      <c r="A387" s="32"/>
      <c r="B387" s="32"/>
      <c r="C387" s="32"/>
      <c r="D387" s="32"/>
      <c r="E387" s="32"/>
      <c r="F387" s="32"/>
      <c r="G387" s="1340" t="s">
        <v>2704</v>
      </c>
      <c r="H387" s="66" t="str">
        <f>'BID II'!B515</f>
        <v>Belanja Jasa Honorarium Ahli/ Profesi/Konsultan/Narasumber</v>
      </c>
      <c r="I387" s="32"/>
      <c r="J387" s="32"/>
      <c r="K387" s="174">
        <f>'BID II'!F516</f>
        <v>600000</v>
      </c>
      <c r="L387" s="66" t="s">
        <v>2625</v>
      </c>
    </row>
    <row r="388" spans="1:13" ht="60" x14ac:dyDescent="0.25">
      <c r="A388" s="1344">
        <v>2</v>
      </c>
      <c r="B388" s="1344">
        <v>2</v>
      </c>
      <c r="C388" s="1346" t="s">
        <v>2702</v>
      </c>
      <c r="D388" s="1344"/>
      <c r="E388" s="1344"/>
      <c r="F388" s="1344"/>
      <c r="G388" s="1344"/>
      <c r="H388" s="1345" t="str">
        <f>'BID II'!B531</f>
        <v>: Penyelenggaraan Posyandu Lansia (Pemberian tambahan nutrisi bagi lansia)</v>
      </c>
      <c r="I388" s="1344"/>
      <c r="J388" s="1344"/>
      <c r="K388" s="1347">
        <f>SUM(K389:K394)</f>
        <v>104580000</v>
      </c>
      <c r="L388" s="1345" t="s">
        <v>2626</v>
      </c>
      <c r="M388" s="451">
        <f>'BID II'!F553</f>
        <v>104580000</v>
      </c>
    </row>
    <row r="389" spans="1:13" x14ac:dyDescent="0.25">
      <c r="A389" s="32"/>
      <c r="B389" s="32"/>
      <c r="C389" s="32"/>
      <c r="D389" s="32">
        <v>5</v>
      </c>
      <c r="E389" s="32">
        <v>2</v>
      </c>
      <c r="F389" s="32"/>
      <c r="G389" s="32"/>
      <c r="H389" s="66" t="str">
        <f>'BID II'!B536</f>
        <v xml:space="preserve">Belanja Barang dan Jasa </v>
      </c>
      <c r="I389" s="32"/>
      <c r="J389" s="32"/>
      <c r="K389" s="32"/>
      <c r="L389" s="66"/>
    </row>
    <row r="390" spans="1:13" ht="30" x14ac:dyDescent="0.25">
      <c r="A390" s="32"/>
      <c r="B390" s="32"/>
      <c r="C390" s="32"/>
      <c r="D390" s="32"/>
      <c r="E390" s="32"/>
      <c r="F390" s="32">
        <v>1</v>
      </c>
      <c r="G390" s="32"/>
      <c r="H390" s="66" t="str">
        <f>'BID II'!B537</f>
        <v>Belanja Barang perlengkapan</v>
      </c>
      <c r="I390" s="32"/>
      <c r="J390" s="32"/>
      <c r="K390" s="32"/>
      <c r="L390" s="66"/>
    </row>
    <row r="391" spans="1:13" ht="30" x14ac:dyDescent="0.25">
      <c r="A391" s="32"/>
      <c r="B391" s="32"/>
      <c r="C391" s="32"/>
      <c r="D391" s="32"/>
      <c r="E391" s="32"/>
      <c r="F391" s="32"/>
      <c r="G391" s="1340" t="s">
        <v>2705</v>
      </c>
      <c r="H391" s="66" t="str">
        <f>'BID II'!B538</f>
        <v>Belanja Perlengkapan Barang Konsumsi</v>
      </c>
      <c r="I391" s="32"/>
      <c r="J391" s="32"/>
      <c r="K391" s="513">
        <f>SUM('BID II'!F539:F544)</f>
        <v>68040000</v>
      </c>
      <c r="L391" s="66" t="s">
        <v>2626</v>
      </c>
    </row>
    <row r="392" spans="1:13" ht="30" x14ac:dyDescent="0.25">
      <c r="A392" s="32"/>
      <c r="B392" s="32"/>
      <c r="C392" s="32"/>
      <c r="D392" s="32"/>
      <c r="E392" s="32"/>
      <c r="F392" s="32"/>
      <c r="G392" s="1340" t="s">
        <v>2707</v>
      </c>
      <c r="H392" s="66" t="str">
        <f>'BID II'!B546</f>
        <v>Belanja Bendera/ Umbul-Umbul/ Spanduk</v>
      </c>
      <c r="I392" s="32"/>
      <c r="J392" s="32"/>
      <c r="K392" s="513">
        <f>'BID II'!F547</f>
        <v>540000</v>
      </c>
      <c r="L392" s="66" t="s">
        <v>2626</v>
      </c>
    </row>
    <row r="393" spans="1:13" x14ac:dyDescent="0.25">
      <c r="A393" s="32"/>
      <c r="B393" s="32"/>
      <c r="C393" s="32"/>
      <c r="D393" s="32">
        <v>5</v>
      </c>
      <c r="E393" s="32">
        <v>2</v>
      </c>
      <c r="F393" s="32">
        <v>2</v>
      </c>
      <c r="G393" s="32"/>
      <c r="H393" s="66" t="str">
        <f>'BID II'!B549</f>
        <v>Belanaja Jasa Honorarium</v>
      </c>
      <c r="I393" s="32"/>
      <c r="J393" s="32"/>
      <c r="K393" s="32"/>
      <c r="L393" s="66"/>
    </row>
    <row r="394" spans="1:13" ht="30" x14ac:dyDescent="0.25">
      <c r="A394" s="32"/>
      <c r="B394" s="32"/>
      <c r="C394" s="32"/>
      <c r="D394" s="32"/>
      <c r="E394" s="32"/>
      <c r="F394" s="32"/>
      <c r="G394" s="1340" t="s">
        <v>2706</v>
      </c>
      <c r="H394" s="66" t="str">
        <f>'BID II'!B550</f>
        <v>Belanja Jasa Honorarium Petugas</v>
      </c>
      <c r="I394" s="32"/>
      <c r="J394" s="32"/>
      <c r="K394" s="513">
        <f>'BID II'!F551</f>
        <v>36000000</v>
      </c>
      <c r="L394" s="66" t="s">
        <v>2626</v>
      </c>
    </row>
    <row r="395" spans="1:13" ht="75" x14ac:dyDescent="0.25">
      <c r="A395" s="1344">
        <v>2</v>
      </c>
      <c r="B395" s="1344">
        <v>2</v>
      </c>
      <c r="C395" s="1346" t="s">
        <v>2703</v>
      </c>
      <c r="D395" s="1344"/>
      <c r="E395" s="1344"/>
      <c r="F395" s="1344"/>
      <c r="G395" s="1344"/>
      <c r="H395" s="1345" t="str">
        <f>'BID II'!B566</f>
        <v xml:space="preserve"> :Penyuluhan dan Pelatiah Bidang Kesehatan (Pendampingan calon pengantin Stunting)</v>
      </c>
      <c r="I395" s="1344"/>
      <c r="J395" s="1344"/>
      <c r="K395" s="1347">
        <f>SUM(K396:K404)</f>
        <v>6877440</v>
      </c>
      <c r="L395" s="1345" t="s">
        <v>2387</v>
      </c>
      <c r="M395" s="175">
        <f>K395+K405+K417+K428+K445+K457</f>
        <v>96371527.090000004</v>
      </c>
    </row>
    <row r="396" spans="1:13" ht="30" x14ac:dyDescent="0.25">
      <c r="A396" s="32"/>
      <c r="B396" s="32"/>
      <c r="C396" s="32"/>
      <c r="D396" s="32"/>
      <c r="E396" s="32"/>
      <c r="F396" s="32"/>
      <c r="G396" s="32"/>
      <c r="H396" s="66" t="str">
        <f>'BID II'!B572</f>
        <v>Pendampingan Calon Pengantin</v>
      </c>
      <c r="I396" s="32"/>
      <c r="J396" s="32"/>
      <c r="K396" s="32"/>
      <c r="L396" s="66"/>
      <c r="M396" s="451"/>
    </row>
    <row r="397" spans="1:13" x14ac:dyDescent="0.25">
      <c r="A397" s="32"/>
      <c r="B397" s="32"/>
      <c r="C397" s="32"/>
      <c r="D397" s="32">
        <v>5</v>
      </c>
      <c r="E397" s="32">
        <v>2</v>
      </c>
      <c r="F397" s="32"/>
      <c r="G397" s="32"/>
      <c r="H397" s="66" t="str">
        <f>'BID II'!B573</f>
        <v>Belanja Barang Jasa</v>
      </c>
      <c r="I397" s="32"/>
      <c r="J397" s="32"/>
      <c r="K397" s="32"/>
      <c r="L397" s="66"/>
      <c r="M397" s="175"/>
    </row>
    <row r="398" spans="1:13" ht="30" x14ac:dyDescent="0.25">
      <c r="A398" s="32"/>
      <c r="B398" s="32"/>
      <c r="C398" s="32"/>
      <c r="D398" s="32"/>
      <c r="E398" s="32"/>
      <c r="F398" s="32">
        <v>1</v>
      </c>
      <c r="G398" s="32"/>
      <c r="H398" s="66" t="str">
        <f>'BID II'!B574</f>
        <v>Belanja Barang Perlengkapan</v>
      </c>
      <c r="I398" s="32"/>
      <c r="J398" s="32"/>
      <c r="K398" s="32"/>
      <c r="L398" s="66"/>
    </row>
    <row r="399" spans="1:13" ht="30" x14ac:dyDescent="0.25">
      <c r="A399" s="32"/>
      <c r="B399" s="32"/>
      <c r="C399" s="32"/>
      <c r="D399" s="32"/>
      <c r="E399" s="32"/>
      <c r="F399" s="32"/>
      <c r="G399" s="1340" t="s">
        <v>2688</v>
      </c>
      <c r="H399" s="66" t="str">
        <f>'BID II'!B575</f>
        <v>Belanja Alat Tulis Kantor dan Benda Pos</v>
      </c>
      <c r="I399" s="32"/>
      <c r="J399" s="32"/>
      <c r="K399" s="470">
        <f>SUM('BID II'!F576:F577)</f>
        <v>100500</v>
      </c>
      <c r="L399" s="66" t="s">
        <v>2387</v>
      </c>
    </row>
    <row r="400" spans="1:13" x14ac:dyDescent="0.25">
      <c r="A400" s="32"/>
      <c r="B400" s="32"/>
      <c r="C400" s="32"/>
      <c r="D400" s="32"/>
      <c r="E400" s="32"/>
      <c r="F400" s="32"/>
      <c r="G400" s="1340" t="s">
        <v>2708</v>
      </c>
      <c r="H400" s="32" t="str">
        <f>'BID II'!B579</f>
        <v>Belanja Bahan Material</v>
      </c>
      <c r="I400" s="32"/>
      <c r="J400" s="32"/>
      <c r="K400" s="470">
        <f>SUM('BID II'!F580:F581)</f>
        <v>686940</v>
      </c>
      <c r="L400" s="66" t="s">
        <v>2387</v>
      </c>
    </row>
    <row r="401" spans="1:12" ht="30" x14ac:dyDescent="0.25">
      <c r="A401" s="32"/>
      <c r="B401" s="32"/>
      <c r="C401" s="32"/>
      <c r="D401" s="32"/>
      <c r="E401" s="32"/>
      <c r="F401" s="32"/>
      <c r="G401" s="1340" t="s">
        <v>2705</v>
      </c>
      <c r="H401" s="66" t="str">
        <f>'BID II'!B583</f>
        <v>Belanja Perlengkapan Barang Konsumsi</v>
      </c>
      <c r="I401" s="32"/>
      <c r="J401" s="32"/>
      <c r="K401" s="174">
        <f>SUM('BID II'!F584)</f>
        <v>1500000</v>
      </c>
      <c r="L401" s="66" t="s">
        <v>2387</v>
      </c>
    </row>
    <row r="402" spans="1:12" ht="30" x14ac:dyDescent="0.25">
      <c r="A402" s="32"/>
      <c r="B402" s="32"/>
      <c r="C402" s="32"/>
      <c r="D402" s="32"/>
      <c r="E402" s="32"/>
      <c r="F402" s="32"/>
      <c r="G402" s="1340" t="s">
        <v>2707</v>
      </c>
      <c r="H402" s="66" t="str">
        <f>'BID II'!B586</f>
        <v>Belanja Bendera/ Umbul-umbul/ Spanduk</v>
      </c>
      <c r="I402" s="32"/>
      <c r="J402" s="32"/>
      <c r="K402" s="174">
        <f>'BID II'!F587</f>
        <v>90000</v>
      </c>
      <c r="L402" s="66" t="s">
        <v>2387</v>
      </c>
    </row>
    <row r="403" spans="1:12" x14ac:dyDescent="0.25">
      <c r="A403" s="32"/>
      <c r="B403" s="32"/>
      <c r="C403" s="32"/>
      <c r="D403" s="32">
        <v>5</v>
      </c>
      <c r="E403" s="32">
        <v>2</v>
      </c>
      <c r="F403" s="32">
        <v>2</v>
      </c>
      <c r="G403" s="32"/>
      <c r="H403" s="66" t="str">
        <f>'BID II'!B590</f>
        <v>Belanja Jasa Honorarium</v>
      </c>
      <c r="I403" s="32"/>
      <c r="J403" s="32"/>
      <c r="K403" s="32"/>
      <c r="L403" s="66"/>
    </row>
    <row r="404" spans="1:12" ht="60" x14ac:dyDescent="0.25">
      <c r="A404" s="32"/>
      <c r="B404" s="32"/>
      <c r="C404" s="32"/>
      <c r="D404" s="32"/>
      <c r="E404" s="32"/>
      <c r="F404" s="32"/>
      <c r="G404" s="1340" t="s">
        <v>2704</v>
      </c>
      <c r="H404" s="66" t="str">
        <f>'BID II'!B592</f>
        <v>Belanja Jasa Honorarium Ahli/ Profesi/Konsultan/Narasumber</v>
      </c>
      <c r="I404" s="32"/>
      <c r="J404" s="32"/>
      <c r="K404" s="174">
        <f>SUM('BID II'!F593:F594)</f>
        <v>4500000</v>
      </c>
      <c r="L404" s="66" t="s">
        <v>2387</v>
      </c>
    </row>
    <row r="405" spans="1:12" ht="60" x14ac:dyDescent="0.25">
      <c r="A405" s="1344">
        <v>2</v>
      </c>
      <c r="B405" s="1344">
        <v>2</v>
      </c>
      <c r="C405" s="1346" t="s">
        <v>2703</v>
      </c>
      <c r="D405" s="1344"/>
      <c r="E405" s="1344"/>
      <c r="F405" s="1344"/>
      <c r="G405" s="1344"/>
      <c r="H405" s="1345" t="str">
        <f>'BID II'!B650</f>
        <v>: Penyuluhan dan Pelatihan Bidang Kesehatan (Pembinaan Kader POSyandu)</v>
      </c>
      <c r="I405" s="1344"/>
      <c r="J405" s="1344"/>
      <c r="K405" s="1347">
        <f>SUM(K406:K416)</f>
        <v>31525000</v>
      </c>
      <c r="L405" s="1345"/>
    </row>
    <row r="406" spans="1:12" x14ac:dyDescent="0.25">
      <c r="A406" s="32"/>
      <c r="B406" s="32"/>
      <c r="C406" s="32"/>
      <c r="D406" s="32">
        <v>5</v>
      </c>
      <c r="E406" s="32">
        <v>2</v>
      </c>
      <c r="F406" s="32"/>
      <c r="G406" s="32"/>
      <c r="H406" s="66" t="str">
        <f>'BID II'!B655</f>
        <v>Belanja Barang dan Jasa</v>
      </c>
      <c r="I406" s="32"/>
      <c r="J406" s="32"/>
      <c r="K406" s="32"/>
      <c r="L406" s="66"/>
    </row>
    <row r="407" spans="1:12" ht="30" x14ac:dyDescent="0.25">
      <c r="A407" s="32"/>
      <c r="B407" s="32"/>
      <c r="C407" s="32"/>
      <c r="D407" s="32"/>
      <c r="E407" s="32"/>
      <c r="F407" s="32">
        <v>1</v>
      </c>
      <c r="G407" s="32"/>
      <c r="H407" s="66" t="str">
        <f>'BID II'!B656</f>
        <v>Belanaja Barang Pelengkapan</v>
      </c>
      <c r="I407" s="32"/>
      <c r="J407" s="32"/>
      <c r="K407" s="32"/>
      <c r="L407" s="66"/>
    </row>
    <row r="408" spans="1:12" ht="30" x14ac:dyDescent="0.25">
      <c r="A408" s="32"/>
      <c r="B408" s="32"/>
      <c r="C408" s="32"/>
      <c r="D408" s="32"/>
      <c r="E408" s="32"/>
      <c r="F408" s="32"/>
      <c r="G408" s="1340" t="s">
        <v>2688</v>
      </c>
      <c r="H408" s="66" t="str">
        <f>'BID II'!B657</f>
        <v>Perlangakapan Alat Tulis Kantor dan Benda POS</v>
      </c>
      <c r="I408" s="32"/>
      <c r="J408" s="32"/>
      <c r="K408" s="174">
        <f>SUM('BID II'!F658:F660)</f>
        <v>895000</v>
      </c>
      <c r="L408" s="66" t="s">
        <v>2387</v>
      </c>
    </row>
    <row r="409" spans="1:12" ht="30" x14ac:dyDescent="0.25">
      <c r="A409" s="32"/>
      <c r="B409" s="32"/>
      <c r="C409" s="32"/>
      <c r="D409" s="32"/>
      <c r="E409" s="32"/>
      <c r="F409" s="32"/>
      <c r="G409" s="1340" t="s">
        <v>2705</v>
      </c>
      <c r="H409" s="66" t="str">
        <f>'BID II'!B662</f>
        <v>Belanja Perlengkapan Barang Konsumsi</v>
      </c>
      <c r="I409" s="32"/>
      <c r="J409" s="32"/>
      <c r="K409" s="174">
        <f>SUM('BID II'!F663)</f>
        <v>1065000</v>
      </c>
      <c r="L409" s="66" t="s">
        <v>2387</v>
      </c>
    </row>
    <row r="410" spans="1:12" ht="30" x14ac:dyDescent="0.25">
      <c r="A410" s="32"/>
      <c r="B410" s="32"/>
      <c r="C410" s="32"/>
      <c r="D410" s="32"/>
      <c r="E410" s="32"/>
      <c r="F410" s="32"/>
      <c r="G410" s="1340" t="s">
        <v>2707</v>
      </c>
      <c r="H410" s="66" t="str">
        <f>'BID II'!B665</f>
        <v>Belanja Bendera/Umbul - umbul Spanduk</v>
      </c>
      <c r="I410" s="32"/>
      <c r="J410" s="32"/>
      <c r="K410" s="174">
        <f>'BID II'!F666</f>
        <v>90000</v>
      </c>
      <c r="L410" s="66" t="s">
        <v>2387</v>
      </c>
    </row>
    <row r="411" spans="1:12" ht="30" x14ac:dyDescent="0.25">
      <c r="A411" s="32"/>
      <c r="B411" s="32"/>
      <c r="C411" s="32"/>
      <c r="D411" s="32"/>
      <c r="E411" s="32"/>
      <c r="F411" s="32"/>
      <c r="G411" s="1340" t="s">
        <v>2709</v>
      </c>
      <c r="H411" s="66" t="str">
        <f>'BID II'!B668</f>
        <v>Belanja Pakaian Dinas/ Seragam/ Atribut</v>
      </c>
      <c r="I411" s="32"/>
      <c r="J411" s="32"/>
      <c r="K411" s="32"/>
      <c r="L411" s="66"/>
    </row>
    <row r="412" spans="1:12" ht="30" x14ac:dyDescent="0.25">
      <c r="A412" s="32"/>
      <c r="B412" s="32"/>
      <c r="C412" s="32"/>
      <c r="D412" s="32"/>
      <c r="E412" s="32"/>
      <c r="F412" s="32"/>
      <c r="G412" s="32">
        <v>90</v>
      </c>
      <c r="H412" s="66" t="str">
        <f>'BID II'!B670</f>
        <v>Belanja Upakara, Upacara Dan Aci-Aci</v>
      </c>
      <c r="I412" s="32"/>
      <c r="J412" s="32"/>
      <c r="K412" s="174">
        <f>SUM('BID II'!F671:F673)</f>
        <v>75000</v>
      </c>
      <c r="L412" s="66" t="s">
        <v>2387</v>
      </c>
    </row>
    <row r="413" spans="1:12" x14ac:dyDescent="0.25">
      <c r="A413" s="32"/>
      <c r="B413" s="32"/>
      <c r="C413" s="32"/>
      <c r="D413" s="32">
        <v>5</v>
      </c>
      <c r="E413" s="32">
        <v>2</v>
      </c>
      <c r="F413" s="32">
        <v>2</v>
      </c>
      <c r="G413" s="32"/>
      <c r="H413" s="66" t="str">
        <f>'BID II'!B675</f>
        <v>Belanja Jasa Honorarium</v>
      </c>
      <c r="I413" s="32"/>
      <c r="J413" s="32"/>
      <c r="K413" s="32"/>
      <c r="L413" s="66"/>
    </row>
    <row r="414" spans="1:12" ht="60" x14ac:dyDescent="0.25">
      <c r="A414" s="32"/>
      <c r="B414" s="32"/>
      <c r="C414" s="32"/>
      <c r="D414" s="32"/>
      <c r="E414" s="32"/>
      <c r="F414" s="32"/>
      <c r="G414" s="1340" t="s">
        <v>2704</v>
      </c>
      <c r="H414" s="66" t="str">
        <f>'BID II'!B676</f>
        <v>Belanja Jasa Honorarium Ahli/ Profesi/Konsultan/Narasumber</v>
      </c>
      <c r="I414" s="32"/>
      <c r="J414" s="32"/>
      <c r="K414" s="174">
        <f>SUM('BID II'!F677)</f>
        <v>600000</v>
      </c>
      <c r="L414" s="66" t="s">
        <v>2625</v>
      </c>
    </row>
    <row r="415" spans="1:12" x14ac:dyDescent="0.25">
      <c r="A415" s="32"/>
      <c r="B415" s="32"/>
      <c r="C415" s="32"/>
      <c r="D415" s="32">
        <v>5</v>
      </c>
      <c r="E415" s="32">
        <v>2</v>
      </c>
      <c r="F415" s="32">
        <v>4</v>
      </c>
      <c r="G415" s="1340"/>
      <c r="H415" s="66" t="str">
        <f>'BID II'!B679</f>
        <v>Belanja Jasa Sewa</v>
      </c>
      <c r="I415" s="32"/>
      <c r="J415" s="32"/>
      <c r="K415" s="174"/>
      <c r="L415" s="66"/>
    </row>
    <row r="416" spans="1:12" x14ac:dyDescent="0.25">
      <c r="A416" s="32"/>
      <c r="B416" s="32"/>
      <c r="C416" s="32"/>
      <c r="D416" s="32"/>
      <c r="E416" s="32"/>
      <c r="F416" s="32"/>
      <c r="G416" s="1340" t="s">
        <v>2703</v>
      </c>
      <c r="H416" s="66" t="str">
        <f>'BID II'!B681</f>
        <v>Outbond Kader Posyandu</v>
      </c>
      <c r="I416" s="32">
        <v>72</v>
      </c>
      <c r="J416" s="32"/>
      <c r="K416" s="174">
        <f>'BID II'!F681</f>
        <v>28800000</v>
      </c>
      <c r="L416" s="66" t="s">
        <v>2620</v>
      </c>
    </row>
    <row r="417" spans="1:13" ht="60" x14ac:dyDescent="0.25">
      <c r="A417" s="1344">
        <v>2</v>
      </c>
      <c r="B417" s="1344">
        <v>2</v>
      </c>
      <c r="C417" s="1346" t="s">
        <v>2703</v>
      </c>
      <c r="D417" s="1344"/>
      <c r="E417" s="1344"/>
      <c r="F417" s="1344"/>
      <c r="G417" s="1344"/>
      <c r="H417" s="1345" t="str">
        <f>'BID II'!B697</f>
        <v>: Penyuluhan dan Pelatihan Bidang Kesehatan (Penyuluhan Narkoba dan HIV/AIDS)</v>
      </c>
      <c r="I417" s="1344"/>
      <c r="J417" s="1344"/>
      <c r="K417" s="1347">
        <f>SUM(K418:K427)</f>
        <v>18340000</v>
      </c>
      <c r="L417" s="1345" t="s">
        <v>1682</v>
      </c>
      <c r="M417" s="175">
        <f>'BID II'!F731</f>
        <v>18340000</v>
      </c>
    </row>
    <row r="418" spans="1:13" x14ac:dyDescent="0.25">
      <c r="A418" s="32"/>
      <c r="B418" s="32"/>
      <c r="C418" s="32"/>
      <c r="D418" s="32">
        <v>5</v>
      </c>
      <c r="E418" s="32">
        <v>2</v>
      </c>
      <c r="F418" s="32"/>
      <c r="G418" s="32"/>
      <c r="H418" s="66" t="str">
        <f>'BID II'!B703</f>
        <v>Belanja Barang Jasa</v>
      </c>
      <c r="I418" s="32"/>
      <c r="J418" s="32"/>
      <c r="K418" s="32"/>
      <c r="L418" s="66"/>
    </row>
    <row r="419" spans="1:13" ht="30" x14ac:dyDescent="0.25">
      <c r="A419" s="32"/>
      <c r="B419" s="32"/>
      <c r="C419" s="32"/>
      <c r="D419" s="32"/>
      <c r="E419" s="32"/>
      <c r="F419" s="32">
        <v>1</v>
      </c>
      <c r="G419" s="32"/>
      <c r="H419" s="66" t="str">
        <f>'BID II'!B704</f>
        <v>Belanja Barang Perlengkapan</v>
      </c>
      <c r="I419" s="32"/>
      <c r="J419" s="32"/>
      <c r="K419" s="32"/>
      <c r="L419" s="66"/>
    </row>
    <row r="420" spans="1:13" ht="30" x14ac:dyDescent="0.25">
      <c r="A420" s="32"/>
      <c r="B420" s="32"/>
      <c r="C420" s="32"/>
      <c r="D420" s="32"/>
      <c r="E420" s="32"/>
      <c r="F420" s="32"/>
      <c r="G420" s="1340" t="s">
        <v>2688</v>
      </c>
      <c r="H420" s="66" t="str">
        <f>'BID II'!B705</f>
        <v>Belanja Alat Tulis Kantor dan Benda Pos</v>
      </c>
      <c r="I420" s="32"/>
      <c r="J420" s="32"/>
      <c r="K420" s="174">
        <f>SUM('BID II'!F706)</f>
        <v>2250000</v>
      </c>
      <c r="L420" s="66" t="s">
        <v>1682</v>
      </c>
    </row>
    <row r="421" spans="1:13" ht="30" x14ac:dyDescent="0.25">
      <c r="A421" s="32"/>
      <c r="B421" s="32"/>
      <c r="C421" s="32"/>
      <c r="D421" s="32"/>
      <c r="E421" s="32"/>
      <c r="F421" s="32"/>
      <c r="G421" s="1340" t="s">
        <v>2705</v>
      </c>
      <c r="H421" s="66" t="str">
        <f>'BID II'!B708</f>
        <v>Belanja Perlengkapan Barang Konsumsi</v>
      </c>
      <c r="I421" s="32"/>
      <c r="J421" s="32"/>
      <c r="K421" s="174">
        <f>'BID II'!F709</f>
        <v>600000</v>
      </c>
      <c r="L421" s="66" t="s">
        <v>1682</v>
      </c>
    </row>
    <row r="422" spans="1:13" ht="30" x14ac:dyDescent="0.25">
      <c r="A422" s="32"/>
      <c r="B422" s="32"/>
      <c r="C422" s="32"/>
      <c r="D422" s="32"/>
      <c r="E422" s="32"/>
      <c r="F422" s="32"/>
      <c r="G422" s="1340" t="s">
        <v>2707</v>
      </c>
      <c r="H422" s="66" t="str">
        <f>'BID II'!B711</f>
        <v>Belanja Bendera/ Umbul-umbul/ Spanduk</v>
      </c>
      <c r="I422" s="32"/>
      <c r="J422" s="32"/>
      <c r="K422" s="174">
        <f>'BID II'!F712</f>
        <v>90000</v>
      </c>
      <c r="L422" s="66" t="s">
        <v>1682</v>
      </c>
    </row>
    <row r="423" spans="1:13" x14ac:dyDescent="0.25">
      <c r="A423" s="32"/>
      <c r="B423" s="32"/>
      <c r="C423" s="32"/>
      <c r="D423" s="32">
        <v>5</v>
      </c>
      <c r="E423" s="32">
        <v>2</v>
      </c>
      <c r="F423" s="32">
        <v>2</v>
      </c>
      <c r="G423" s="32"/>
      <c r="H423" s="66" t="str">
        <f>'BID II'!B714</f>
        <v>Belanja Jasa Honorarium</v>
      </c>
      <c r="I423" s="32"/>
      <c r="J423" s="32"/>
      <c r="K423" s="32"/>
      <c r="L423" s="66"/>
    </row>
    <row r="424" spans="1:13" ht="45" x14ac:dyDescent="0.25">
      <c r="A424" s="32"/>
      <c r="B424" s="32"/>
      <c r="C424" s="32"/>
      <c r="D424" s="32"/>
      <c r="E424" s="32"/>
      <c r="F424" s="32"/>
      <c r="G424" s="1340" t="s">
        <v>2688</v>
      </c>
      <c r="H424" s="66" t="str">
        <f>'BID II'!B715</f>
        <v>Belanja Jasa Honorarium Tim yang Melaksanakan Kegiatan (TPK )</v>
      </c>
      <c r="I424" s="32"/>
      <c r="J424" s="32"/>
      <c r="K424" s="174">
        <f>SUM('BID II'!F716:F718)</f>
        <v>1150000</v>
      </c>
      <c r="L424" s="66" t="s">
        <v>1682</v>
      </c>
    </row>
    <row r="425" spans="1:13" ht="60" x14ac:dyDescent="0.25">
      <c r="A425" s="32"/>
      <c r="B425" s="32"/>
      <c r="C425" s="32"/>
      <c r="D425" s="32"/>
      <c r="E425" s="32"/>
      <c r="F425" s="32"/>
      <c r="G425" s="1340" t="s">
        <v>2706</v>
      </c>
      <c r="H425" s="66" t="str">
        <f>'BID II'!B720</f>
        <v>Belanja Jasa Honorarium Ahli/ Profesi/Konsultan/Narasumber</v>
      </c>
      <c r="I425" s="32"/>
      <c r="J425" s="32"/>
      <c r="K425" s="174">
        <f>SUM('BID II'!F721:F722)</f>
        <v>800000</v>
      </c>
      <c r="L425" s="66" t="s">
        <v>1682</v>
      </c>
    </row>
    <row r="426" spans="1:13" x14ac:dyDescent="0.25">
      <c r="A426" s="32"/>
      <c r="B426" s="32"/>
      <c r="C426" s="32"/>
      <c r="D426" s="32">
        <v>5</v>
      </c>
      <c r="E426" s="32">
        <v>2</v>
      </c>
      <c r="F426" s="32">
        <v>4</v>
      </c>
      <c r="G426" s="32"/>
      <c r="H426" s="66" t="str">
        <f>'BID II'!B724</f>
        <v>Belanja Jasa Sewa</v>
      </c>
      <c r="I426" s="32"/>
      <c r="J426" s="32"/>
      <c r="K426" s="32"/>
      <c r="L426" s="66"/>
    </row>
    <row r="427" spans="1:13" ht="30" x14ac:dyDescent="0.25">
      <c r="A427" s="32"/>
      <c r="B427" s="32"/>
      <c r="C427" s="32"/>
      <c r="D427" s="32"/>
      <c r="E427" s="32"/>
      <c r="F427" s="32"/>
      <c r="G427" s="1340" t="s">
        <v>2702</v>
      </c>
      <c r="H427" s="66" t="str">
        <f>'BID II'!B725</f>
        <v>Belanja Jasa Sewa Alat Perlengkapan</v>
      </c>
      <c r="I427" s="32"/>
      <c r="J427" s="32"/>
      <c r="K427" s="174">
        <f>SUM('BID II'!F726:F729)</f>
        <v>13450000</v>
      </c>
      <c r="L427" s="66" t="s">
        <v>1682</v>
      </c>
    </row>
    <row r="428" spans="1:13" ht="45" x14ac:dyDescent="0.25">
      <c r="A428" s="1344">
        <v>2</v>
      </c>
      <c r="B428" s="1344">
        <v>2</v>
      </c>
      <c r="C428" s="1346" t="s">
        <v>2703</v>
      </c>
      <c r="D428" s="1344"/>
      <c r="E428" s="1344"/>
      <c r="F428" s="1344"/>
      <c r="G428" s="1344"/>
      <c r="H428" s="1345" t="str">
        <f>'BID II'!B744</f>
        <v>: Penyuluhan dan Pelatihan Bidang Kesehatan (Posbindu)</v>
      </c>
      <c r="I428" s="1344"/>
      <c r="J428" s="1344"/>
      <c r="K428" s="1347">
        <f>SUM(K429:K444)</f>
        <v>19924087.09</v>
      </c>
      <c r="L428" s="1345"/>
      <c r="M428" s="451">
        <f>'BID II'!F784</f>
        <v>19924087.09</v>
      </c>
    </row>
    <row r="429" spans="1:13" x14ac:dyDescent="0.25">
      <c r="A429" s="32"/>
      <c r="B429" s="32"/>
      <c r="C429" s="32"/>
      <c r="D429" s="32"/>
      <c r="E429" s="32"/>
      <c r="F429" s="32"/>
      <c r="G429" s="32"/>
      <c r="H429" s="66" t="str">
        <f>'BID II'!B749</f>
        <v>Pelatihan</v>
      </c>
      <c r="I429" s="32"/>
      <c r="J429" s="32"/>
      <c r="K429" s="32"/>
      <c r="L429" s="66"/>
    </row>
    <row r="430" spans="1:13" x14ac:dyDescent="0.25">
      <c r="A430" s="32"/>
      <c r="B430" s="32"/>
      <c r="C430" s="32"/>
      <c r="D430" s="32">
        <v>5</v>
      </c>
      <c r="E430" s="32">
        <v>2</v>
      </c>
      <c r="F430" s="32"/>
      <c r="G430" s="32"/>
      <c r="H430" s="66" t="str">
        <f>'BID II'!B750</f>
        <v>Belanja Barang dan Jasa</v>
      </c>
      <c r="I430" s="32"/>
      <c r="J430" s="32"/>
      <c r="K430" s="32"/>
      <c r="L430" s="66"/>
    </row>
    <row r="431" spans="1:13" ht="30" x14ac:dyDescent="0.25">
      <c r="A431" s="32"/>
      <c r="B431" s="32"/>
      <c r="C431" s="32"/>
      <c r="D431" s="32"/>
      <c r="E431" s="32"/>
      <c r="F431" s="32">
        <v>1</v>
      </c>
      <c r="G431" s="32"/>
      <c r="H431" s="66" t="str">
        <f>'BID II'!B751</f>
        <v>Belanaja Barang Pelengkapan</v>
      </c>
      <c r="I431" s="32"/>
      <c r="J431" s="32"/>
      <c r="K431" s="32"/>
      <c r="L431" s="66"/>
    </row>
    <row r="432" spans="1:13" ht="30" x14ac:dyDescent="0.25">
      <c r="A432" s="32"/>
      <c r="B432" s="32"/>
      <c r="C432" s="32"/>
      <c r="D432" s="32"/>
      <c r="E432" s="32"/>
      <c r="F432" s="32"/>
      <c r="G432" s="1340" t="s">
        <v>2688</v>
      </c>
      <c r="H432" s="66" t="str">
        <f>'BID II'!B752</f>
        <v>Perlangakapan Alat Tulis Kantor dan Benda POS</v>
      </c>
      <c r="I432" s="32"/>
      <c r="J432" s="32"/>
      <c r="K432" s="174">
        <f>'BID II'!F753</f>
        <v>80000</v>
      </c>
      <c r="L432" s="66" t="s">
        <v>2625</v>
      </c>
    </row>
    <row r="433" spans="1:12" ht="30" x14ac:dyDescent="0.25">
      <c r="A433" s="32"/>
      <c r="B433" s="32"/>
      <c r="C433" s="32"/>
      <c r="D433" s="32"/>
      <c r="E433" s="32"/>
      <c r="F433" s="32"/>
      <c r="G433" s="1340" t="s">
        <v>2705</v>
      </c>
      <c r="H433" s="32" t="str">
        <f>'BID II'!B755</f>
        <v>Belanja Barang Konsumsi</v>
      </c>
      <c r="I433" s="32"/>
      <c r="J433" s="32"/>
      <c r="K433" s="174">
        <f>SUM('BID II'!F756)</f>
        <v>1800000</v>
      </c>
      <c r="L433" s="66" t="s">
        <v>2625</v>
      </c>
    </row>
    <row r="434" spans="1:12" ht="30" x14ac:dyDescent="0.25">
      <c r="A434" s="32"/>
      <c r="B434" s="32"/>
      <c r="C434" s="32"/>
      <c r="D434" s="32"/>
      <c r="E434" s="32"/>
      <c r="F434" s="32"/>
      <c r="G434" s="32">
        <v>90</v>
      </c>
      <c r="H434" s="66" t="str">
        <f>'BID II'!B758</f>
        <v>Belanja Upakara, Upacara Dan Aci-Aci</v>
      </c>
      <c r="I434" s="32"/>
      <c r="J434" s="32"/>
      <c r="K434" s="174">
        <f>SUM('BID II'!F759:F760)</f>
        <v>480000</v>
      </c>
      <c r="L434" s="66" t="s">
        <v>2625</v>
      </c>
    </row>
    <row r="435" spans="1:12" x14ac:dyDescent="0.25">
      <c r="A435" s="32"/>
      <c r="B435" s="32"/>
      <c r="C435" s="32"/>
      <c r="D435" s="32">
        <v>5</v>
      </c>
      <c r="E435" s="32">
        <v>2</v>
      </c>
      <c r="F435" s="32">
        <v>2</v>
      </c>
      <c r="G435" s="32"/>
      <c r="H435" s="66" t="str">
        <f>'BID II'!B762</f>
        <v>Belanja Jasa Honorarium</v>
      </c>
      <c r="I435" s="32"/>
      <c r="J435" s="32"/>
      <c r="K435" s="32"/>
      <c r="L435" s="66"/>
    </row>
    <row r="436" spans="1:12" ht="30" x14ac:dyDescent="0.25">
      <c r="A436" s="32"/>
      <c r="B436" s="32"/>
      <c r="C436" s="32"/>
      <c r="D436" s="32"/>
      <c r="E436" s="32"/>
      <c r="F436" s="32"/>
      <c r="G436" s="1340" t="s">
        <v>2706</v>
      </c>
      <c r="H436" s="66" t="str">
        <f>'BID II'!B763</f>
        <v>Belanja Jasa Honorarium Narasumber</v>
      </c>
      <c r="I436" s="32"/>
      <c r="J436" s="32"/>
      <c r="K436" s="174">
        <f>'BID II'!F763</f>
        <v>600000</v>
      </c>
      <c r="L436" s="66" t="s">
        <v>2625</v>
      </c>
    </row>
    <row r="437" spans="1:12" x14ac:dyDescent="0.25">
      <c r="A437" s="32"/>
      <c r="B437" s="32"/>
      <c r="C437" s="32"/>
      <c r="D437" s="32">
        <v>5</v>
      </c>
      <c r="E437" s="32">
        <v>2</v>
      </c>
      <c r="F437" s="32">
        <v>4</v>
      </c>
      <c r="G437" s="1340"/>
      <c r="H437" s="66" t="str">
        <f>'BID II'!B765</f>
        <v>Belanja Jasa Sewa</v>
      </c>
      <c r="I437" s="32"/>
      <c r="J437" s="32"/>
      <c r="K437" s="174"/>
      <c r="L437" s="66"/>
    </row>
    <row r="438" spans="1:12" ht="30" x14ac:dyDescent="0.25">
      <c r="A438" s="32"/>
      <c r="B438" s="32"/>
      <c r="C438" s="32"/>
      <c r="D438" s="32"/>
      <c r="E438" s="32"/>
      <c r="F438" s="32"/>
      <c r="G438" s="1340" t="s">
        <v>2703</v>
      </c>
      <c r="H438" s="66" t="str">
        <f>'BID II'!B766</f>
        <v>Belanja Jasa Sewa Mobilitas</v>
      </c>
      <c r="I438" s="32"/>
      <c r="J438" s="32"/>
      <c r="K438" s="174">
        <f>'BID II'!F767</f>
        <v>2000000</v>
      </c>
      <c r="L438" s="66" t="s">
        <v>2620</v>
      </c>
    </row>
    <row r="439" spans="1:12" x14ac:dyDescent="0.25">
      <c r="A439" s="32"/>
      <c r="B439" s="32"/>
      <c r="C439" s="32"/>
      <c r="D439" s="32"/>
      <c r="E439" s="32"/>
      <c r="F439" s="32"/>
      <c r="G439" s="32"/>
      <c r="H439" s="66" t="str">
        <f>'BID II'!B768</f>
        <v>Kegiatan</v>
      </c>
      <c r="I439" s="32"/>
      <c r="J439" s="32"/>
      <c r="K439" s="32"/>
      <c r="L439" s="66"/>
    </row>
    <row r="440" spans="1:12" ht="30" x14ac:dyDescent="0.25">
      <c r="A440" s="32"/>
      <c r="B440" s="32"/>
      <c r="C440" s="32"/>
      <c r="D440" s="32"/>
      <c r="E440" s="32"/>
      <c r="F440" s="32"/>
      <c r="G440" s="1340" t="s">
        <v>2705</v>
      </c>
      <c r="H440" s="66" t="str">
        <f>'BID II'!B769</f>
        <v>Belanja Perlengkapan Barang Konsumsi</v>
      </c>
      <c r="I440" s="32"/>
      <c r="J440" s="32"/>
      <c r="K440" s="174">
        <f>'BID II'!F770</f>
        <v>1440000</v>
      </c>
      <c r="L440" s="66" t="s">
        <v>2625</v>
      </c>
    </row>
    <row r="441" spans="1:12" ht="30" x14ac:dyDescent="0.25">
      <c r="A441" s="32"/>
      <c r="B441" s="32"/>
      <c r="C441" s="32"/>
      <c r="D441" s="32"/>
      <c r="E441" s="32"/>
      <c r="F441" s="32"/>
      <c r="G441" s="1340" t="s">
        <v>2708</v>
      </c>
      <c r="H441" s="66" t="str">
        <f>'BID II'!B771</f>
        <v>Belanja Bahan/Material</v>
      </c>
      <c r="I441" s="32"/>
      <c r="J441" s="32"/>
      <c r="K441" s="174">
        <f>SUM('BID II'!F772:F776)</f>
        <v>7434087.0899999999</v>
      </c>
      <c r="L441" s="66" t="s">
        <v>2625</v>
      </c>
    </row>
    <row r="442" spans="1:12" ht="30" x14ac:dyDescent="0.25">
      <c r="A442" s="32"/>
      <c r="B442" s="32"/>
      <c r="C442" s="32"/>
      <c r="D442" s="32"/>
      <c r="E442" s="32"/>
      <c r="F442" s="32"/>
      <c r="G442" s="1340" t="s">
        <v>2707</v>
      </c>
      <c r="H442" s="66" t="str">
        <f>'BID II'!B778</f>
        <v>Belanja Bendera/Umbul - umbul Spanduk</v>
      </c>
      <c r="I442" s="32"/>
      <c r="J442" s="32"/>
      <c r="K442" s="174">
        <f>'BID II'!F779</f>
        <v>90000</v>
      </c>
      <c r="L442" s="66" t="s">
        <v>2625</v>
      </c>
    </row>
    <row r="443" spans="1:12" x14ac:dyDescent="0.25">
      <c r="A443" s="32"/>
      <c r="B443" s="32"/>
      <c r="C443" s="32"/>
      <c r="D443" s="32">
        <v>5</v>
      </c>
      <c r="E443" s="32">
        <v>2</v>
      </c>
      <c r="F443" s="32">
        <v>2</v>
      </c>
      <c r="G443" s="32"/>
      <c r="H443" s="66" t="str">
        <f>'BID II'!B781</f>
        <v>Belanja Jasa Honorarium</v>
      </c>
      <c r="I443" s="32"/>
      <c r="J443" s="32"/>
      <c r="K443" s="32"/>
      <c r="L443" s="66"/>
    </row>
    <row r="444" spans="1:12" ht="30" x14ac:dyDescent="0.25">
      <c r="A444" s="32"/>
      <c r="B444" s="32"/>
      <c r="C444" s="32"/>
      <c r="D444" s="32"/>
      <c r="E444" s="32"/>
      <c r="F444" s="32"/>
      <c r="G444" s="1340" t="s">
        <v>2706</v>
      </c>
      <c r="H444" s="66" t="str">
        <f>'BID II'!B782</f>
        <v>Belanja Honor Petugas</v>
      </c>
      <c r="I444" s="32"/>
      <c r="J444" s="32"/>
      <c r="K444" s="174">
        <f>'BID II'!F783</f>
        <v>6000000</v>
      </c>
      <c r="L444" s="66" t="s">
        <v>2625</v>
      </c>
    </row>
    <row r="445" spans="1:12" ht="60" x14ac:dyDescent="0.25">
      <c r="A445" s="1344">
        <v>2</v>
      </c>
      <c r="B445" s="1344">
        <v>2</v>
      </c>
      <c r="C445" s="1346" t="s">
        <v>2703</v>
      </c>
      <c r="D445" s="1344"/>
      <c r="E445" s="1344"/>
      <c r="F445" s="1344"/>
      <c r="G445" s="1344"/>
      <c r="H445" s="1345" t="str">
        <f>'BID II'!B797</f>
        <v>: Penyuluhan dan Pelatihan Bidang Kesehatan (Penyuluhan KB)</v>
      </c>
      <c r="I445" s="1344"/>
      <c r="J445" s="1344"/>
      <c r="K445" s="1347">
        <f>SUM(K446:K456)</f>
        <v>17635000</v>
      </c>
      <c r="L445" s="1345" t="s">
        <v>2625</v>
      </c>
    </row>
    <row r="446" spans="1:12" x14ac:dyDescent="0.25">
      <c r="A446" s="32"/>
      <c r="B446" s="32"/>
      <c r="C446" s="32"/>
      <c r="D446" s="32">
        <v>5</v>
      </c>
      <c r="E446" s="32">
        <v>2</v>
      </c>
      <c r="F446" s="32"/>
      <c r="G446" s="32"/>
      <c r="H446" s="66" t="str">
        <f>'BID II'!B802</f>
        <v>Belanja Barang Jasa</v>
      </c>
      <c r="I446" s="32"/>
      <c r="J446" s="32"/>
      <c r="K446" s="32"/>
      <c r="L446" s="66"/>
    </row>
    <row r="447" spans="1:12" ht="30" x14ac:dyDescent="0.25">
      <c r="A447" s="32"/>
      <c r="B447" s="32"/>
      <c r="C447" s="32"/>
      <c r="D447" s="32"/>
      <c r="E447" s="32"/>
      <c r="F447" s="32">
        <v>1</v>
      </c>
      <c r="G447" s="32"/>
      <c r="H447" s="66" t="str">
        <f>'BID II'!B803</f>
        <v>Belanja Barang Perlengkapan</v>
      </c>
      <c r="I447" s="32"/>
      <c r="J447" s="32"/>
      <c r="K447" s="32"/>
      <c r="L447" s="66"/>
    </row>
    <row r="448" spans="1:12" ht="30" x14ac:dyDescent="0.25">
      <c r="A448" s="32"/>
      <c r="B448" s="32"/>
      <c r="C448" s="32"/>
      <c r="D448" s="32"/>
      <c r="E448" s="32"/>
      <c r="F448" s="32"/>
      <c r="G448" s="1340" t="s">
        <v>2705</v>
      </c>
      <c r="H448" s="66" t="str">
        <f>'BID II'!B804</f>
        <v>Belanja Perlengkapan Barang Konsumsi</v>
      </c>
      <c r="I448" s="32"/>
      <c r="J448" s="32"/>
      <c r="K448" s="174">
        <f>SUM('BID II'!F805:F808)</f>
        <v>1950000</v>
      </c>
      <c r="L448" s="66" t="s">
        <v>2625</v>
      </c>
    </row>
    <row r="449" spans="1:13" ht="30" x14ac:dyDescent="0.25">
      <c r="A449" s="32"/>
      <c r="B449" s="32"/>
      <c r="C449" s="32"/>
      <c r="D449" s="32"/>
      <c r="E449" s="32"/>
      <c r="F449" s="32"/>
      <c r="G449" s="1340" t="s">
        <v>2707</v>
      </c>
      <c r="H449" s="66" t="str">
        <f>'BID II'!B810</f>
        <v>Belanja Bendera/ Umbul-umbul/ Spanduk</v>
      </c>
      <c r="I449" s="32"/>
      <c r="J449" s="32"/>
      <c r="K449" s="174">
        <f>'BID II'!F811</f>
        <v>90000</v>
      </c>
      <c r="L449" s="66" t="s">
        <v>2625</v>
      </c>
    </row>
    <row r="450" spans="1:13" ht="30" x14ac:dyDescent="0.25">
      <c r="A450" s="32"/>
      <c r="B450" s="32"/>
      <c r="C450" s="32"/>
      <c r="D450" s="32"/>
      <c r="E450" s="32"/>
      <c r="F450" s="32"/>
      <c r="G450" s="32">
        <v>90</v>
      </c>
      <c r="H450" s="66" t="str">
        <f>'BID II'!B813</f>
        <v>Belanja Upakara, Upacara Dan Aci-Aci</v>
      </c>
      <c r="I450" s="32"/>
      <c r="J450" s="32"/>
      <c r="K450" s="174">
        <f>SUM('BID II'!F814:F817)</f>
        <v>195000</v>
      </c>
      <c r="L450" s="66" t="s">
        <v>2625</v>
      </c>
    </row>
    <row r="451" spans="1:13" x14ac:dyDescent="0.25">
      <c r="A451" s="32"/>
      <c r="B451" s="32"/>
      <c r="C451" s="32"/>
      <c r="D451" s="32">
        <v>5</v>
      </c>
      <c r="E451" s="32">
        <v>2</v>
      </c>
      <c r="F451" s="32">
        <v>2</v>
      </c>
      <c r="G451" s="32"/>
      <c r="H451" s="66" t="str">
        <f>'BID II'!B819</f>
        <v>Belanja Jasa Honorarium</v>
      </c>
      <c r="I451" s="32"/>
      <c r="J451" s="32"/>
      <c r="K451" s="32"/>
      <c r="L451" s="66"/>
    </row>
    <row r="452" spans="1:13" ht="45" x14ac:dyDescent="0.25">
      <c r="A452" s="32"/>
      <c r="B452" s="32"/>
      <c r="C452" s="32"/>
      <c r="D452" s="32"/>
      <c r="E452" s="32"/>
      <c r="F452" s="32"/>
      <c r="G452" s="1340" t="s">
        <v>2688</v>
      </c>
      <c r="H452" s="66" t="str">
        <f>'BID II'!B820</f>
        <v>Belanja Jasa Honorarium Tim yang Melaksanakan Kegiatan (TPK )</v>
      </c>
      <c r="I452" s="32"/>
      <c r="J452" s="32"/>
      <c r="K452" s="174">
        <f>SUM('BID II'!F821:F823)</f>
        <v>1150000</v>
      </c>
      <c r="L452" s="66" t="s">
        <v>2625</v>
      </c>
    </row>
    <row r="453" spans="1:13" ht="60" x14ac:dyDescent="0.25">
      <c r="A453" s="32"/>
      <c r="B453" s="32"/>
      <c r="C453" s="32"/>
      <c r="D453" s="32"/>
      <c r="E453" s="32"/>
      <c r="F453" s="32"/>
      <c r="G453" s="1340" t="s">
        <v>2704</v>
      </c>
      <c r="H453" s="66" t="str">
        <f>'BID II'!B825</f>
        <v>Belanja Jasa Honorarium Ahli/ Profesi/Konsultan/Narasumber</v>
      </c>
      <c r="I453" s="32"/>
      <c r="J453" s="32"/>
      <c r="K453" s="174">
        <f>'BID II'!F826</f>
        <v>600000</v>
      </c>
      <c r="L453" s="66" t="s">
        <v>2625</v>
      </c>
    </row>
    <row r="454" spans="1:13" ht="30" x14ac:dyDescent="0.25">
      <c r="A454" s="32"/>
      <c r="B454" s="32"/>
      <c r="C454" s="32"/>
      <c r="D454" s="32"/>
      <c r="E454" s="32"/>
      <c r="F454" s="32"/>
      <c r="G454" s="1340" t="s">
        <v>2706</v>
      </c>
      <c r="H454" s="66" t="str">
        <f>'BID II'!B828</f>
        <v>Belanja Jasa Honorarium Petugas</v>
      </c>
      <c r="I454" s="32"/>
      <c r="J454" s="32"/>
      <c r="K454" s="174">
        <f>'BID II'!F829</f>
        <v>200000</v>
      </c>
      <c r="L454" s="66" t="s">
        <v>2625</v>
      </c>
    </row>
    <row r="455" spans="1:13" x14ac:dyDescent="0.25">
      <c r="A455" s="32"/>
      <c r="B455" s="32"/>
      <c r="C455" s="32"/>
      <c r="D455" s="32">
        <v>5</v>
      </c>
      <c r="E455" s="32">
        <v>2</v>
      </c>
      <c r="F455" s="32">
        <v>4</v>
      </c>
      <c r="G455" s="32"/>
      <c r="H455" s="66" t="str">
        <f>'BID II'!B831</f>
        <v>Belanja Jasa Sewa</v>
      </c>
      <c r="I455" s="32"/>
      <c r="J455" s="32"/>
      <c r="K455" s="32"/>
      <c r="L455" s="66"/>
    </row>
    <row r="456" spans="1:13" ht="30" x14ac:dyDescent="0.25">
      <c r="A456" s="32"/>
      <c r="B456" s="32"/>
      <c r="C456" s="32"/>
      <c r="D456" s="32"/>
      <c r="E456" s="32"/>
      <c r="F456" s="32"/>
      <c r="G456" s="1340" t="s">
        <v>2702</v>
      </c>
      <c r="H456" s="66" t="str">
        <f>'BID II'!B832</f>
        <v>Belanja Jasa Sewa Sarana/Perlengkapan</v>
      </c>
      <c r="I456" s="32"/>
      <c r="J456" s="32"/>
      <c r="K456" s="174">
        <f>SUM('BID II'!F833:F836)</f>
        <v>13450000</v>
      </c>
      <c r="L456" s="66" t="s">
        <v>2625</v>
      </c>
    </row>
    <row r="457" spans="1:13" ht="60" x14ac:dyDescent="0.25">
      <c r="A457" s="1344">
        <v>2</v>
      </c>
      <c r="B457" s="1344">
        <v>2</v>
      </c>
      <c r="C457" s="1346" t="s">
        <v>2703</v>
      </c>
      <c r="D457" s="1344"/>
      <c r="E457" s="1344"/>
      <c r="F457" s="1344"/>
      <c r="G457" s="1344"/>
      <c r="H457" s="1345" t="str">
        <f>'BID II'!B852</f>
        <v>: Penyuluhan dan Pelatihan Bidang Kesehatan(Sosialisasi Germas)</v>
      </c>
      <c r="I457" s="1344"/>
      <c r="J457" s="1344"/>
      <c r="K457" s="1347">
        <f>SUM(K458:K462)</f>
        <v>2070000</v>
      </c>
      <c r="L457" s="1345" t="s">
        <v>2625</v>
      </c>
      <c r="M457" s="175">
        <f>'BID II'!F869</f>
        <v>2070000</v>
      </c>
    </row>
    <row r="458" spans="1:13" x14ac:dyDescent="0.25">
      <c r="A458" s="32"/>
      <c r="B458" s="32"/>
      <c r="C458" s="32"/>
      <c r="D458" s="32">
        <v>5</v>
      </c>
      <c r="E458" s="32">
        <v>2</v>
      </c>
      <c r="F458" s="32"/>
      <c r="G458" s="32"/>
      <c r="H458" s="66" t="str">
        <f>'BID II'!B857</f>
        <v>Belanja Barang Jasa</v>
      </c>
      <c r="I458" s="32"/>
      <c r="J458" s="32"/>
      <c r="K458" s="32"/>
      <c r="L458" s="66"/>
    </row>
    <row r="459" spans="1:13" ht="30" x14ac:dyDescent="0.25">
      <c r="A459" s="32"/>
      <c r="B459" s="32"/>
      <c r="C459" s="32"/>
      <c r="D459" s="32"/>
      <c r="E459" s="32"/>
      <c r="F459" s="32">
        <v>1</v>
      </c>
      <c r="G459" s="32"/>
      <c r="H459" s="66" t="str">
        <f>'BID II'!B858</f>
        <v>Belanja Barang Perlengkapan</v>
      </c>
      <c r="I459" s="32"/>
      <c r="J459" s="32"/>
      <c r="K459" s="32"/>
      <c r="L459" s="66"/>
    </row>
    <row r="460" spans="1:13" ht="30" x14ac:dyDescent="0.25">
      <c r="A460" s="32"/>
      <c r="B460" s="32"/>
      <c r="C460" s="32"/>
      <c r="D460" s="32"/>
      <c r="E460" s="32"/>
      <c r="F460" s="32"/>
      <c r="G460" s="1340" t="s">
        <v>2705</v>
      </c>
      <c r="H460" s="66" t="str">
        <f>'BID II'!B859</f>
        <v>Belanja Perlengkapan Barang Konsumsi</v>
      </c>
      <c r="I460" s="32"/>
      <c r="J460" s="32"/>
      <c r="K460" s="174">
        <f>'BID II'!F860</f>
        <v>1380000</v>
      </c>
      <c r="L460" s="66" t="s">
        <v>2644</v>
      </c>
    </row>
    <row r="461" spans="1:13" ht="30" x14ac:dyDescent="0.25">
      <c r="A461" s="32"/>
      <c r="B461" s="32"/>
      <c r="C461" s="32"/>
      <c r="D461" s="32"/>
      <c r="E461" s="32"/>
      <c r="F461" s="32"/>
      <c r="G461" s="1340" t="s">
        <v>2707</v>
      </c>
      <c r="H461" s="66" t="str">
        <f>'BID II'!B862</f>
        <v>Belanja Bendera/ Umbul-umbul/ Spanduk</v>
      </c>
      <c r="I461" s="32"/>
      <c r="J461" s="32"/>
      <c r="K461" s="174">
        <f>'BID II'!F863</f>
        <v>90000</v>
      </c>
      <c r="L461" s="66" t="s">
        <v>2644</v>
      </c>
    </row>
    <row r="462" spans="1:13" ht="60" x14ac:dyDescent="0.25">
      <c r="A462" s="32"/>
      <c r="B462" s="32"/>
      <c r="C462" s="32"/>
      <c r="D462" s="32">
        <v>5</v>
      </c>
      <c r="E462" s="32">
        <v>2</v>
      </c>
      <c r="F462" s="32">
        <v>2</v>
      </c>
      <c r="G462" s="1340" t="s">
        <v>2704</v>
      </c>
      <c r="H462" s="66" t="str">
        <f>'BID II'!B865</f>
        <v>Belanja Jasa Honorarium Ahli/ Profesi/Konsultan/Narasumber</v>
      </c>
      <c r="I462" s="32"/>
      <c r="J462" s="32"/>
      <c r="K462" s="174">
        <f>'BID II'!F866</f>
        <v>600000</v>
      </c>
      <c r="L462" s="66" t="s">
        <v>2644</v>
      </c>
    </row>
    <row r="463" spans="1:13" ht="60" x14ac:dyDescent="0.25">
      <c r="A463" s="1344">
        <v>2</v>
      </c>
      <c r="B463" s="1344">
        <v>2</v>
      </c>
      <c r="C463" s="1346" t="s">
        <v>2704</v>
      </c>
      <c r="D463" s="1344"/>
      <c r="E463" s="1344"/>
      <c r="F463" s="1344"/>
      <c r="G463" s="1344"/>
      <c r="H463" s="1345" t="str">
        <f>'BID II'!B882</f>
        <v>: Penyuluhan dan Pelatihan Bidang Kesehatan (Desa Siaga Kesehatan)</v>
      </c>
      <c r="I463" s="1344"/>
      <c r="J463" s="1344"/>
      <c r="K463" s="1347">
        <f>SUM(K464:K472)</f>
        <v>2592000</v>
      </c>
      <c r="L463" s="1345" t="s">
        <v>2625</v>
      </c>
      <c r="M463" s="175">
        <f>K463+K473</f>
        <v>29044500</v>
      </c>
    </row>
    <row r="464" spans="1:13" x14ac:dyDescent="0.25">
      <c r="A464" s="32"/>
      <c r="B464" s="32"/>
      <c r="C464" s="32"/>
      <c r="D464" s="32">
        <v>5</v>
      </c>
      <c r="E464" s="32">
        <v>2</v>
      </c>
      <c r="F464" s="32"/>
      <c r="G464" s="32"/>
      <c r="H464" s="66" t="str">
        <f>'BID II'!B887</f>
        <v>Belanja Barang Jasa</v>
      </c>
      <c r="I464" s="32"/>
      <c r="J464" s="32"/>
      <c r="K464" s="32"/>
      <c r="L464" s="66"/>
      <c r="M464" s="175">
        <f>K463+K473</f>
        <v>29044500</v>
      </c>
    </row>
    <row r="465" spans="1:14" ht="30" x14ac:dyDescent="0.25">
      <c r="A465" s="32"/>
      <c r="B465" s="32"/>
      <c r="C465" s="32"/>
      <c r="D465" s="32"/>
      <c r="E465" s="32"/>
      <c r="F465" s="32">
        <v>1</v>
      </c>
      <c r="G465" s="32"/>
      <c r="H465" s="66" t="str">
        <f>'BID II'!B888</f>
        <v>Belanja Barang Perlengkapan</v>
      </c>
      <c r="I465" s="32"/>
      <c r="J465" s="32"/>
      <c r="K465" s="32"/>
      <c r="L465" s="66"/>
    </row>
    <row r="466" spans="1:14" ht="30" x14ac:dyDescent="0.25">
      <c r="A466" s="32"/>
      <c r="B466" s="32"/>
      <c r="C466" s="32"/>
      <c r="D466" s="32"/>
      <c r="E466" s="32"/>
      <c r="F466" s="32"/>
      <c r="G466" s="1340" t="s">
        <v>2688</v>
      </c>
      <c r="H466" s="66" t="str">
        <f>'BID II'!B889</f>
        <v>Belanja Alat Tulis Kantor dan Benda Pos</v>
      </c>
      <c r="I466" s="32"/>
      <c r="J466" s="32"/>
      <c r="K466" s="174">
        <f>SUM('BID II'!F890:F891)</f>
        <v>377000</v>
      </c>
      <c r="L466" s="66" t="s">
        <v>2625</v>
      </c>
    </row>
    <row r="467" spans="1:14" ht="30" x14ac:dyDescent="0.25">
      <c r="A467" s="32"/>
      <c r="B467" s="32"/>
      <c r="C467" s="32"/>
      <c r="D467" s="32"/>
      <c r="E467" s="32"/>
      <c r="F467" s="32"/>
      <c r="G467" s="1340" t="s">
        <v>2705</v>
      </c>
      <c r="H467" s="66" t="str">
        <f>'BID II'!B893</f>
        <v>Belanja Perlengkapan Barang Konsumsi</v>
      </c>
      <c r="I467" s="32"/>
      <c r="J467" s="32"/>
      <c r="K467" s="174">
        <f>'BID II'!F894</f>
        <v>750000</v>
      </c>
      <c r="L467" s="66" t="s">
        <v>2625</v>
      </c>
    </row>
    <row r="468" spans="1:14" ht="30" x14ac:dyDescent="0.25">
      <c r="A468" s="32"/>
      <c r="B468" s="32"/>
      <c r="C468" s="32"/>
      <c r="D468" s="32"/>
      <c r="E468" s="32"/>
      <c r="F468" s="32"/>
      <c r="G468" s="1340" t="s">
        <v>2707</v>
      </c>
      <c r="H468" s="66" t="str">
        <f>'BID II'!B896</f>
        <v>Belanja Bendera/ Umbul-umbul/ Spanduk</v>
      </c>
      <c r="I468" s="32"/>
      <c r="J468" s="32"/>
      <c r="K468" s="174">
        <f>'BID II'!F897</f>
        <v>90000</v>
      </c>
      <c r="L468" s="66" t="s">
        <v>2625</v>
      </c>
    </row>
    <row r="469" spans="1:14" ht="30" x14ac:dyDescent="0.25">
      <c r="A469" s="32"/>
      <c r="B469" s="32"/>
      <c r="C469" s="32"/>
      <c r="D469" s="32"/>
      <c r="E469" s="32"/>
      <c r="F469" s="32"/>
      <c r="G469" s="32">
        <v>90</v>
      </c>
      <c r="H469" s="66" t="str">
        <f>'BID II'!B899</f>
        <v>Belanja Upakara, Upacara Dan Aci-Aci</v>
      </c>
      <c r="I469" s="32"/>
      <c r="J469" s="32"/>
      <c r="K469" s="174">
        <f>'BID II'!F900+'BID II'!F901+'BID II'!F902</f>
        <v>75000</v>
      </c>
      <c r="L469" s="66" t="s">
        <v>2625</v>
      </c>
    </row>
    <row r="470" spans="1:14" x14ac:dyDescent="0.25">
      <c r="A470" s="32"/>
      <c r="B470" s="32"/>
      <c r="C470" s="32"/>
      <c r="D470" s="32">
        <v>5</v>
      </c>
      <c r="E470" s="32">
        <v>2</v>
      </c>
      <c r="F470" s="32">
        <v>2</v>
      </c>
      <c r="G470" s="32"/>
      <c r="H470" s="66" t="str">
        <f>'BID II'!B904</f>
        <v>Belanja  Jasa Honorarium</v>
      </c>
      <c r="I470" s="32"/>
      <c r="J470" s="32"/>
      <c r="K470" s="32"/>
      <c r="L470" s="66"/>
    </row>
    <row r="471" spans="1:14" ht="45" x14ac:dyDescent="0.25">
      <c r="A471" s="32"/>
      <c r="B471" s="32"/>
      <c r="C471" s="32"/>
      <c r="D471" s="32"/>
      <c r="E471" s="32"/>
      <c r="F471" s="32"/>
      <c r="G471" s="1340" t="s">
        <v>2688</v>
      </c>
      <c r="H471" s="66" t="str">
        <f>'BID II'!B905</f>
        <v>Belanja  Jasa Honorarium Tim yang Melaksanakan Kegiatan</v>
      </c>
      <c r="I471" s="32"/>
      <c r="J471" s="32"/>
      <c r="K471" s="174">
        <f>SUM('BID II'!F906:F907)</f>
        <v>700000</v>
      </c>
      <c r="L471" s="66" t="s">
        <v>2625</v>
      </c>
    </row>
    <row r="472" spans="1:14" ht="45" x14ac:dyDescent="0.25">
      <c r="A472" s="32"/>
      <c r="B472" s="32"/>
      <c r="C472" s="32"/>
      <c r="D472" s="32"/>
      <c r="E472" s="32"/>
      <c r="F472" s="32"/>
      <c r="G472" s="1340" t="s">
        <v>2704</v>
      </c>
      <c r="H472" s="66" t="str">
        <f>'BID II'!B909</f>
        <v>Belanja Jasa Honorarium Ahli/Profesi/Konsultan/Narasumber</v>
      </c>
      <c r="I472" s="32"/>
      <c r="J472" s="32"/>
      <c r="K472" s="174">
        <f>'BID II'!F910</f>
        <v>600000</v>
      </c>
      <c r="L472" s="66" t="s">
        <v>2625</v>
      </c>
    </row>
    <row r="473" spans="1:14" ht="75" x14ac:dyDescent="0.25">
      <c r="A473" s="1344">
        <v>2</v>
      </c>
      <c r="B473" s="1344">
        <v>2</v>
      </c>
      <c r="C473" s="1346" t="s">
        <v>2704</v>
      </c>
      <c r="D473" s="1344"/>
      <c r="E473" s="1344"/>
      <c r="F473" s="1344"/>
      <c r="G473" s="1344"/>
      <c r="H473" s="1345" t="str">
        <f>'BID II'!B928</f>
        <v>: Penyuluhan dan Pelatihan Bidang Kesehatan (Pembinaan Penangulangan Rabies Desa)</v>
      </c>
      <c r="I473" s="1344"/>
      <c r="J473" s="1344"/>
      <c r="K473" s="1347">
        <f>SUM(K474:K485)</f>
        <v>26452500</v>
      </c>
      <c r="L473" s="1345" t="s">
        <v>1682</v>
      </c>
      <c r="M473" s="451">
        <f>'BID II'!F969</f>
        <v>26452500</v>
      </c>
      <c r="N473" s="175">
        <f>M473-K473</f>
        <v>0</v>
      </c>
    </row>
    <row r="474" spans="1:14" x14ac:dyDescent="0.25">
      <c r="A474" s="32"/>
      <c r="B474" s="32"/>
      <c r="C474" s="32"/>
      <c r="D474" s="32">
        <v>5</v>
      </c>
      <c r="E474" s="32">
        <v>2</v>
      </c>
      <c r="F474" s="32"/>
      <c r="G474" s="32"/>
      <c r="H474" s="66" t="str">
        <f>'BID II'!B933</f>
        <v>Belanja Barang Jasa</v>
      </c>
      <c r="I474" s="32"/>
      <c r="J474" s="32"/>
      <c r="K474" s="32"/>
      <c r="L474" s="66"/>
    </row>
    <row r="475" spans="1:14" ht="30" x14ac:dyDescent="0.25">
      <c r="A475" s="32"/>
      <c r="B475" s="32"/>
      <c r="C475" s="32"/>
      <c r="D475" s="32"/>
      <c r="E475" s="32"/>
      <c r="F475" s="32">
        <v>1</v>
      </c>
      <c r="G475" s="32"/>
      <c r="H475" s="66" t="str">
        <f>'BID II'!B934</f>
        <v>Belanja Barang Perlengkapan</v>
      </c>
      <c r="I475" s="32"/>
      <c r="J475" s="32"/>
      <c r="K475" s="32"/>
      <c r="L475" s="66"/>
    </row>
    <row r="476" spans="1:14" ht="30" x14ac:dyDescent="0.25">
      <c r="A476" s="32"/>
      <c r="B476" s="32"/>
      <c r="C476" s="32"/>
      <c r="D476" s="32"/>
      <c r="E476" s="32"/>
      <c r="F476" s="32"/>
      <c r="G476" s="1340" t="s">
        <v>2688</v>
      </c>
      <c r="H476" s="66" t="str">
        <f>'BID II'!B935</f>
        <v>Belanja Alat Tulis Kantor dan Benda Pos</v>
      </c>
      <c r="I476" s="32"/>
      <c r="J476" s="32"/>
      <c r="K476" s="174">
        <f>SUM('BID II'!F936:F938)</f>
        <v>10217500</v>
      </c>
      <c r="L476" s="66" t="s">
        <v>1682</v>
      </c>
    </row>
    <row r="477" spans="1:14" ht="30" x14ac:dyDescent="0.25">
      <c r="A477" s="32"/>
      <c r="B477" s="32"/>
      <c r="C477" s="32"/>
      <c r="D477" s="32"/>
      <c r="E477" s="32"/>
      <c r="F477" s="32"/>
      <c r="G477" s="1340" t="s">
        <v>2705</v>
      </c>
      <c r="H477" s="66" t="str">
        <f>'BID II'!B939</f>
        <v>Belanja Perlengkapan Barang Konsumsi</v>
      </c>
      <c r="I477" s="32"/>
      <c r="J477" s="32"/>
      <c r="K477" s="174">
        <f>SUM('BID II'!F940:F942)</f>
        <v>8925000</v>
      </c>
      <c r="L477" s="66" t="s">
        <v>1682</v>
      </c>
    </row>
    <row r="478" spans="1:14" ht="30" x14ac:dyDescent="0.25">
      <c r="A478" s="32"/>
      <c r="B478" s="32"/>
      <c r="C478" s="32"/>
      <c r="D478" s="32"/>
      <c r="E478" s="32"/>
      <c r="F478" s="32"/>
      <c r="G478" s="1340" t="s">
        <v>2707</v>
      </c>
      <c r="H478" s="66" t="str">
        <f>'BID II'!B944</f>
        <v>Belanja Bendera/ Umbul-umbul/ Spanduk</v>
      </c>
      <c r="I478" s="32"/>
      <c r="J478" s="32"/>
      <c r="K478" s="174">
        <f>SUM('BID II'!F945:F947)</f>
        <v>1530000</v>
      </c>
      <c r="L478" s="66" t="s">
        <v>1682</v>
      </c>
    </row>
    <row r="479" spans="1:14" ht="30" x14ac:dyDescent="0.25">
      <c r="A479" s="32"/>
      <c r="B479" s="32"/>
      <c r="C479" s="32"/>
      <c r="D479" s="32"/>
      <c r="E479" s="32"/>
      <c r="F479" s="32"/>
      <c r="G479" s="32">
        <v>90</v>
      </c>
      <c r="H479" s="66" t="str">
        <f>'BID II'!B948</f>
        <v>Belanja Upakara, Upacara Dan Aci-Aci</v>
      </c>
      <c r="I479" s="32"/>
      <c r="J479" s="32"/>
      <c r="K479" s="174">
        <f>SUM('BID II'!F949:F951)</f>
        <v>390000</v>
      </c>
      <c r="L479" s="66" t="s">
        <v>1682</v>
      </c>
    </row>
    <row r="480" spans="1:14" x14ac:dyDescent="0.25">
      <c r="A480" s="32"/>
      <c r="B480" s="32"/>
      <c r="C480" s="32"/>
      <c r="D480" s="32">
        <v>5</v>
      </c>
      <c r="E480" s="32">
        <v>2</v>
      </c>
      <c r="F480" s="32">
        <v>2</v>
      </c>
      <c r="G480" s="32"/>
      <c r="H480" s="66" t="str">
        <f>'BID II'!B953</f>
        <v>Belanja  Jasa Honorarium</v>
      </c>
      <c r="I480" s="32"/>
      <c r="J480" s="32"/>
      <c r="K480" s="32"/>
      <c r="L480" s="66"/>
    </row>
    <row r="481" spans="1:13" ht="45" x14ac:dyDescent="0.25">
      <c r="A481" s="32"/>
      <c r="B481" s="32"/>
      <c r="C481" s="32"/>
      <c r="D481" s="32"/>
      <c r="E481" s="32"/>
      <c r="F481" s="32"/>
      <c r="G481" s="1340" t="s">
        <v>2688</v>
      </c>
      <c r="H481" s="66" t="str">
        <f>'BID II'!B954</f>
        <v>Belanja  Jasa Honorarium Tim yang Melaksanakan Kegiatan</v>
      </c>
      <c r="I481" s="32"/>
      <c r="J481" s="32"/>
      <c r="K481" s="174">
        <f>SUM('BID II'!F955:F957)</f>
        <v>750000</v>
      </c>
      <c r="L481" s="66" t="s">
        <v>1682</v>
      </c>
    </row>
    <row r="482" spans="1:13" ht="45" x14ac:dyDescent="0.25">
      <c r="A482" s="32"/>
      <c r="B482" s="32"/>
      <c r="C482" s="32"/>
      <c r="D482" s="32"/>
      <c r="E482" s="32"/>
      <c r="F482" s="32"/>
      <c r="G482" s="1340" t="s">
        <v>2704</v>
      </c>
      <c r="H482" s="66" t="str">
        <f>'BID II'!B960</f>
        <v>Belanja Jasa Honorarium Ahli/Profesi/Konsultan/Narasumber</v>
      </c>
      <c r="I482" s="32"/>
      <c r="J482" s="32"/>
      <c r="K482" s="174">
        <f>SUM('BID II'!F961)</f>
        <v>600000</v>
      </c>
      <c r="L482" s="66" t="s">
        <v>1682</v>
      </c>
    </row>
    <row r="483" spans="1:13" ht="30" x14ac:dyDescent="0.25">
      <c r="A483" s="32"/>
      <c r="B483" s="32"/>
      <c r="C483" s="32"/>
      <c r="D483" s="32"/>
      <c r="E483" s="32"/>
      <c r="F483" s="32"/>
      <c r="G483" s="1340" t="s">
        <v>2706</v>
      </c>
      <c r="H483" s="66" t="str">
        <f>'BID II'!B962</f>
        <v>Belanja Jasa Honor Petugas</v>
      </c>
      <c r="I483" s="32"/>
      <c r="J483" s="32"/>
      <c r="K483" s="174">
        <f>SUM('BID II'!F963)</f>
        <v>3600000</v>
      </c>
      <c r="L483" s="66" t="s">
        <v>1682</v>
      </c>
    </row>
    <row r="484" spans="1:13" ht="45" x14ac:dyDescent="0.25">
      <c r="A484" s="32"/>
      <c r="B484" s="32"/>
      <c r="C484" s="32"/>
      <c r="D484" s="32">
        <v>5</v>
      </c>
      <c r="E484" s="32">
        <v>2</v>
      </c>
      <c r="F484" s="32">
        <v>7</v>
      </c>
      <c r="G484" s="32"/>
      <c r="H484" s="66" t="str">
        <f>'BID II'!B964</f>
        <v>Belanja Barang yang di Serahkan kepada masyarakat</v>
      </c>
      <c r="I484" s="32"/>
      <c r="J484" s="32"/>
      <c r="K484" s="32"/>
      <c r="L484" s="66"/>
    </row>
    <row r="485" spans="1:13" ht="45" x14ac:dyDescent="0.25">
      <c r="A485" s="32"/>
      <c r="B485" s="32"/>
      <c r="C485" s="32"/>
      <c r="D485" s="32"/>
      <c r="E485" s="32"/>
      <c r="F485" s="32"/>
      <c r="G485" s="32">
        <v>99</v>
      </c>
      <c r="H485" s="66" t="str">
        <f>'BID II'!B965</f>
        <v>Belanja Barang yang di Serahkan kepada masyarakat Lainnya</v>
      </c>
      <c r="I485" s="32"/>
      <c r="J485" s="32"/>
      <c r="K485" s="174">
        <f>SUM('BID II'!F966:F967)</f>
        <v>440000</v>
      </c>
      <c r="L485" s="66" t="s">
        <v>1682</v>
      </c>
    </row>
    <row r="486" spans="1:13" ht="60" x14ac:dyDescent="0.25">
      <c r="A486" s="1344">
        <v>2</v>
      </c>
      <c r="B486" s="1344">
        <v>2</v>
      </c>
      <c r="C486" s="1346" t="s">
        <v>2702</v>
      </c>
      <c r="D486" s="1344"/>
      <c r="E486" s="1344"/>
      <c r="F486" s="1344"/>
      <c r="G486" s="1344"/>
      <c r="H486" s="1345" t="str">
        <f>'BID II'!B982</f>
        <v xml:space="preserve"> :  Pengasuhan Bersama atau Bina Keluarga Balita (Pelaksanaan Kegiatan Bina keluarga Balita BKB )</v>
      </c>
      <c r="I486" s="1344"/>
      <c r="J486" s="1344"/>
      <c r="K486" s="1347">
        <f>SUM(K487:K494)</f>
        <v>50145500</v>
      </c>
      <c r="L486" s="1345" t="s">
        <v>1682</v>
      </c>
    </row>
    <row r="487" spans="1:13" x14ac:dyDescent="0.25">
      <c r="A487" s="32"/>
      <c r="B487" s="32"/>
      <c r="C487" s="32"/>
      <c r="D487" s="32">
        <v>5</v>
      </c>
      <c r="E487" s="32">
        <v>2</v>
      </c>
      <c r="F487" s="32"/>
      <c r="G487" s="32"/>
      <c r="H487" s="32" t="str">
        <f>'BID II'!B987</f>
        <v>Belanja Barang dan Jasa</v>
      </c>
      <c r="I487" s="32"/>
      <c r="J487" s="32"/>
      <c r="K487" s="32"/>
      <c r="L487" s="66"/>
    </row>
    <row r="488" spans="1:13" ht="30" x14ac:dyDescent="0.25">
      <c r="A488" s="32"/>
      <c r="B488" s="32"/>
      <c r="C488" s="32"/>
      <c r="D488" s="32"/>
      <c r="E488" s="32"/>
      <c r="F488" s="32">
        <v>1</v>
      </c>
      <c r="G488" s="32"/>
      <c r="H488" s="66" t="str">
        <f>'BID II'!B988</f>
        <v>Belanaja Barang Pelengkapan</v>
      </c>
      <c r="I488" s="32"/>
      <c r="J488" s="32"/>
      <c r="K488" s="32"/>
      <c r="L488" s="66"/>
    </row>
    <row r="489" spans="1:13" ht="30" x14ac:dyDescent="0.25">
      <c r="A489" s="32"/>
      <c r="B489" s="32"/>
      <c r="C489" s="32"/>
      <c r="D489" s="32"/>
      <c r="E489" s="32"/>
      <c r="F489" s="32"/>
      <c r="G489" s="1340" t="s">
        <v>2688</v>
      </c>
      <c r="H489" s="66" t="str">
        <f>'BID II'!B989</f>
        <v>Perlangakapan Alat Tulis Kantor dan Benda POS</v>
      </c>
      <c r="I489" s="32"/>
      <c r="J489" s="32"/>
      <c r="K489" s="174">
        <f>SUM('BID II'!F990:F992)</f>
        <v>5325500</v>
      </c>
      <c r="L489" s="66" t="s">
        <v>1682</v>
      </c>
    </row>
    <row r="490" spans="1:13" ht="30" x14ac:dyDescent="0.25">
      <c r="A490" s="32"/>
      <c r="B490" s="32"/>
      <c r="C490" s="32"/>
      <c r="D490" s="32"/>
      <c r="E490" s="32"/>
      <c r="F490" s="32"/>
      <c r="G490" s="1340" t="s">
        <v>2705</v>
      </c>
      <c r="H490" s="66" t="str">
        <f>'BID II'!B994</f>
        <v>Belanja Perlengkapan Barang Konsumsi</v>
      </c>
      <c r="I490" s="32"/>
      <c r="J490" s="32"/>
      <c r="K490" s="174">
        <f>SUM('BID II'!F996)</f>
        <v>5400000</v>
      </c>
      <c r="L490" s="66" t="s">
        <v>1682</v>
      </c>
    </row>
    <row r="491" spans="1:13" ht="30" x14ac:dyDescent="0.25">
      <c r="A491" s="32"/>
      <c r="B491" s="32"/>
      <c r="C491" s="32"/>
      <c r="D491" s="32"/>
      <c r="E491" s="32"/>
      <c r="F491" s="32"/>
      <c r="G491" s="1340" t="s">
        <v>2707</v>
      </c>
      <c r="H491" s="66" t="str">
        <f>'BID II'!B1000</f>
        <v>Belanja Bendera/Umbul - umbul Spanduk</v>
      </c>
      <c r="I491" s="32"/>
      <c r="J491" s="32"/>
      <c r="K491" s="174">
        <f>'BID II'!F1001</f>
        <v>540000</v>
      </c>
      <c r="L491" s="66" t="s">
        <v>1682</v>
      </c>
    </row>
    <row r="492" spans="1:13" ht="30" x14ac:dyDescent="0.25">
      <c r="A492" s="32"/>
      <c r="B492" s="32"/>
      <c r="C492" s="32"/>
      <c r="D492" s="32"/>
      <c r="E492" s="32"/>
      <c r="F492" s="32"/>
      <c r="G492" s="32">
        <v>90</v>
      </c>
      <c r="H492" s="66" t="str">
        <f>'BID II'!B1003</f>
        <v>Belanja Upakara, Upacara Dan Aci</v>
      </c>
      <c r="I492" s="32"/>
      <c r="J492" s="32"/>
      <c r="K492" s="174">
        <f>SUM('BID II'!F1004:F1005)</f>
        <v>2880000</v>
      </c>
      <c r="L492" s="66" t="s">
        <v>1682</v>
      </c>
    </row>
    <row r="493" spans="1:13" x14ac:dyDescent="0.25">
      <c r="A493" s="32"/>
      <c r="B493" s="32"/>
      <c r="C493" s="32"/>
      <c r="D493" s="32">
        <v>5</v>
      </c>
      <c r="E493" s="32">
        <v>2</v>
      </c>
      <c r="F493" s="32">
        <v>2</v>
      </c>
      <c r="G493" s="32"/>
      <c r="H493" s="66" t="str">
        <f>'BID II'!B1006</f>
        <v>Belanja Jasa Honorarium</v>
      </c>
      <c r="I493" s="32"/>
      <c r="J493" s="32"/>
      <c r="K493" s="32"/>
      <c r="L493" s="66"/>
    </row>
    <row r="494" spans="1:13" ht="30" x14ac:dyDescent="0.25">
      <c r="A494" s="32"/>
      <c r="B494" s="32"/>
      <c r="C494" s="32"/>
      <c r="D494" s="32"/>
      <c r="E494" s="32"/>
      <c r="F494" s="32"/>
      <c r="G494" s="1340" t="s">
        <v>2706</v>
      </c>
      <c r="H494" s="66" t="str">
        <f>'BID II'!B1007</f>
        <v>Belanja Jasa Honorarium Petugas</v>
      </c>
      <c r="I494" s="32"/>
      <c r="J494" s="32"/>
      <c r="K494" s="174">
        <f>SUM('BID II'!F1008)</f>
        <v>36000000</v>
      </c>
      <c r="L494" s="66" t="s">
        <v>1682</v>
      </c>
    </row>
    <row r="495" spans="1:13" ht="58.5" customHeight="1" x14ac:dyDescent="0.25">
      <c r="A495" s="1344">
        <v>2</v>
      </c>
      <c r="B495" s="1344">
        <v>2</v>
      </c>
      <c r="C495" s="1346" t="s">
        <v>2705</v>
      </c>
      <c r="D495" s="1344"/>
      <c r="E495" s="1344"/>
      <c r="F495" s="1344"/>
      <c r="G495" s="1344"/>
      <c r="H495" s="1345" t="str">
        <f>'BID II'!B1021</f>
        <v xml:space="preserve"> :  Pengasuhan Bersama atau Bina Keluarga Lansia ( Pembinaan dan Penyelenggaraan BKL)</v>
      </c>
      <c r="I495" s="1344"/>
      <c r="J495" s="1344"/>
      <c r="K495" s="1347">
        <f>SUM(K496:K513)</f>
        <v>9990000</v>
      </c>
      <c r="L495" s="1345"/>
      <c r="M495" s="175">
        <f>K495+K514+K527+K540+K598</f>
        <v>76149000</v>
      </c>
    </row>
    <row r="496" spans="1:13" ht="37.5" customHeight="1" x14ac:dyDescent="0.25">
      <c r="A496" s="32"/>
      <c r="B496" s="32"/>
      <c r="C496" s="1340"/>
      <c r="D496" s="32"/>
      <c r="E496" s="32"/>
      <c r="F496" s="32"/>
      <c r="G496" s="32"/>
      <c r="H496" s="66" t="str">
        <f>'BID II'!B1026</f>
        <v>Pembinaan</v>
      </c>
      <c r="I496" s="32"/>
      <c r="J496" s="32"/>
      <c r="K496" s="497"/>
      <c r="L496" s="66"/>
      <c r="M496" s="175"/>
    </row>
    <row r="497" spans="1:13" ht="28.5" customHeight="1" x14ac:dyDescent="0.25">
      <c r="A497" s="32"/>
      <c r="B497" s="32"/>
      <c r="C497" s="1340"/>
      <c r="D497" s="32">
        <v>5</v>
      </c>
      <c r="E497" s="32">
        <v>2</v>
      </c>
      <c r="F497" s="32"/>
      <c r="G497" s="32"/>
      <c r="H497" s="66" t="str">
        <f>'BID II'!B1027</f>
        <v>Belanja Barang Jasa</v>
      </c>
      <c r="I497" s="32"/>
      <c r="J497" s="32"/>
      <c r="K497" s="497"/>
      <c r="L497" s="66"/>
      <c r="M497" s="175"/>
    </row>
    <row r="498" spans="1:13" ht="28.5" customHeight="1" x14ac:dyDescent="0.25">
      <c r="A498" s="32"/>
      <c r="B498" s="32"/>
      <c r="C498" s="1340"/>
      <c r="D498" s="32"/>
      <c r="E498" s="32"/>
      <c r="F498" s="32">
        <v>1</v>
      </c>
      <c r="G498" s="32"/>
      <c r="H498" s="66" t="str">
        <f>'BID II'!B1028</f>
        <v>Belanja Barang Perlengkapan</v>
      </c>
      <c r="I498" s="32"/>
      <c r="J498" s="32"/>
      <c r="K498" s="497"/>
      <c r="L498" s="66"/>
      <c r="M498" s="175"/>
    </row>
    <row r="499" spans="1:13" ht="28.5" customHeight="1" x14ac:dyDescent="0.25">
      <c r="A499" s="32"/>
      <c r="B499" s="32"/>
      <c r="C499" s="1340"/>
      <c r="D499" s="32"/>
      <c r="E499" s="32"/>
      <c r="F499" s="32"/>
      <c r="G499" s="1340" t="s">
        <v>2688</v>
      </c>
      <c r="H499" s="66" t="str">
        <f>'BID II'!B1029</f>
        <v>Belanja Alat Tulis Kantor dan Benda Pos</v>
      </c>
      <c r="I499" s="32"/>
      <c r="J499" s="32"/>
      <c r="K499" s="497">
        <f>SUM('BID II'!F1030)</f>
        <v>25000</v>
      </c>
      <c r="L499" s="66" t="s">
        <v>2627</v>
      </c>
      <c r="M499" s="175"/>
    </row>
    <row r="500" spans="1:13" ht="35.25" customHeight="1" x14ac:dyDescent="0.25">
      <c r="A500" s="32"/>
      <c r="B500" s="32"/>
      <c r="C500" s="1340"/>
      <c r="D500" s="32"/>
      <c r="E500" s="32"/>
      <c r="F500" s="32"/>
      <c r="G500" s="1340" t="s">
        <v>2705</v>
      </c>
      <c r="H500" s="66" t="str">
        <f>'BID II'!B1032</f>
        <v>Belanja Perlengkapan Barang Konsumsi</v>
      </c>
      <c r="I500" s="32"/>
      <c r="J500" s="32"/>
      <c r="K500" s="497">
        <f>SUM('BID II'!F1033)</f>
        <v>150000</v>
      </c>
      <c r="L500" s="66" t="s">
        <v>2627</v>
      </c>
      <c r="M500" s="175"/>
    </row>
    <row r="501" spans="1:13" ht="35.25" customHeight="1" x14ac:dyDescent="0.25">
      <c r="A501" s="32"/>
      <c r="B501" s="32"/>
      <c r="C501" s="1340"/>
      <c r="D501" s="32"/>
      <c r="E501" s="32"/>
      <c r="F501" s="32"/>
      <c r="G501" s="1340" t="s">
        <v>2707</v>
      </c>
      <c r="H501" s="66" t="str">
        <f>'BID II'!B1035</f>
        <v>Belanja Bendera/ Umbul-umbul/ Spanduk</v>
      </c>
      <c r="I501" s="32"/>
      <c r="J501" s="32"/>
      <c r="K501" s="497">
        <f>'BID II'!F1036</f>
        <v>150000</v>
      </c>
      <c r="L501" s="66" t="s">
        <v>2627</v>
      </c>
      <c r="M501" s="175"/>
    </row>
    <row r="502" spans="1:13" ht="35.25" customHeight="1" x14ac:dyDescent="0.25">
      <c r="A502" s="32"/>
      <c r="B502" s="32"/>
      <c r="C502" s="1340"/>
      <c r="D502" s="32"/>
      <c r="E502" s="32"/>
      <c r="F502" s="32"/>
      <c r="G502" s="32">
        <v>90</v>
      </c>
      <c r="H502" s="66" t="str">
        <f>'BID II'!B1038</f>
        <v>Belanja Upakara, Upacara Dan Aci-Aci</v>
      </c>
      <c r="I502" s="32"/>
      <c r="J502" s="32"/>
      <c r="K502" s="497">
        <f>SUM('BID II'!F1039:F1041)</f>
        <v>75000</v>
      </c>
      <c r="L502" s="66" t="s">
        <v>2627</v>
      </c>
      <c r="M502" s="175"/>
    </row>
    <row r="503" spans="1:13" ht="35.25" customHeight="1" x14ac:dyDescent="0.25">
      <c r="A503" s="32"/>
      <c r="B503" s="32"/>
      <c r="C503" s="1340"/>
      <c r="D503" s="32">
        <v>5</v>
      </c>
      <c r="E503" s="32">
        <v>2</v>
      </c>
      <c r="F503" s="32">
        <v>2</v>
      </c>
      <c r="G503" s="32"/>
      <c r="H503" s="66" t="str">
        <f>'BID II'!B1043</f>
        <v>Belanja Jasa Honorarium</v>
      </c>
      <c r="I503" s="32"/>
      <c r="J503" s="32"/>
      <c r="K503" s="497"/>
      <c r="L503" s="66"/>
      <c r="M503" s="175"/>
    </row>
    <row r="504" spans="1:13" ht="35.25" customHeight="1" x14ac:dyDescent="0.25">
      <c r="A504" s="32"/>
      <c r="B504" s="32"/>
      <c r="C504" s="1340"/>
      <c r="D504" s="32"/>
      <c r="E504" s="32"/>
      <c r="F504" s="32"/>
      <c r="G504" s="1340" t="s">
        <v>2704</v>
      </c>
      <c r="H504" s="66" t="str">
        <f>'BID II'!B1044</f>
        <v>Belanja Jasa Honorarium Ahli/ Profesi/Konsultan/Narasumber</v>
      </c>
      <c r="I504" s="32"/>
      <c r="J504" s="32"/>
      <c r="K504" s="497">
        <f>'BID II'!F1045</f>
        <v>600000</v>
      </c>
      <c r="L504" s="66" t="s">
        <v>2627</v>
      </c>
      <c r="M504" s="175"/>
    </row>
    <row r="505" spans="1:13" ht="35.25" customHeight="1" x14ac:dyDescent="0.25">
      <c r="A505" s="32"/>
      <c r="B505" s="32"/>
      <c r="C505" s="1340"/>
      <c r="D505" s="32">
        <v>5</v>
      </c>
      <c r="E505" s="32">
        <v>2</v>
      </c>
      <c r="F505" s="32">
        <v>4</v>
      </c>
      <c r="G505" s="32"/>
      <c r="H505" s="66" t="str">
        <f>'BID II'!B1047</f>
        <v>Belanja Jasa Sewa</v>
      </c>
      <c r="I505" s="32"/>
      <c r="J505" s="32"/>
      <c r="K505" s="497"/>
      <c r="L505" s="66"/>
      <c r="M505" s="175"/>
    </row>
    <row r="506" spans="1:13" ht="35.25" customHeight="1" x14ac:dyDescent="0.25">
      <c r="A506" s="32"/>
      <c r="B506" s="32"/>
      <c r="C506" s="1340"/>
      <c r="D506" s="32"/>
      <c r="E506" s="32"/>
      <c r="F506" s="32"/>
      <c r="G506" s="1340" t="s">
        <v>2703</v>
      </c>
      <c r="H506" s="66" t="str">
        <f>'BID II'!B1048</f>
        <v>Belanja Jasa Sewa Mobilitas</v>
      </c>
      <c r="I506" s="32"/>
      <c r="J506" s="32"/>
      <c r="K506" s="497">
        <f>'BID II'!F1049</f>
        <v>2000000</v>
      </c>
      <c r="L506" s="66" t="s">
        <v>2627</v>
      </c>
      <c r="M506" s="175"/>
    </row>
    <row r="507" spans="1:13" ht="35.25" customHeight="1" x14ac:dyDescent="0.25">
      <c r="A507" s="32"/>
      <c r="B507" s="32"/>
      <c r="C507" s="1340"/>
      <c r="D507" s="32"/>
      <c r="E507" s="32"/>
      <c r="F507" s="32"/>
      <c r="G507" s="1340"/>
      <c r="H507" s="66" t="str">
        <f>'BID II'!B1051</f>
        <v>Kegiatan</v>
      </c>
      <c r="I507" s="32"/>
      <c r="J507" s="32"/>
      <c r="K507" s="497"/>
      <c r="L507" s="66"/>
      <c r="M507" s="175"/>
    </row>
    <row r="508" spans="1:13" x14ac:dyDescent="0.25">
      <c r="A508" s="32"/>
      <c r="B508" s="32"/>
      <c r="C508" s="32"/>
      <c r="D508" s="32">
        <v>5</v>
      </c>
      <c r="E508" s="32">
        <v>2</v>
      </c>
      <c r="F508" s="32"/>
      <c r="G508" s="32"/>
      <c r="H508" s="66" t="str">
        <f>'BID II'!B1052</f>
        <v>Belanja Barang Jasa</v>
      </c>
      <c r="I508" s="32"/>
      <c r="J508" s="32"/>
      <c r="K508" s="32"/>
      <c r="L508" s="66"/>
      <c r="M508" s="175">
        <f>K495-M495</f>
        <v>-66159000</v>
      </c>
    </row>
    <row r="509" spans="1:13" ht="30" x14ac:dyDescent="0.25">
      <c r="A509" s="32"/>
      <c r="B509" s="32"/>
      <c r="C509" s="32"/>
      <c r="D509" s="32"/>
      <c r="E509" s="32"/>
      <c r="F509" s="32">
        <v>1</v>
      </c>
      <c r="G509" s="32"/>
      <c r="H509" s="66" t="str">
        <f>'BID II'!B1053</f>
        <v>Belanja Barang Perlengkapan</v>
      </c>
      <c r="I509" s="32"/>
      <c r="J509" s="32"/>
      <c r="K509" s="32"/>
      <c r="L509" s="66"/>
    </row>
    <row r="510" spans="1:13" ht="30" x14ac:dyDescent="0.25">
      <c r="A510" s="32"/>
      <c r="B510" s="32"/>
      <c r="C510" s="32"/>
      <c r="D510" s="32"/>
      <c r="E510" s="32"/>
      <c r="F510" s="32"/>
      <c r="G510" s="1340" t="s">
        <v>2705</v>
      </c>
      <c r="H510" s="66" t="str">
        <f>'BID II'!B1054</f>
        <v>Belanja Perlengkapan Barang Konsumsi</v>
      </c>
      <c r="I510" s="32"/>
      <c r="J510" s="32"/>
      <c r="K510" s="174">
        <f>SUM('BID II'!F1056)</f>
        <v>900000</v>
      </c>
      <c r="L510" s="66" t="s">
        <v>2627</v>
      </c>
    </row>
    <row r="511" spans="1:13" ht="30" x14ac:dyDescent="0.25">
      <c r="A511" s="32"/>
      <c r="B511" s="32"/>
      <c r="C511" s="32"/>
      <c r="D511" s="32"/>
      <c r="E511" s="32"/>
      <c r="F511" s="32"/>
      <c r="G511" s="1340" t="s">
        <v>2707</v>
      </c>
      <c r="H511" s="66" t="str">
        <f>'BID II'!B1057</f>
        <v>Bekanja Spanduk</v>
      </c>
      <c r="I511" s="32"/>
      <c r="J511" s="32"/>
      <c r="K511" s="174">
        <f>'BID II'!F1058</f>
        <v>90000</v>
      </c>
      <c r="L511" s="66" t="s">
        <v>2627</v>
      </c>
    </row>
    <row r="512" spans="1:13" x14ac:dyDescent="0.25">
      <c r="A512" s="32"/>
      <c r="B512" s="32"/>
      <c r="C512" s="32"/>
      <c r="D512" s="32">
        <v>5</v>
      </c>
      <c r="E512" s="32">
        <v>2</v>
      </c>
      <c r="F512" s="32">
        <v>2</v>
      </c>
      <c r="G512" s="32"/>
      <c r="H512" s="66" t="str">
        <f>'BID II'!B1059</f>
        <v>Belanja Jasa Honorarium</v>
      </c>
      <c r="I512" s="32"/>
      <c r="J512" s="32"/>
      <c r="K512" s="32"/>
      <c r="L512" s="66"/>
    </row>
    <row r="513" spans="1:13" ht="30" x14ac:dyDescent="0.25">
      <c r="A513" s="32"/>
      <c r="B513" s="32"/>
      <c r="C513" s="32"/>
      <c r="D513" s="32"/>
      <c r="E513" s="32"/>
      <c r="F513" s="32"/>
      <c r="G513" s="1340" t="s">
        <v>2706</v>
      </c>
      <c r="H513" s="66" t="str">
        <f>'BID II'!B1060</f>
        <v>Belanja Jasa Honorarium Petugas</v>
      </c>
      <c r="I513" s="32"/>
      <c r="J513" s="32"/>
      <c r="K513" s="174">
        <f>'BID II'!F1061</f>
        <v>6000000</v>
      </c>
      <c r="L513" s="66" t="s">
        <v>2627</v>
      </c>
    </row>
    <row r="514" spans="1:13" ht="45" x14ac:dyDescent="0.25">
      <c r="A514" s="1344">
        <v>2</v>
      </c>
      <c r="B514" s="1344">
        <v>2</v>
      </c>
      <c r="C514" s="1346" t="s">
        <v>2705</v>
      </c>
      <c r="D514" s="1344"/>
      <c r="E514" s="1344"/>
      <c r="F514" s="1344"/>
      <c r="G514" s="1344"/>
      <c r="H514" s="1345" t="str">
        <f>'BID II'!B1076</f>
        <v>: Pengasuhan Bersama atau Bina Keluarga Balita (Pembinaan Kader BKB)</v>
      </c>
      <c r="I514" s="1344"/>
      <c r="J514" s="1344"/>
      <c r="K514" s="1347">
        <f>SUM(K515:K526)</f>
        <v>18283000</v>
      </c>
      <c r="L514" s="1345" t="s">
        <v>2627</v>
      </c>
    </row>
    <row r="515" spans="1:13" x14ac:dyDescent="0.25">
      <c r="A515" s="32"/>
      <c r="B515" s="32"/>
      <c r="C515" s="32"/>
      <c r="D515" s="32"/>
      <c r="E515" s="32"/>
      <c r="F515" s="32"/>
      <c r="G515" s="32"/>
      <c r="H515" s="66" t="str">
        <f>'BID II'!B1082</f>
        <v>Pembinaan Kader BKB</v>
      </c>
      <c r="I515" s="32"/>
      <c r="J515" s="32"/>
      <c r="K515" s="32"/>
      <c r="L515" s="66"/>
    </row>
    <row r="516" spans="1:13" x14ac:dyDescent="0.25">
      <c r="A516" s="32"/>
      <c r="B516" s="32"/>
      <c r="C516" s="32"/>
      <c r="D516" s="32">
        <v>5</v>
      </c>
      <c r="E516" s="32">
        <v>2</v>
      </c>
      <c r="F516" s="32"/>
      <c r="G516" s="32"/>
      <c r="H516" s="66" t="str">
        <f>'BID II'!B1083</f>
        <v>Belanja Barang Jasa</v>
      </c>
      <c r="I516" s="32"/>
      <c r="J516" s="32"/>
      <c r="K516" s="32"/>
      <c r="L516" s="66"/>
    </row>
    <row r="517" spans="1:13" ht="30" x14ac:dyDescent="0.25">
      <c r="A517" s="32"/>
      <c r="B517" s="32"/>
      <c r="C517" s="32"/>
      <c r="D517" s="32"/>
      <c r="E517" s="32"/>
      <c r="F517" s="32">
        <v>1</v>
      </c>
      <c r="G517" s="1340" t="s">
        <v>2719</v>
      </c>
      <c r="H517" s="66" t="str">
        <f>'BID II'!B1084</f>
        <v>Belanja Barang Perlengkapan</v>
      </c>
      <c r="I517" s="32"/>
      <c r="J517" s="32"/>
      <c r="K517" s="32"/>
      <c r="L517" s="66"/>
    </row>
    <row r="518" spans="1:13" ht="30" x14ac:dyDescent="0.25">
      <c r="A518" s="32"/>
      <c r="B518" s="32"/>
      <c r="C518" s="32"/>
      <c r="D518" s="32"/>
      <c r="E518" s="32"/>
      <c r="F518" s="32"/>
      <c r="G518" s="1340" t="s">
        <v>2720</v>
      </c>
      <c r="H518" s="66" t="str">
        <f>'BID II'!B1085</f>
        <v>Belanja Alat Tulis Kantor dan Benda Pos</v>
      </c>
      <c r="I518" s="32"/>
      <c r="J518" s="32"/>
      <c r="K518" s="470">
        <f>SUM('BID II'!F1086:F1090)</f>
        <v>3363000</v>
      </c>
      <c r="L518" s="66" t="s">
        <v>2627</v>
      </c>
    </row>
    <row r="519" spans="1:13" ht="30" x14ac:dyDescent="0.25">
      <c r="A519" s="32"/>
      <c r="B519" s="32"/>
      <c r="C519" s="32"/>
      <c r="D519" s="32"/>
      <c r="E519" s="32"/>
      <c r="F519" s="32"/>
      <c r="G519" s="1340" t="s">
        <v>2705</v>
      </c>
      <c r="H519" s="66" t="str">
        <f>'BID II'!B1092</f>
        <v>Belanja Perlengkapan Barang Konsumsi</v>
      </c>
      <c r="I519" s="32"/>
      <c r="J519" s="32"/>
      <c r="K519" s="174">
        <f>'BID II'!F1093</f>
        <v>1020000</v>
      </c>
      <c r="L519" s="66" t="s">
        <v>2627</v>
      </c>
    </row>
    <row r="520" spans="1:13" ht="30" x14ac:dyDescent="0.25">
      <c r="A520" s="32"/>
      <c r="B520" s="32"/>
      <c r="C520" s="32"/>
      <c r="D520" s="32"/>
      <c r="E520" s="32"/>
      <c r="F520" s="32"/>
      <c r="G520" s="1340" t="s">
        <v>2707</v>
      </c>
      <c r="H520" s="66" t="str">
        <f>'BID II'!B1095</f>
        <v>Belanja Bendera/ Umbul-umbul/ Spanduk</v>
      </c>
      <c r="I520" s="32"/>
      <c r="J520" s="32"/>
      <c r="K520" s="174">
        <f>'BID II'!F1096</f>
        <v>90000</v>
      </c>
      <c r="L520" s="66" t="s">
        <v>2627</v>
      </c>
    </row>
    <row r="521" spans="1:13" ht="30" x14ac:dyDescent="0.25">
      <c r="A521" s="32"/>
      <c r="B521" s="32"/>
      <c r="C521" s="32"/>
      <c r="D521" s="32"/>
      <c r="E521" s="32"/>
      <c r="F521" s="32"/>
      <c r="G521" s="32">
        <v>90</v>
      </c>
      <c r="H521" s="66" t="str">
        <f>'BID II'!B1098</f>
        <v>Belanja Upakara, Upacara Dan Aci-Aci</v>
      </c>
      <c r="I521" s="32"/>
      <c r="J521" s="32"/>
      <c r="K521" s="174">
        <f>SUM('BID II'!F1099:F1101)</f>
        <v>310000</v>
      </c>
      <c r="L521" s="66" t="s">
        <v>2627</v>
      </c>
    </row>
    <row r="522" spans="1:13" x14ac:dyDescent="0.25">
      <c r="A522" s="32"/>
      <c r="B522" s="32"/>
      <c r="C522" s="32"/>
      <c r="D522" s="32">
        <v>5</v>
      </c>
      <c r="E522" s="32">
        <v>2</v>
      </c>
      <c r="F522" s="32">
        <v>2</v>
      </c>
      <c r="G522" s="32"/>
      <c r="H522" s="66" t="str">
        <f>'BID II'!B1103</f>
        <v>Belanja Jasa Honorarium</v>
      </c>
      <c r="I522" s="32"/>
      <c r="J522" s="32"/>
      <c r="K522" s="32"/>
      <c r="L522" s="66"/>
    </row>
    <row r="523" spans="1:13" ht="30" x14ac:dyDescent="0.25">
      <c r="A523" s="32"/>
      <c r="B523" s="32"/>
      <c r="C523" s="32"/>
      <c r="D523" s="32"/>
      <c r="E523" s="32"/>
      <c r="F523" s="32"/>
      <c r="G523" s="1340" t="s">
        <v>2688</v>
      </c>
      <c r="H523" s="66" t="str">
        <f>'BID II'!B1104</f>
        <v>Honor Tim yang Melaksanakan Kegiatan</v>
      </c>
      <c r="I523" s="32"/>
      <c r="J523" s="32"/>
      <c r="K523" s="174">
        <f>SUM('BID II'!F1105:F1106)</f>
        <v>900000</v>
      </c>
      <c r="L523" s="66" t="s">
        <v>2627</v>
      </c>
    </row>
    <row r="524" spans="1:13" ht="60" x14ac:dyDescent="0.25">
      <c r="A524" s="32"/>
      <c r="B524" s="32"/>
      <c r="C524" s="32"/>
      <c r="D524" s="32"/>
      <c r="E524" s="32"/>
      <c r="F524" s="32"/>
      <c r="G524" s="1340" t="s">
        <v>2704</v>
      </c>
      <c r="H524" s="66" t="str">
        <f>'BID II'!B1108</f>
        <v>Belanja Jasa Honorarium Ahli/ Profesi/Konsultan/Narasumber</v>
      </c>
      <c r="I524" s="32"/>
      <c r="J524" s="32"/>
      <c r="K524" s="174">
        <f>'BID II'!F1109</f>
        <v>600000</v>
      </c>
      <c r="L524" s="66" t="s">
        <v>2627</v>
      </c>
    </row>
    <row r="525" spans="1:13" x14ac:dyDescent="0.25">
      <c r="A525" s="32"/>
      <c r="B525" s="32"/>
      <c r="C525" s="32"/>
      <c r="D525" s="32">
        <v>5</v>
      </c>
      <c r="E525" s="32">
        <v>2</v>
      </c>
      <c r="F525" s="32">
        <v>4</v>
      </c>
      <c r="G525" s="32"/>
      <c r="H525" s="66" t="str">
        <f>'BID II'!B1110</f>
        <v>Belanja Jasa Sewa</v>
      </c>
      <c r="I525" s="32"/>
      <c r="J525" s="32"/>
      <c r="K525" s="32"/>
      <c r="L525" s="66"/>
    </row>
    <row r="526" spans="1:13" ht="30" x14ac:dyDescent="0.25">
      <c r="A526" s="32"/>
      <c r="B526" s="32"/>
      <c r="C526" s="32"/>
      <c r="D526" s="32"/>
      <c r="E526" s="32"/>
      <c r="F526" s="32"/>
      <c r="G526" s="1340" t="s">
        <v>2703</v>
      </c>
      <c r="H526" s="66" t="str">
        <f>'BID II'!B1111</f>
        <v>Belanja Jasa Sewa Sarana Mobilitas</v>
      </c>
      <c r="I526" s="32"/>
      <c r="J526" s="32"/>
      <c r="K526" s="470">
        <f>'BID II'!F1112</f>
        <v>12000000</v>
      </c>
      <c r="L526" s="66" t="s">
        <v>2627</v>
      </c>
    </row>
    <row r="527" spans="1:13" ht="75" x14ac:dyDescent="0.25">
      <c r="A527" s="1344">
        <v>2</v>
      </c>
      <c r="B527" s="1344">
        <v>2</v>
      </c>
      <c r="C527" s="1346" t="s">
        <v>2705</v>
      </c>
      <c r="D527" s="1344"/>
      <c r="E527" s="1344"/>
      <c r="F527" s="1344"/>
      <c r="G527" s="1344"/>
      <c r="H527" s="1345" t="str">
        <f>'BID II'!B1127</f>
        <v xml:space="preserve"> :  Pengasuhan Bersama atau Bina Keluarga Balita (Pembinaan Kegiatan Bina keluarga Remaja BKR )</v>
      </c>
      <c r="I527" s="1344"/>
      <c r="J527" s="1344"/>
      <c r="K527" s="1347">
        <f>SUM(K528:K539)</f>
        <v>4875000</v>
      </c>
      <c r="L527" s="1345"/>
      <c r="M527" s="451">
        <v>2875000</v>
      </c>
    </row>
    <row r="528" spans="1:13" x14ac:dyDescent="0.25">
      <c r="A528" s="32"/>
      <c r="B528" s="32"/>
      <c r="C528" s="32"/>
      <c r="D528" s="32"/>
      <c r="E528" s="32"/>
      <c r="F528" s="32"/>
      <c r="G528" s="32"/>
      <c r="H528" s="66" t="str">
        <f>'BID II'!B1133</f>
        <v>Pembinaan Kader BKR</v>
      </c>
      <c r="I528" s="32"/>
      <c r="J528" s="32"/>
      <c r="K528" s="32"/>
      <c r="L528" s="66"/>
      <c r="M528" s="175">
        <f>K527-M527</f>
        <v>2000000</v>
      </c>
    </row>
    <row r="529" spans="1:12" x14ac:dyDescent="0.25">
      <c r="A529" s="32"/>
      <c r="B529" s="32"/>
      <c r="C529" s="32"/>
      <c r="D529" s="32">
        <v>5</v>
      </c>
      <c r="E529" s="32">
        <v>2</v>
      </c>
      <c r="F529" s="32"/>
      <c r="G529" s="32"/>
      <c r="H529" s="66" t="str">
        <f>'BID II'!B1134</f>
        <v>Belanja Barang Jasa</v>
      </c>
      <c r="I529" s="32"/>
      <c r="J529" s="32"/>
      <c r="K529" s="32"/>
      <c r="L529" s="66"/>
    </row>
    <row r="530" spans="1:12" ht="30" x14ac:dyDescent="0.25">
      <c r="A530" s="32"/>
      <c r="B530" s="32"/>
      <c r="C530" s="32"/>
      <c r="D530" s="32"/>
      <c r="E530" s="32"/>
      <c r="F530" s="32">
        <v>1</v>
      </c>
      <c r="G530" s="32"/>
      <c r="H530" s="66" t="str">
        <f>'BID II'!B1135</f>
        <v>Belanja Barang Perlengkapan</v>
      </c>
      <c r="I530" s="32"/>
      <c r="J530" s="32"/>
      <c r="K530" s="32"/>
      <c r="L530" s="66"/>
    </row>
    <row r="531" spans="1:12" ht="30" x14ac:dyDescent="0.25">
      <c r="A531" s="32"/>
      <c r="B531" s="32"/>
      <c r="C531" s="32"/>
      <c r="D531" s="32"/>
      <c r="E531" s="32"/>
      <c r="F531" s="32"/>
      <c r="G531" s="1340" t="s">
        <v>2688</v>
      </c>
      <c r="H531" s="66" t="str">
        <f>'BID II'!B1136</f>
        <v>Belanja Alat Tulis Kantor dan Benda Pos</v>
      </c>
      <c r="I531" s="32"/>
      <c r="J531" s="32"/>
      <c r="K531" s="470">
        <f>'BID II'!F1137</f>
        <v>25000</v>
      </c>
      <c r="L531" s="66" t="s">
        <v>2625</v>
      </c>
    </row>
    <row r="532" spans="1:12" ht="30" x14ac:dyDescent="0.25">
      <c r="A532" s="32"/>
      <c r="B532" s="32"/>
      <c r="C532" s="32"/>
      <c r="D532" s="32"/>
      <c r="E532" s="32"/>
      <c r="F532" s="32"/>
      <c r="G532" s="1340" t="s">
        <v>2705</v>
      </c>
      <c r="H532" s="66" t="str">
        <f>'BID II'!B1139</f>
        <v>Belanja Perlengkapan Barang Konsumsi</v>
      </c>
      <c r="I532" s="32"/>
      <c r="J532" s="32"/>
      <c r="K532" s="174">
        <f>'BID II'!F1140</f>
        <v>225000</v>
      </c>
      <c r="L532" s="66" t="s">
        <v>2625</v>
      </c>
    </row>
    <row r="533" spans="1:12" ht="30" x14ac:dyDescent="0.25">
      <c r="A533" s="32"/>
      <c r="B533" s="32"/>
      <c r="C533" s="32"/>
      <c r="D533" s="32"/>
      <c r="E533" s="32"/>
      <c r="F533" s="32"/>
      <c r="G533" s="1340" t="s">
        <v>2709</v>
      </c>
      <c r="H533" s="66" t="str">
        <f>'BID II'!B1141</f>
        <v>Belanja Pakaian Dinas/ seragam/ atribut</v>
      </c>
      <c r="I533" s="32"/>
      <c r="J533" s="32"/>
      <c r="K533" s="174">
        <f>'BID II'!F1142</f>
        <v>1800000</v>
      </c>
      <c r="L533" s="66" t="s">
        <v>2625</v>
      </c>
    </row>
    <row r="534" spans="1:12" ht="30" x14ac:dyDescent="0.25">
      <c r="A534" s="32"/>
      <c r="B534" s="32"/>
      <c r="C534" s="32"/>
      <c r="D534" s="32"/>
      <c r="E534" s="32"/>
      <c r="F534" s="32"/>
      <c r="G534" s="1340" t="s">
        <v>2707</v>
      </c>
      <c r="H534" s="66" t="str">
        <f>'BID II'!B1144</f>
        <v>Belanja Bendera/ Umbul-umbul/ Spanduk</v>
      </c>
      <c r="I534" s="32"/>
      <c r="J534" s="32"/>
      <c r="K534" s="174">
        <f>'BID II'!F1145</f>
        <v>150000</v>
      </c>
      <c r="L534" s="66" t="s">
        <v>2625</v>
      </c>
    </row>
    <row r="535" spans="1:12" ht="30" x14ac:dyDescent="0.25">
      <c r="A535" s="32"/>
      <c r="B535" s="32"/>
      <c r="C535" s="32"/>
      <c r="D535" s="32"/>
      <c r="E535" s="32"/>
      <c r="F535" s="32"/>
      <c r="G535" s="32">
        <v>90</v>
      </c>
      <c r="H535" s="66" t="str">
        <f>'BID II'!B1147</f>
        <v>Belanja Upakara, Upacara Dan Aci-Aci</v>
      </c>
      <c r="I535" s="32"/>
      <c r="J535" s="32"/>
      <c r="K535" s="174">
        <f>'BID II'!F1148+'BID II'!F1149+'BID II'!F1150</f>
        <v>75000</v>
      </c>
      <c r="L535" s="66" t="s">
        <v>2625</v>
      </c>
    </row>
    <row r="536" spans="1:12" x14ac:dyDescent="0.25">
      <c r="A536" s="32"/>
      <c r="B536" s="32"/>
      <c r="C536" s="32"/>
      <c r="D536" s="32">
        <v>5</v>
      </c>
      <c r="E536" s="32">
        <v>2</v>
      </c>
      <c r="F536" s="32">
        <v>2</v>
      </c>
      <c r="G536" s="32"/>
      <c r="H536" s="66" t="str">
        <f>'BID II'!B1152</f>
        <v>Belanja Jasa Honorarium</v>
      </c>
      <c r="I536" s="32"/>
      <c r="J536" s="32"/>
      <c r="K536" s="32"/>
      <c r="L536" s="66"/>
    </row>
    <row r="537" spans="1:12" ht="60" x14ac:dyDescent="0.25">
      <c r="A537" s="32"/>
      <c r="B537" s="32"/>
      <c r="C537" s="32"/>
      <c r="D537" s="32"/>
      <c r="E537" s="32"/>
      <c r="F537" s="32"/>
      <c r="G537" s="1340" t="s">
        <v>2704</v>
      </c>
      <c r="H537" s="66" t="str">
        <f>'BID II'!B1153</f>
        <v>Belanja Jasa Honorarium Ahli/ Profesi/Konsultan/Narasumber</v>
      </c>
      <c r="I537" s="32"/>
      <c r="J537" s="32"/>
      <c r="K537" s="174">
        <f>'BID II'!F1154</f>
        <v>600000</v>
      </c>
      <c r="L537" s="66" t="s">
        <v>2625</v>
      </c>
    </row>
    <row r="538" spans="1:12" x14ac:dyDescent="0.25">
      <c r="A538" s="32"/>
      <c r="B538" s="32"/>
      <c r="C538" s="32"/>
      <c r="D538" s="32">
        <v>5</v>
      </c>
      <c r="E538" s="32">
        <v>2</v>
      </c>
      <c r="F538" s="32">
        <v>4</v>
      </c>
      <c r="G538" s="1340"/>
      <c r="H538" s="66" t="str">
        <f>'BID II'!B1156</f>
        <v>Belanja Jasa Sewa</v>
      </c>
      <c r="I538" s="32"/>
      <c r="J538" s="32"/>
      <c r="K538" s="174"/>
      <c r="L538" s="66"/>
    </row>
    <row r="539" spans="1:12" ht="29.25" customHeight="1" x14ac:dyDescent="0.25">
      <c r="A539" s="32"/>
      <c r="B539" s="32"/>
      <c r="C539" s="32"/>
      <c r="D539" s="32"/>
      <c r="E539" s="32"/>
      <c r="F539" s="32"/>
      <c r="G539" s="1340" t="s">
        <v>2703</v>
      </c>
      <c r="H539" s="66" t="str">
        <f>'BID II'!B1157</f>
        <v>Belanja Jasa Sewa Mobilitas</v>
      </c>
      <c r="I539" s="32"/>
      <c r="J539" s="32"/>
      <c r="K539" s="174">
        <f>'BID II'!F1158</f>
        <v>2000000</v>
      </c>
      <c r="L539" s="66" t="s">
        <v>2620</v>
      </c>
    </row>
    <row r="540" spans="1:12" ht="60" x14ac:dyDescent="0.25">
      <c r="A540" s="1344">
        <v>2</v>
      </c>
      <c r="B540" s="1344">
        <v>2</v>
      </c>
      <c r="C540" s="1346" t="s">
        <v>2705</v>
      </c>
      <c r="D540" s="1344"/>
      <c r="E540" s="1344"/>
      <c r="F540" s="1344"/>
      <c r="G540" s="1344"/>
      <c r="H540" s="1345" t="str">
        <f>'BID II'!B1173</f>
        <v xml:space="preserve"> :  Pengasuhan Bersama atau Bina Keluarga Remaja (Penyelenggaraan BKR)</v>
      </c>
      <c r="I540" s="1344"/>
      <c r="J540" s="1344"/>
      <c r="K540" s="1347">
        <f>SUM(K541:K546)</f>
        <v>7471000</v>
      </c>
      <c r="L540" s="1345" t="s">
        <v>2621</v>
      </c>
    </row>
    <row r="541" spans="1:12" x14ac:dyDescent="0.25">
      <c r="A541" s="32"/>
      <c r="B541" s="32"/>
      <c r="C541" s="32"/>
      <c r="D541" s="32">
        <v>5</v>
      </c>
      <c r="E541" s="32">
        <v>2</v>
      </c>
      <c r="F541" s="32"/>
      <c r="G541" s="32"/>
      <c r="H541" s="32" t="str">
        <f>'BID II'!B1178</f>
        <v>Belanja Barang Jasa</v>
      </c>
      <c r="I541" s="32"/>
      <c r="J541" s="32"/>
      <c r="K541" s="32"/>
      <c r="L541" s="66"/>
    </row>
    <row r="542" spans="1:12" ht="30" x14ac:dyDescent="0.25">
      <c r="A542" s="32"/>
      <c r="B542" s="32"/>
      <c r="C542" s="32"/>
      <c r="D542" s="32"/>
      <c r="E542" s="32"/>
      <c r="F542" s="32">
        <v>1</v>
      </c>
      <c r="G542" s="32"/>
      <c r="H542" s="66" t="str">
        <f>'BID II'!B1179</f>
        <v>Belanja Barang Perlengkapan</v>
      </c>
      <c r="I542" s="32"/>
      <c r="J542" s="32"/>
      <c r="K542" s="32"/>
      <c r="L542" s="66"/>
    </row>
    <row r="543" spans="1:12" ht="30" x14ac:dyDescent="0.25">
      <c r="A543" s="32"/>
      <c r="B543" s="32"/>
      <c r="C543" s="32"/>
      <c r="D543" s="32"/>
      <c r="E543" s="32"/>
      <c r="F543" s="32"/>
      <c r="G543" s="1340" t="s">
        <v>2688</v>
      </c>
      <c r="H543" s="66" t="str">
        <f>'BID II'!B1180</f>
        <v>Belanja Alat Tulis Kantor dan Benda Pos</v>
      </c>
      <c r="I543" s="32"/>
      <c r="J543" s="32"/>
      <c r="K543" s="470">
        <f>'BID II'!F1181+'BID II'!F1182+'BID II'!F1183</f>
        <v>571000</v>
      </c>
      <c r="L543" s="66" t="s">
        <v>2621</v>
      </c>
    </row>
    <row r="544" spans="1:12" ht="30" x14ac:dyDescent="0.25">
      <c r="A544" s="32"/>
      <c r="B544" s="32"/>
      <c r="C544" s="32"/>
      <c r="D544" s="32"/>
      <c r="E544" s="32"/>
      <c r="F544" s="32"/>
      <c r="G544" s="1340" t="s">
        <v>2705</v>
      </c>
      <c r="H544" s="66" t="str">
        <f>'BID II'!B1185</f>
        <v>Belanja Perlengkapan Barang Konsumsi</v>
      </c>
      <c r="I544" s="32"/>
      <c r="J544" s="32"/>
      <c r="K544" s="174">
        <f>'BID II'!F1187</f>
        <v>900000</v>
      </c>
      <c r="L544" s="66" t="s">
        <v>2621</v>
      </c>
    </row>
    <row r="545" spans="1:13" x14ac:dyDescent="0.25">
      <c r="A545" s="32"/>
      <c r="B545" s="32"/>
      <c r="C545" s="32"/>
      <c r="D545" s="32">
        <v>5</v>
      </c>
      <c r="E545" s="32">
        <v>2</v>
      </c>
      <c r="F545" s="32">
        <v>2</v>
      </c>
      <c r="G545" s="32"/>
      <c r="H545" s="66" t="str">
        <f>'BID II'!B1189</f>
        <v>Belanja Jasa Honorarium</v>
      </c>
      <c r="I545" s="32"/>
      <c r="J545" s="32"/>
      <c r="K545" s="32"/>
      <c r="L545" s="66"/>
    </row>
    <row r="546" spans="1:13" ht="30" x14ac:dyDescent="0.25">
      <c r="A546" s="32"/>
      <c r="B546" s="32"/>
      <c r="C546" s="32"/>
      <c r="D546" s="32"/>
      <c r="E546" s="32"/>
      <c r="F546" s="32"/>
      <c r="G546" s="1340" t="s">
        <v>2706</v>
      </c>
      <c r="H546" s="66" t="str">
        <f>'BID II'!B1190</f>
        <v>Belanja Jasa Honorarium Petugas</v>
      </c>
      <c r="I546" s="32"/>
      <c r="J546" s="32"/>
      <c r="K546" s="174">
        <f>SUM('BID II'!F1191)</f>
        <v>6000000</v>
      </c>
      <c r="L546" s="66" t="s">
        <v>2621</v>
      </c>
    </row>
    <row r="547" spans="1:13" x14ac:dyDescent="0.25">
      <c r="A547" s="1344">
        <v>2</v>
      </c>
      <c r="B547" s="1344">
        <v>2</v>
      </c>
      <c r="C547" s="1344">
        <v>91</v>
      </c>
      <c r="D547" s="1344"/>
      <c r="E547" s="1344"/>
      <c r="F547" s="1344"/>
      <c r="G547" s="1344"/>
      <c r="H547" s="1344" t="str">
        <f>'BID II'!B1270</f>
        <v>:  Foging Fokus</v>
      </c>
      <c r="I547" s="1344"/>
      <c r="J547" s="1344"/>
      <c r="K547" s="1347">
        <f>SUM(K548:K556)</f>
        <v>42360000</v>
      </c>
      <c r="L547" s="1345" t="s">
        <v>1682</v>
      </c>
    </row>
    <row r="548" spans="1:13" x14ac:dyDescent="0.25">
      <c r="A548" s="32"/>
      <c r="B548" s="32"/>
      <c r="C548" s="32"/>
      <c r="D548" s="32">
        <v>5</v>
      </c>
      <c r="E548" s="32">
        <v>2</v>
      </c>
      <c r="F548" s="32"/>
      <c r="G548" s="32"/>
      <c r="H548" s="66" t="str">
        <f>'BID II'!B1277</f>
        <v xml:space="preserve">Belanja Barang dan Jasa </v>
      </c>
      <c r="I548" s="32"/>
      <c r="J548" s="32"/>
      <c r="K548" s="32"/>
      <c r="L548" s="66"/>
    </row>
    <row r="549" spans="1:13" ht="30" x14ac:dyDescent="0.25">
      <c r="A549" s="32"/>
      <c r="B549" s="32"/>
      <c r="C549" s="32"/>
      <c r="D549" s="32"/>
      <c r="E549" s="32"/>
      <c r="F549" s="32">
        <v>1</v>
      </c>
      <c r="G549" s="32"/>
      <c r="H549" s="66" t="str">
        <f>'BID II'!B1278</f>
        <v>Belanja Barang perlengkapan</v>
      </c>
      <c r="I549" s="32"/>
      <c r="J549" s="32"/>
      <c r="K549" s="32"/>
      <c r="L549" s="66"/>
    </row>
    <row r="550" spans="1:13" ht="30" x14ac:dyDescent="0.25">
      <c r="A550" s="32"/>
      <c r="B550" s="32"/>
      <c r="C550" s="32"/>
      <c r="D550" s="32"/>
      <c r="E550" s="32"/>
      <c r="F550" s="32"/>
      <c r="G550" s="1340" t="s">
        <v>2705</v>
      </c>
      <c r="H550" s="66" t="str">
        <f>'BID II'!B1281</f>
        <v>Belanja Perlengkapan Barang konsumsi</v>
      </c>
      <c r="I550" s="32"/>
      <c r="J550" s="32"/>
      <c r="K550" s="174">
        <f>'BID II'!F1282</f>
        <v>900000</v>
      </c>
      <c r="L550" s="66" t="s">
        <v>1682</v>
      </c>
    </row>
    <row r="551" spans="1:13" x14ac:dyDescent="0.25">
      <c r="A551" s="32"/>
      <c r="B551" s="32"/>
      <c r="C551" s="32"/>
      <c r="D551" s="32"/>
      <c r="E551" s="32"/>
      <c r="F551" s="32"/>
      <c r="G551" s="1340" t="s">
        <v>2708</v>
      </c>
      <c r="H551" s="32" t="str">
        <f>'BID II'!B1284</f>
        <v>Belanja Bahan /Material</v>
      </c>
      <c r="I551" s="32"/>
      <c r="J551" s="32"/>
      <c r="K551" s="174">
        <f>SUM('BID II'!F1285:F1290)</f>
        <v>32310000</v>
      </c>
      <c r="L551" s="66" t="s">
        <v>1682</v>
      </c>
    </row>
    <row r="552" spans="1:13" x14ac:dyDescent="0.25">
      <c r="A552" s="32"/>
      <c r="B552" s="32"/>
      <c r="C552" s="32"/>
      <c r="D552" s="32">
        <v>5</v>
      </c>
      <c r="E552" s="32">
        <v>2</v>
      </c>
      <c r="F552" s="32">
        <v>2</v>
      </c>
      <c r="G552" s="32"/>
      <c r="H552" s="66" t="str">
        <f>'BID II'!B1291</f>
        <v>Belanja Jasa Honorarium</v>
      </c>
      <c r="I552" s="32"/>
      <c r="J552" s="32"/>
      <c r="K552" s="32"/>
      <c r="L552" s="66"/>
    </row>
    <row r="553" spans="1:13" ht="45" x14ac:dyDescent="0.25">
      <c r="A553" s="32"/>
      <c r="B553" s="32"/>
      <c r="C553" s="32"/>
      <c r="D553" s="32"/>
      <c r="E553" s="32"/>
      <c r="F553" s="32"/>
      <c r="G553" s="1340" t="s">
        <v>2688</v>
      </c>
      <c r="H553" s="66" t="str">
        <f>'BID II'!B1292</f>
        <v>Belanja Jasa Honorarium Tim Yang Melaksanakan kegiatan</v>
      </c>
      <c r="I553" s="32"/>
      <c r="J553" s="32"/>
      <c r="K553" s="174">
        <f>SUM('BID II'!F1293:F1295)</f>
        <v>1150000</v>
      </c>
      <c r="L553" s="66" t="s">
        <v>1682</v>
      </c>
    </row>
    <row r="554" spans="1:13" ht="30" x14ac:dyDescent="0.25">
      <c r="A554" s="32"/>
      <c r="B554" s="32"/>
      <c r="C554" s="32"/>
      <c r="D554" s="32"/>
      <c r="E554" s="32"/>
      <c r="F554" s="32"/>
      <c r="G554" s="1340" t="s">
        <v>2706</v>
      </c>
      <c r="H554" s="66" t="str">
        <f>'BID II'!B1297</f>
        <v>Belanja Jasa Honorarium Petugas</v>
      </c>
      <c r="I554" s="32"/>
      <c r="J554" s="32"/>
      <c r="K554" s="174">
        <f>SUM('BID II'!F1298)</f>
        <v>3000000</v>
      </c>
      <c r="L554" s="66" t="s">
        <v>1682</v>
      </c>
    </row>
    <row r="555" spans="1:13" x14ac:dyDescent="0.25">
      <c r="A555" s="32"/>
      <c r="B555" s="32"/>
      <c r="C555" s="32"/>
      <c r="D555" s="32">
        <v>5</v>
      </c>
      <c r="E555" s="32">
        <v>2</v>
      </c>
      <c r="F555" s="32">
        <v>6</v>
      </c>
      <c r="G555" s="32"/>
      <c r="H555" s="32" t="str">
        <f>'BID II'!B1300</f>
        <v>Belanja pemeliharaan</v>
      </c>
      <c r="I555" s="32"/>
      <c r="J555" s="32"/>
      <c r="K555" s="32"/>
      <c r="L555" s="66"/>
    </row>
    <row r="556" spans="1:13" x14ac:dyDescent="0.25">
      <c r="A556" s="32"/>
      <c r="B556" s="32"/>
      <c r="C556" s="32"/>
      <c r="D556" s="32"/>
      <c r="E556" s="32"/>
      <c r="F556" s="32"/>
      <c r="G556" s="1340" t="s">
        <v>2688</v>
      </c>
      <c r="H556" s="32" t="str">
        <f>'BID II'!B1301</f>
        <v>Perawatan Mesin</v>
      </c>
      <c r="I556" s="32"/>
      <c r="J556" s="32"/>
      <c r="K556" s="174">
        <f>'BID II'!F1301</f>
        <v>5000000</v>
      </c>
      <c r="L556" s="66" t="s">
        <v>1682</v>
      </c>
    </row>
    <row r="557" spans="1:13" ht="30" x14ac:dyDescent="0.25">
      <c r="A557" s="1344">
        <v>2</v>
      </c>
      <c r="B557" s="1344">
        <v>2</v>
      </c>
      <c r="C557" s="1344">
        <v>92</v>
      </c>
      <c r="D557" s="1344"/>
      <c r="E557" s="1344"/>
      <c r="F557" s="1344"/>
      <c r="G557" s="1344"/>
      <c r="H557" s="1345" t="str">
        <f>'BID II'!B1316</f>
        <v>: Gerakan Serentak PSN dan Lomba PSN</v>
      </c>
      <c r="I557" s="1344"/>
      <c r="J557" s="1344"/>
      <c r="K557" s="1347">
        <f>SUM(K558:K573)</f>
        <v>45123000</v>
      </c>
      <c r="L557" s="1345" t="s">
        <v>2620</v>
      </c>
      <c r="M557" s="175">
        <f>'BID II'!F1371</f>
        <v>45123000</v>
      </c>
    </row>
    <row r="558" spans="1:13" x14ac:dyDescent="0.25">
      <c r="A558" s="32"/>
      <c r="B558" s="32"/>
      <c r="C558" s="32"/>
      <c r="D558" s="32">
        <v>5</v>
      </c>
      <c r="E558" s="32">
        <v>2</v>
      </c>
      <c r="F558" s="32"/>
      <c r="G558" s="32"/>
      <c r="H558" s="66" t="str">
        <f>'BID II'!B1324</f>
        <v xml:space="preserve">Belanja Barang dan Jasa </v>
      </c>
      <c r="I558" s="32"/>
      <c r="J558" s="32"/>
      <c r="K558" s="32"/>
      <c r="L558" s="66"/>
    </row>
    <row r="559" spans="1:13" ht="30" x14ac:dyDescent="0.25">
      <c r="A559" s="32"/>
      <c r="B559" s="32"/>
      <c r="C559" s="32"/>
      <c r="D559" s="32"/>
      <c r="E559" s="32"/>
      <c r="F559" s="32">
        <v>1</v>
      </c>
      <c r="G559" s="32"/>
      <c r="H559" s="66" t="str">
        <f>'BID II'!B1325</f>
        <v>Belanja Barang perlengkapan</v>
      </c>
      <c r="I559" s="32"/>
      <c r="J559" s="32"/>
      <c r="K559" s="32"/>
      <c r="L559" s="66"/>
    </row>
    <row r="560" spans="1:13" ht="45" x14ac:dyDescent="0.25">
      <c r="A560" s="32"/>
      <c r="B560" s="32"/>
      <c r="C560" s="32"/>
      <c r="D560" s="32"/>
      <c r="E560" s="32"/>
      <c r="F560" s="32"/>
      <c r="G560" s="1340" t="s">
        <v>2688</v>
      </c>
      <c r="H560" s="66" t="str">
        <f>'BID II'!B1326</f>
        <v>Belanja Perlengkapan Alat Tulis Kantor Dan Benda Pos</v>
      </c>
      <c r="I560" s="32"/>
      <c r="J560" s="32"/>
      <c r="K560" s="174">
        <f>SUM('BID II'!F1327:F1329)</f>
        <v>188000</v>
      </c>
      <c r="L560" s="66" t="s">
        <v>2620</v>
      </c>
    </row>
    <row r="561" spans="1:13" ht="30" x14ac:dyDescent="0.25">
      <c r="A561" s="32"/>
      <c r="B561" s="32"/>
      <c r="C561" s="32"/>
      <c r="D561" s="32"/>
      <c r="E561" s="32"/>
      <c r="F561" s="32"/>
      <c r="G561" s="1340" t="s">
        <v>2705</v>
      </c>
      <c r="H561" s="66" t="str">
        <f>'BID II'!B1331</f>
        <v>Belanja Perlengkapan Barang Konsumsi</v>
      </c>
      <c r="I561" s="32"/>
      <c r="J561" s="32"/>
      <c r="K561" s="174">
        <f>SUM('BID II'!F1332:F1333)</f>
        <v>20175000</v>
      </c>
      <c r="L561" s="66" t="s">
        <v>2620</v>
      </c>
    </row>
    <row r="562" spans="1:13" ht="30" x14ac:dyDescent="0.25">
      <c r="A562" s="32"/>
      <c r="B562" s="32"/>
      <c r="C562" s="32"/>
      <c r="D562" s="32"/>
      <c r="E562" s="32"/>
      <c r="F562" s="32"/>
      <c r="G562" s="1340" t="s">
        <v>2707</v>
      </c>
      <c r="H562" s="66" t="str">
        <f>'BID II'!B1335</f>
        <v>Belanja Bendera/ Umbul-umbul/ Spanduk</v>
      </c>
      <c r="I562" s="32"/>
      <c r="J562" s="32"/>
      <c r="K562" s="174">
        <f>'BID II'!F1336+'BID II'!F1337</f>
        <v>4170000</v>
      </c>
      <c r="L562" s="66" t="s">
        <v>2620</v>
      </c>
    </row>
    <row r="563" spans="1:13" x14ac:dyDescent="0.25">
      <c r="A563" s="32"/>
      <c r="B563" s="32"/>
      <c r="C563" s="32"/>
      <c r="D563" s="32"/>
      <c r="E563" s="32"/>
      <c r="F563" s="32"/>
      <c r="G563" s="32"/>
      <c r="H563" s="32" t="str">
        <f>'BID II'!B1339</f>
        <v>Lomba PSN</v>
      </c>
      <c r="I563" s="32"/>
      <c r="J563" s="32"/>
      <c r="K563" s="32"/>
      <c r="L563" s="66"/>
    </row>
    <row r="564" spans="1:13" x14ac:dyDescent="0.25">
      <c r="A564" s="32"/>
      <c r="B564" s="32"/>
      <c r="C564" s="32"/>
      <c r="D564" s="32">
        <v>5</v>
      </c>
      <c r="E564" s="32">
        <v>2</v>
      </c>
      <c r="F564" s="32"/>
      <c r="G564" s="32"/>
      <c r="H564" s="66" t="str">
        <f>'BID II'!B1341</f>
        <v xml:space="preserve">Belanja Barang dan Jasa </v>
      </c>
      <c r="I564" s="32"/>
      <c r="J564" s="32"/>
      <c r="K564" s="32"/>
      <c r="L564" s="66"/>
    </row>
    <row r="565" spans="1:13" ht="30" x14ac:dyDescent="0.25">
      <c r="A565" s="32"/>
      <c r="B565" s="32"/>
      <c r="C565" s="32"/>
      <c r="D565" s="32"/>
      <c r="E565" s="32"/>
      <c r="F565" s="32">
        <v>1</v>
      </c>
      <c r="G565" s="32"/>
      <c r="H565" s="66" t="str">
        <f>'BID II'!B1342</f>
        <v>Belanja Barang perlengkapan</v>
      </c>
      <c r="I565" s="32"/>
      <c r="J565" s="32"/>
      <c r="K565" s="32"/>
      <c r="L565" s="66"/>
    </row>
    <row r="566" spans="1:13" ht="30" x14ac:dyDescent="0.25">
      <c r="A566" s="32"/>
      <c r="B566" s="32"/>
      <c r="C566" s="32"/>
      <c r="D566" s="32"/>
      <c r="E566" s="32"/>
      <c r="F566" s="32"/>
      <c r="G566" s="1340" t="s">
        <v>2705</v>
      </c>
      <c r="H566" s="66" t="str">
        <f>'BID II'!B1343</f>
        <v>Belanja Perlengkapan Barang Konsumsi</v>
      </c>
      <c r="I566" s="32"/>
      <c r="J566" s="32"/>
      <c r="K566" s="174">
        <f>SUM('BID II'!F1344:F1345)</f>
        <v>1500000</v>
      </c>
      <c r="L566" s="66" t="s">
        <v>2620</v>
      </c>
    </row>
    <row r="567" spans="1:13" ht="30" x14ac:dyDescent="0.25">
      <c r="A567" s="32"/>
      <c r="B567" s="32"/>
      <c r="C567" s="32"/>
      <c r="D567" s="32"/>
      <c r="E567" s="32"/>
      <c r="F567" s="32"/>
      <c r="G567" s="1340" t="s">
        <v>2707</v>
      </c>
      <c r="H567" s="66" t="str">
        <f>'BID II'!B1347</f>
        <v>Belanja Bendera/ Umbul-umbul/ Spanduk</v>
      </c>
      <c r="I567" s="32"/>
      <c r="J567" s="32"/>
      <c r="K567" s="174">
        <f>'BID II'!F1348</f>
        <v>1170000</v>
      </c>
      <c r="L567" s="66" t="s">
        <v>2620</v>
      </c>
    </row>
    <row r="568" spans="1:13" ht="30" x14ac:dyDescent="0.25">
      <c r="A568" s="32"/>
      <c r="B568" s="32"/>
      <c r="C568" s="32"/>
      <c r="D568" s="32"/>
      <c r="E568" s="32"/>
      <c r="F568" s="32"/>
      <c r="G568" s="1340" t="s">
        <v>2709</v>
      </c>
      <c r="H568" s="66" t="str">
        <f>'BID II'!B1350</f>
        <v>Belanja Pakaian Dinas / Seragam/ Atribut</v>
      </c>
      <c r="I568" s="32"/>
      <c r="J568" s="32"/>
      <c r="K568" s="174">
        <f>SUM('BID II'!F1351:F1355)</f>
        <v>3520000</v>
      </c>
      <c r="L568" s="66" t="s">
        <v>2620</v>
      </c>
    </row>
    <row r="569" spans="1:13" x14ac:dyDescent="0.25">
      <c r="A569" s="32"/>
      <c r="B569" s="32"/>
      <c r="C569" s="32"/>
      <c r="D569" s="32">
        <v>5</v>
      </c>
      <c r="E569" s="32">
        <v>2</v>
      </c>
      <c r="F569" s="32">
        <v>2</v>
      </c>
      <c r="G569" s="32"/>
      <c r="H569" s="66" t="str">
        <f>'BID II'!B1357</f>
        <v>Belanaj Jasa Honorarium</v>
      </c>
      <c r="I569" s="32"/>
      <c r="J569" s="32"/>
      <c r="K569" s="32"/>
      <c r="L569" s="66"/>
    </row>
    <row r="570" spans="1:13" ht="30" x14ac:dyDescent="0.25">
      <c r="A570" s="32"/>
      <c r="B570" s="32"/>
      <c r="C570" s="32"/>
      <c r="D570" s="32"/>
      <c r="E570" s="32"/>
      <c r="F570" s="32"/>
      <c r="G570" s="1340" t="s">
        <v>2688</v>
      </c>
      <c r="H570" s="66" t="str">
        <f>'BID II'!B1358</f>
        <v>Honor Tim yang Melaksanakan Kegiatan</v>
      </c>
      <c r="I570" s="32"/>
      <c r="J570" s="32"/>
      <c r="K570" s="174">
        <f>'BID II'!F1359+'BID II'!F1360</f>
        <v>700000</v>
      </c>
      <c r="L570" s="66" t="s">
        <v>2620</v>
      </c>
    </row>
    <row r="571" spans="1:13" ht="60" x14ac:dyDescent="0.25">
      <c r="A571" s="32"/>
      <c r="B571" s="32"/>
      <c r="C571" s="32"/>
      <c r="D571" s="32"/>
      <c r="E571" s="32"/>
      <c r="F571" s="32"/>
      <c r="G571" s="1340" t="s">
        <v>2704</v>
      </c>
      <c r="H571" s="66" t="str">
        <f>'BID II'!B1362</f>
        <v>Belanja Jasa Honorarium Ahli/ Profesi/Konsultan/Narasumber</v>
      </c>
      <c r="I571" s="32"/>
      <c r="J571" s="32"/>
      <c r="K571" s="174">
        <f>'BID II'!F1363</f>
        <v>4200000</v>
      </c>
      <c r="L571" s="66" t="s">
        <v>2620</v>
      </c>
    </row>
    <row r="572" spans="1:13" ht="30" x14ac:dyDescent="0.25">
      <c r="A572" s="32"/>
      <c r="B572" s="32"/>
      <c r="C572" s="32"/>
      <c r="D572" s="32">
        <v>5</v>
      </c>
      <c r="E572" s="32">
        <v>2</v>
      </c>
      <c r="F572" s="32">
        <v>7</v>
      </c>
      <c r="G572" s="32"/>
      <c r="H572" s="66" t="str">
        <f>'BID II'!B1365</f>
        <v>Belanja Barang dan Jasa Yang Di Serahkan</v>
      </c>
      <c r="I572" s="32"/>
      <c r="J572" s="32"/>
      <c r="K572" s="32"/>
      <c r="L572" s="66"/>
    </row>
    <row r="573" spans="1:13" x14ac:dyDescent="0.25">
      <c r="A573" s="32"/>
      <c r="B573" s="32"/>
      <c r="C573" s="32"/>
      <c r="D573" s="32"/>
      <c r="E573" s="32"/>
      <c r="F573" s="32"/>
      <c r="G573" s="32">
        <v>90</v>
      </c>
      <c r="H573" s="66" t="str">
        <f>'BID II'!B1366</f>
        <v>Hadiah</v>
      </c>
      <c r="I573" s="32"/>
      <c r="J573" s="32"/>
      <c r="K573" s="174">
        <f>SUM('BID II'!F1367:F1369)</f>
        <v>9500000</v>
      </c>
      <c r="L573" s="66" t="s">
        <v>2620</v>
      </c>
    </row>
    <row r="574" spans="1:13" ht="30" x14ac:dyDescent="0.25">
      <c r="A574" s="1344">
        <v>2</v>
      </c>
      <c r="B574" s="1344">
        <v>2</v>
      </c>
      <c r="C574" s="1344">
        <v>93</v>
      </c>
      <c r="D574" s="1344"/>
      <c r="E574" s="1344"/>
      <c r="F574" s="1344"/>
      <c r="G574" s="1344"/>
      <c r="H574" s="1345" t="str">
        <f>'BID II'!B1384</f>
        <v xml:space="preserve">Penyelengggaraan TPPS Desa </v>
      </c>
      <c r="I574" s="1344"/>
      <c r="J574" s="1344"/>
      <c r="K574" s="1347">
        <f>SUM(K575:K580)</f>
        <v>6108500</v>
      </c>
      <c r="L574" s="1345" t="s">
        <v>2625</v>
      </c>
      <c r="M574" s="175">
        <f>K574+K581</f>
        <v>9268500</v>
      </c>
    </row>
    <row r="575" spans="1:13" x14ac:dyDescent="0.25">
      <c r="A575" s="32"/>
      <c r="B575" s="32"/>
      <c r="C575" s="32"/>
      <c r="D575" s="32">
        <v>5</v>
      </c>
      <c r="E575" s="32">
        <v>2</v>
      </c>
      <c r="F575" s="32"/>
      <c r="G575" s="32"/>
      <c r="H575" s="66" t="str">
        <f>'BID II'!B1389</f>
        <v>Belanja Barang Jasa :</v>
      </c>
      <c r="I575" s="32"/>
      <c r="J575" s="32"/>
      <c r="K575" s="32"/>
      <c r="L575" s="66"/>
    </row>
    <row r="576" spans="1:13" ht="30" x14ac:dyDescent="0.25">
      <c r="A576" s="32"/>
      <c r="B576" s="32"/>
      <c r="C576" s="32"/>
      <c r="D576" s="32"/>
      <c r="E576" s="32"/>
      <c r="F576" s="32">
        <v>1</v>
      </c>
      <c r="G576" s="32"/>
      <c r="H576" s="66" t="str">
        <f>'BID II'!B1390</f>
        <v>Belanja Barang Perlengkapan</v>
      </c>
      <c r="I576" s="32"/>
      <c r="J576" s="32"/>
      <c r="K576" s="32"/>
      <c r="L576" s="66"/>
    </row>
    <row r="577" spans="1:12" ht="45" x14ac:dyDescent="0.25">
      <c r="A577" s="32"/>
      <c r="B577" s="32"/>
      <c r="C577" s="32"/>
      <c r="D577" s="32"/>
      <c r="E577" s="32"/>
      <c r="F577" s="32"/>
      <c r="G577" s="1340" t="s">
        <v>2688</v>
      </c>
      <c r="H577" s="66" t="str">
        <f>'BID II'!B1391</f>
        <v>Belanja perlengkapan alat tulis kantor dan Benda Pos</v>
      </c>
      <c r="I577" s="32"/>
      <c r="J577" s="32"/>
      <c r="K577" s="513">
        <f>SUM('BID II'!F1392:F1399)</f>
        <v>1508500</v>
      </c>
      <c r="L577" s="66" t="s">
        <v>2625</v>
      </c>
    </row>
    <row r="578" spans="1:12" ht="60" x14ac:dyDescent="0.25">
      <c r="A578" s="32"/>
      <c r="B578" s="32"/>
      <c r="C578" s="32"/>
      <c r="D578" s="32"/>
      <c r="E578" s="32"/>
      <c r="F578" s="32"/>
      <c r="G578" s="1340" t="s">
        <v>2705</v>
      </c>
      <c r="H578" s="66" t="str">
        <f>'BID II'!B1403</f>
        <v>Belanja perlengkapan barang konsumsi (makan/ minum) Belanja Barang konsumsi</v>
      </c>
      <c r="I578" s="32"/>
      <c r="J578" s="32"/>
      <c r="K578" s="513">
        <f>'BID II'!F1404</f>
        <v>3000000</v>
      </c>
      <c r="L578" s="66" t="s">
        <v>2625</v>
      </c>
    </row>
    <row r="579" spans="1:12" ht="45" x14ac:dyDescent="0.25">
      <c r="A579" s="32"/>
      <c r="B579" s="32"/>
      <c r="C579" s="32"/>
      <c r="D579" s="32">
        <v>5</v>
      </c>
      <c r="E579" s="32">
        <v>2</v>
      </c>
      <c r="F579" s="32">
        <v>7</v>
      </c>
      <c r="G579" s="32"/>
      <c r="H579" s="66" t="str">
        <f>'BID II'!B1409</f>
        <v>Belanja Barang dan jasa yang diesrahkan kepada Masyarakat</v>
      </c>
      <c r="I579" s="32"/>
      <c r="J579" s="32"/>
      <c r="K579" s="32"/>
      <c r="L579" s="66"/>
    </row>
    <row r="580" spans="1:12" ht="30" x14ac:dyDescent="0.25">
      <c r="A580" s="32"/>
      <c r="B580" s="32"/>
      <c r="C580" s="32"/>
      <c r="D580" s="32"/>
      <c r="E580" s="32"/>
      <c r="F580" s="32"/>
      <c r="G580" s="32">
        <v>91</v>
      </c>
      <c r="H580" s="66" t="str">
        <f>'BID II'!B1410</f>
        <v>Belanja Uang Saku</v>
      </c>
      <c r="I580" s="32"/>
      <c r="J580" s="32"/>
      <c r="K580" s="470">
        <f>'BID II'!F1411</f>
        <v>1600000</v>
      </c>
      <c r="L580" s="66" t="s">
        <v>2625</v>
      </c>
    </row>
    <row r="581" spans="1:12" ht="30" x14ac:dyDescent="0.25">
      <c r="A581" s="1344">
        <v>2</v>
      </c>
      <c r="B581" s="1344">
        <v>2</v>
      </c>
      <c r="C581" s="1344">
        <v>93</v>
      </c>
      <c r="D581" s="1344"/>
      <c r="E581" s="1344"/>
      <c r="F581" s="1344"/>
      <c r="G581" s="1344"/>
      <c r="H581" s="1344" t="str">
        <f>'BID II'!B1425</f>
        <v>: Rembuk Stunting</v>
      </c>
      <c r="I581" s="1344"/>
      <c r="J581" s="1344"/>
      <c r="K581" s="1347">
        <f>SUM(K582:K589)</f>
        <v>3160000</v>
      </c>
      <c r="L581" s="1345" t="s">
        <v>2625</v>
      </c>
    </row>
    <row r="582" spans="1:12" x14ac:dyDescent="0.25">
      <c r="A582" s="32"/>
      <c r="B582" s="32"/>
      <c r="C582" s="32"/>
      <c r="D582" s="32">
        <v>5</v>
      </c>
      <c r="E582" s="32">
        <v>2</v>
      </c>
      <c r="F582" s="32"/>
      <c r="G582" s="32"/>
      <c r="H582" s="66" t="str">
        <f>'BID II'!B1428</f>
        <v>Belanja Barang Jasa</v>
      </c>
      <c r="I582" s="32"/>
      <c r="J582" s="32"/>
      <c r="K582" s="32"/>
      <c r="L582" s="66"/>
    </row>
    <row r="583" spans="1:12" ht="30" x14ac:dyDescent="0.25">
      <c r="A583" s="32"/>
      <c r="B583" s="32"/>
      <c r="C583" s="32"/>
      <c r="D583" s="32"/>
      <c r="E583" s="32"/>
      <c r="F583" s="32">
        <v>1</v>
      </c>
      <c r="G583" s="32"/>
      <c r="H583" s="66" t="str">
        <f>'BID II'!B1429</f>
        <v>Belanja Barang Perlengkapan</v>
      </c>
      <c r="I583" s="32"/>
      <c r="J583" s="32"/>
      <c r="K583" s="32"/>
      <c r="L583" s="66"/>
    </row>
    <row r="584" spans="1:12" ht="30" x14ac:dyDescent="0.25">
      <c r="A584" s="32"/>
      <c r="B584" s="32"/>
      <c r="C584" s="32"/>
      <c r="D584" s="32"/>
      <c r="E584" s="32"/>
      <c r="F584" s="32"/>
      <c r="G584" s="1340" t="s">
        <v>2688</v>
      </c>
      <c r="H584" s="66" t="str">
        <f>'BID II'!B1430</f>
        <v>Belanja Alat Tulis Kantor dan Benda Pos</v>
      </c>
      <c r="I584" s="32"/>
      <c r="J584" s="32"/>
      <c r="K584" s="174">
        <f>SUM('BID II'!F1431:F1434)</f>
        <v>520000</v>
      </c>
      <c r="L584" s="66" t="s">
        <v>2625</v>
      </c>
    </row>
    <row r="585" spans="1:12" ht="30" x14ac:dyDescent="0.25">
      <c r="A585" s="32"/>
      <c r="B585" s="32"/>
      <c r="C585" s="32"/>
      <c r="D585" s="32"/>
      <c r="E585" s="32"/>
      <c r="F585" s="32"/>
      <c r="G585" s="1340" t="s">
        <v>2705</v>
      </c>
      <c r="H585" s="66" t="str">
        <f>'BID II'!B1436</f>
        <v>Belanja Perlengkapan Barang Konsumsi</v>
      </c>
      <c r="I585" s="32"/>
      <c r="J585" s="32"/>
      <c r="K585" s="174">
        <f>'BID II'!F1437</f>
        <v>900000</v>
      </c>
      <c r="L585" s="66" t="s">
        <v>2625</v>
      </c>
    </row>
    <row r="586" spans="1:12" ht="30" x14ac:dyDescent="0.25">
      <c r="A586" s="32"/>
      <c r="B586" s="32"/>
      <c r="C586" s="32"/>
      <c r="D586" s="32"/>
      <c r="E586" s="32"/>
      <c r="F586" s="32"/>
      <c r="G586" s="1340" t="s">
        <v>2707</v>
      </c>
      <c r="H586" s="66" t="str">
        <f>'BID II'!B1439</f>
        <v>Belanja Bendera/ Umbul-umbul/ Spanduk</v>
      </c>
      <c r="I586" s="32"/>
      <c r="J586" s="32"/>
      <c r="K586" s="174">
        <f>'BID II'!F1440</f>
        <v>90000</v>
      </c>
      <c r="L586" s="66" t="s">
        <v>2625</v>
      </c>
    </row>
    <row r="587" spans="1:12" x14ac:dyDescent="0.25">
      <c r="A587" s="32"/>
      <c r="B587" s="32"/>
      <c r="C587" s="32"/>
      <c r="D587" s="32">
        <v>5</v>
      </c>
      <c r="E587" s="32">
        <v>2</v>
      </c>
      <c r="F587" s="32">
        <v>2</v>
      </c>
      <c r="G587" s="32"/>
      <c r="H587" s="66" t="str">
        <f>'BID II'!B1442</f>
        <v>Belanja Jasa Honorarium</v>
      </c>
      <c r="I587" s="32"/>
      <c r="J587" s="32"/>
      <c r="K587" s="32"/>
      <c r="L587" s="66"/>
    </row>
    <row r="588" spans="1:12" ht="45" x14ac:dyDescent="0.25">
      <c r="A588" s="32"/>
      <c r="B588" s="32"/>
      <c r="C588" s="32"/>
      <c r="D588" s="32"/>
      <c r="E588" s="32"/>
      <c r="F588" s="32"/>
      <c r="G588" s="1340" t="s">
        <v>2688</v>
      </c>
      <c r="H588" s="66" t="str">
        <f>'BID II'!B1443</f>
        <v>Belanja Jasa Honorarium Tim yang Melaksanakan Kegiatan (TPK )</v>
      </c>
      <c r="I588" s="32"/>
      <c r="J588" s="32"/>
      <c r="K588" s="174">
        <f>SUM('BID II'!F1444:F1446)</f>
        <v>1150000</v>
      </c>
      <c r="L588" s="66" t="s">
        <v>2625</v>
      </c>
    </row>
    <row r="589" spans="1:12" ht="60" x14ac:dyDescent="0.25">
      <c r="A589" s="32"/>
      <c r="B589" s="32"/>
      <c r="C589" s="32"/>
      <c r="D589" s="32"/>
      <c r="E589" s="32"/>
      <c r="F589" s="32"/>
      <c r="G589" s="1340" t="s">
        <v>2704</v>
      </c>
      <c r="H589" s="66" t="str">
        <f>'BID II'!B1448</f>
        <v>Belanja Jasa Honorarium Ahli/ Profesi/Konsultan/Narasumber</v>
      </c>
      <c r="I589" s="32"/>
      <c r="J589" s="32"/>
      <c r="K589" s="174">
        <f>'BID II'!F1449+'BID II'!F1450</f>
        <v>500000</v>
      </c>
      <c r="L589" s="66" t="s">
        <v>2625</v>
      </c>
    </row>
    <row r="590" spans="1:12" ht="30" x14ac:dyDescent="0.25">
      <c r="A590" s="1344">
        <v>2</v>
      </c>
      <c r="B590" s="1344">
        <v>2</v>
      </c>
      <c r="C590" s="1346" t="s">
        <v>2702</v>
      </c>
      <c r="D590" s="1344"/>
      <c r="E590" s="1344"/>
      <c r="F590" s="1344"/>
      <c r="G590" s="1344"/>
      <c r="H590" s="1345" t="str">
        <f>'BID II'!B1467</f>
        <v>: Pembinaan Posyandu Remaja</v>
      </c>
      <c r="I590" s="1344"/>
      <c r="J590" s="1344"/>
      <c r="K590" s="1347">
        <f>SUM(K591:K597)</f>
        <v>3526500</v>
      </c>
      <c r="L590" s="1345" t="s">
        <v>2625</v>
      </c>
    </row>
    <row r="591" spans="1:12" x14ac:dyDescent="0.25">
      <c r="A591" s="32"/>
      <c r="B591" s="32"/>
      <c r="C591" s="32"/>
      <c r="D591" s="32">
        <v>5</v>
      </c>
      <c r="E591" s="32">
        <v>2</v>
      </c>
      <c r="F591" s="32"/>
      <c r="G591" s="32"/>
      <c r="H591" s="66" t="str">
        <f>'BID II'!B1473</f>
        <v>Belanja Barang dan Jasa</v>
      </c>
      <c r="I591" s="32"/>
      <c r="J591" s="32"/>
      <c r="K591" s="32"/>
      <c r="L591" s="66"/>
    </row>
    <row r="592" spans="1:12" ht="30" x14ac:dyDescent="0.25">
      <c r="A592" s="32"/>
      <c r="B592" s="32"/>
      <c r="C592" s="32"/>
      <c r="D592" s="32"/>
      <c r="E592" s="32"/>
      <c r="F592" s="32">
        <v>1</v>
      </c>
      <c r="G592" s="32"/>
      <c r="H592" s="66" t="str">
        <f>'BID II'!B1474</f>
        <v>Belanaja Barang Pelengkapan</v>
      </c>
      <c r="I592" s="32"/>
      <c r="J592" s="32"/>
      <c r="K592" s="32"/>
      <c r="L592" s="66"/>
    </row>
    <row r="593" spans="1:12" ht="30" x14ac:dyDescent="0.25">
      <c r="A593" s="32"/>
      <c r="B593" s="32"/>
      <c r="C593" s="32"/>
      <c r="D593" s="32"/>
      <c r="E593" s="32"/>
      <c r="F593" s="32"/>
      <c r="G593" s="1340" t="s">
        <v>2688</v>
      </c>
      <c r="H593" s="66" t="str">
        <f>'BID II'!B1475</f>
        <v>Perlangakapan Alat Tulis Kantor dan Benda POS</v>
      </c>
      <c r="I593" s="32"/>
      <c r="J593" s="32"/>
      <c r="K593" s="174">
        <f>SUM('BID II'!F1476:F1480)</f>
        <v>2286500</v>
      </c>
      <c r="L593" s="66" t="s">
        <v>2625</v>
      </c>
    </row>
    <row r="594" spans="1:12" ht="30" x14ac:dyDescent="0.25">
      <c r="A594" s="32"/>
      <c r="B594" s="32"/>
      <c r="C594" s="32"/>
      <c r="D594" s="32"/>
      <c r="E594" s="32"/>
      <c r="F594" s="32"/>
      <c r="G594" s="1340" t="s">
        <v>2705</v>
      </c>
      <c r="H594" s="66" t="str">
        <f>'BID II'!B1482</f>
        <v>Belanja Perlengkapan Barang Konsumsi</v>
      </c>
      <c r="I594" s="32"/>
      <c r="J594" s="32"/>
      <c r="K594" s="174">
        <f>SUM('BID II'!F1484)</f>
        <v>450000</v>
      </c>
      <c r="L594" s="66" t="s">
        <v>2625</v>
      </c>
    </row>
    <row r="595" spans="1:12" ht="30" x14ac:dyDescent="0.25">
      <c r="A595" s="32"/>
      <c r="B595" s="32"/>
      <c r="C595" s="32"/>
      <c r="D595" s="32"/>
      <c r="E595" s="32"/>
      <c r="F595" s="32"/>
      <c r="G595" s="1340" t="s">
        <v>2707</v>
      </c>
      <c r="H595" s="66" t="str">
        <f>'BID II'!B1486</f>
        <v>Belanja Bendera/Umbul - umbul Spanduk</v>
      </c>
      <c r="I595" s="32"/>
      <c r="J595" s="32"/>
      <c r="K595" s="174">
        <f>'BID II'!F1487</f>
        <v>90000</v>
      </c>
      <c r="L595" s="66" t="s">
        <v>2625</v>
      </c>
    </row>
    <row r="596" spans="1:12" x14ac:dyDescent="0.25">
      <c r="A596" s="32"/>
      <c r="B596" s="32"/>
      <c r="C596" s="32"/>
      <c r="D596" s="32">
        <v>5</v>
      </c>
      <c r="E596" s="32">
        <v>2</v>
      </c>
      <c r="F596" s="32">
        <v>2</v>
      </c>
      <c r="G596" s="32"/>
      <c r="H596" s="1041" t="str">
        <f>'BID II'!B1489</f>
        <v>Belanja Honorarium</v>
      </c>
      <c r="I596" s="32"/>
      <c r="J596" s="32"/>
      <c r="K596" s="32"/>
      <c r="L596" s="66"/>
    </row>
    <row r="597" spans="1:12" ht="30" x14ac:dyDescent="0.25">
      <c r="A597" s="32"/>
      <c r="B597" s="32"/>
      <c r="C597" s="32"/>
      <c r="D597" s="32"/>
      <c r="E597" s="32"/>
      <c r="F597" s="32"/>
      <c r="G597" s="1340" t="s">
        <v>2704</v>
      </c>
      <c r="H597" s="1041" t="str">
        <f>'BID II'!B1490</f>
        <v xml:space="preserve">Honor Narasumber 2or </v>
      </c>
      <c r="I597" s="32"/>
      <c r="J597" s="32"/>
      <c r="K597" s="174">
        <f>'BID II'!F1490</f>
        <v>700000</v>
      </c>
      <c r="L597" s="66" t="s">
        <v>2625</v>
      </c>
    </row>
    <row r="598" spans="1:12" ht="30" x14ac:dyDescent="0.25">
      <c r="A598" s="1344">
        <v>2</v>
      </c>
      <c r="B598" s="1344">
        <v>2</v>
      </c>
      <c r="C598" s="1346" t="s">
        <v>2705</v>
      </c>
      <c r="D598" s="1344"/>
      <c r="E598" s="1344"/>
      <c r="F598" s="1344"/>
      <c r="G598" s="1344"/>
      <c r="H598" s="1345" t="str">
        <f>'BID II'!B1505</f>
        <v>Penyelenggaraan Posyandu Remaja</v>
      </c>
      <c r="I598" s="1344"/>
      <c r="J598" s="1344"/>
      <c r="K598" s="1347">
        <f>SUM(K599:K605)</f>
        <v>35530000</v>
      </c>
      <c r="L598" s="1345" t="s">
        <v>2625</v>
      </c>
    </row>
    <row r="599" spans="1:12" x14ac:dyDescent="0.25">
      <c r="A599" s="32"/>
      <c r="B599" s="32"/>
      <c r="C599" s="32"/>
      <c r="D599" s="32">
        <v>5</v>
      </c>
      <c r="E599" s="32">
        <v>2</v>
      </c>
      <c r="F599" s="32"/>
      <c r="G599" s="32"/>
      <c r="H599" s="66" t="str">
        <f>'BID II'!B1510</f>
        <v>Belanja Barang Jasa</v>
      </c>
      <c r="I599" s="32"/>
      <c r="J599" s="32"/>
      <c r="K599" s="32"/>
      <c r="L599" s="66"/>
    </row>
    <row r="600" spans="1:12" ht="30" x14ac:dyDescent="0.25">
      <c r="A600" s="32"/>
      <c r="B600" s="32"/>
      <c r="C600" s="32"/>
      <c r="D600" s="32"/>
      <c r="E600" s="32"/>
      <c r="F600" s="32">
        <v>1</v>
      </c>
      <c r="G600" s="32"/>
      <c r="H600" s="66" t="str">
        <f>'BID II'!B1511</f>
        <v>Belanja Barang Perlengkapan</v>
      </c>
      <c r="I600" s="32"/>
      <c r="J600" s="32"/>
      <c r="K600" s="32"/>
      <c r="L600" s="66"/>
    </row>
    <row r="601" spans="1:12" ht="30" x14ac:dyDescent="0.25">
      <c r="A601" s="32"/>
      <c r="B601" s="32"/>
      <c r="C601" s="32"/>
      <c r="D601" s="32"/>
      <c r="E601" s="32"/>
      <c r="F601" s="32"/>
      <c r="G601" s="1340" t="s">
        <v>2688</v>
      </c>
      <c r="H601" s="66" t="str">
        <f>'BID II'!B1512</f>
        <v>Belanja Alat Tulis Kantor dan Benda Pos</v>
      </c>
      <c r="I601" s="32"/>
      <c r="J601" s="32"/>
      <c r="K601" s="470">
        <f>SUM('BID II'!F1513:F1515)</f>
        <v>2480000</v>
      </c>
      <c r="L601" s="66" t="s">
        <v>2625</v>
      </c>
    </row>
    <row r="602" spans="1:12" ht="30" x14ac:dyDescent="0.25">
      <c r="A602" s="32"/>
      <c r="B602" s="32"/>
      <c r="C602" s="32"/>
      <c r="D602" s="32"/>
      <c r="E602" s="32"/>
      <c r="F602" s="32"/>
      <c r="G602" s="1340" t="s">
        <v>2705</v>
      </c>
      <c r="H602" s="66" t="str">
        <f>'BID II'!B1517</f>
        <v>Belanja Perlengkapan Barang Konsumsi</v>
      </c>
      <c r="I602" s="32"/>
      <c r="J602" s="32"/>
      <c r="K602" s="174">
        <f>'BID II'!F1519+'BID II'!F1520</f>
        <v>9700000</v>
      </c>
      <c r="L602" s="66" t="s">
        <v>2625</v>
      </c>
    </row>
    <row r="603" spans="1:12" ht="30" x14ac:dyDescent="0.25">
      <c r="A603" s="32"/>
      <c r="B603" s="32"/>
      <c r="C603" s="32"/>
      <c r="D603" s="32"/>
      <c r="E603" s="32"/>
      <c r="F603" s="32"/>
      <c r="G603" s="32">
        <v>10</v>
      </c>
      <c r="H603" s="32" t="str">
        <f>'BID II'!B1522</f>
        <v>Belanja Obat Obatan</v>
      </c>
      <c r="I603" s="32"/>
      <c r="J603" s="32"/>
      <c r="K603" s="174">
        <f>SUM('BID II'!F1523:F1525)</f>
        <v>5350000</v>
      </c>
      <c r="L603" s="66" t="s">
        <v>2625</v>
      </c>
    </row>
    <row r="604" spans="1:12" x14ac:dyDescent="0.25">
      <c r="A604" s="32"/>
      <c r="B604" s="32"/>
      <c r="C604" s="32"/>
      <c r="D604" s="32">
        <v>5</v>
      </c>
      <c r="E604" s="32">
        <v>2</v>
      </c>
      <c r="F604" s="32">
        <v>2</v>
      </c>
      <c r="G604" s="32"/>
      <c r="H604" s="32" t="str">
        <f>'BID II'!B1527</f>
        <v>Belanja Jasa Honorarium</v>
      </c>
      <c r="I604" s="32"/>
      <c r="J604" s="32"/>
      <c r="K604" s="32"/>
      <c r="L604" s="66"/>
    </row>
    <row r="605" spans="1:12" ht="30" x14ac:dyDescent="0.25">
      <c r="A605" s="32"/>
      <c r="B605" s="32"/>
      <c r="C605" s="32"/>
      <c r="D605" s="32"/>
      <c r="E605" s="32"/>
      <c r="F605" s="32"/>
      <c r="G605" s="1340" t="s">
        <v>2706</v>
      </c>
      <c r="H605" s="66" t="str">
        <f>'BID II'!B1528</f>
        <v>Belanja Jasa Honorarium Petugas</v>
      </c>
      <c r="I605" s="32"/>
      <c r="J605" s="32"/>
      <c r="K605" s="174">
        <f>SUM('BID II'!F1529)</f>
        <v>18000000</v>
      </c>
      <c r="L605" s="66" t="s">
        <v>2625</v>
      </c>
    </row>
    <row r="606" spans="1:12" ht="60" x14ac:dyDescent="0.25">
      <c r="A606" s="1344">
        <v>2</v>
      </c>
      <c r="B606" s="1344">
        <v>3</v>
      </c>
      <c r="C606" s="1346" t="s">
        <v>2702</v>
      </c>
      <c r="D606" s="1344"/>
      <c r="E606" s="1344"/>
      <c r="F606" s="1344"/>
      <c r="G606" s="1344"/>
      <c r="H606" s="1345" t="str">
        <f>'BID II'!B1545</f>
        <v>Pemeliharaan Jalan Lingkungan Permukiman/Gang Sekar Gunung</v>
      </c>
      <c r="I606" s="1344"/>
      <c r="J606" s="1344"/>
      <c r="K606" s="1347">
        <f>SUM(K607:K611)</f>
        <v>85218000</v>
      </c>
      <c r="L606" s="1345" t="s">
        <v>2626</v>
      </c>
    </row>
    <row r="607" spans="1:12" x14ac:dyDescent="0.25">
      <c r="A607" s="32"/>
      <c r="B607" s="32"/>
      <c r="C607" s="32"/>
      <c r="D607" s="32">
        <v>5</v>
      </c>
      <c r="E607" s="32">
        <v>3</v>
      </c>
      <c r="F607" s="32"/>
      <c r="G607" s="32"/>
      <c r="H607" s="66" t="str">
        <f>'BID II'!B1552</f>
        <v xml:space="preserve">Belanja Modal </v>
      </c>
      <c r="I607" s="32"/>
      <c r="J607" s="32"/>
      <c r="K607" s="470"/>
      <c r="L607" s="66"/>
    </row>
    <row r="608" spans="1:12" x14ac:dyDescent="0.25">
      <c r="A608" s="32"/>
      <c r="B608" s="32"/>
      <c r="C608" s="32"/>
      <c r="D608" s="32"/>
      <c r="E608" s="32"/>
      <c r="F608" s="32">
        <v>5</v>
      </c>
      <c r="G608" s="32"/>
      <c r="H608" s="66" t="str">
        <f>'BID II'!B1553</f>
        <v>Belanja Modal Jalan</v>
      </c>
      <c r="I608" s="32"/>
      <c r="J608" s="32"/>
      <c r="K608" s="470"/>
      <c r="L608" s="66"/>
    </row>
    <row r="609" spans="1:13" ht="30" x14ac:dyDescent="0.25">
      <c r="A609" s="32"/>
      <c r="B609" s="32"/>
      <c r="C609" s="32"/>
      <c r="D609" s="32"/>
      <c r="E609" s="32"/>
      <c r="F609" s="32"/>
      <c r="G609" s="1340" t="s">
        <v>2688</v>
      </c>
      <c r="H609" s="66" t="str">
        <f>'BID II'!B1554</f>
        <v>Honorarium Tim Yang Melaksanakan Kegiatan</v>
      </c>
      <c r="I609" s="32"/>
      <c r="J609" s="32"/>
      <c r="K609" s="470">
        <f>'BID II'!F1556</f>
        <v>1670000</v>
      </c>
      <c r="L609" s="66" t="s">
        <v>2626</v>
      </c>
    </row>
    <row r="610" spans="1:13" ht="30" x14ac:dyDescent="0.25">
      <c r="A610" s="32"/>
      <c r="B610" s="32"/>
      <c r="C610" s="32"/>
      <c r="D610" s="32"/>
      <c r="E610" s="32"/>
      <c r="F610" s="32"/>
      <c r="G610" s="1340" t="s">
        <v>2702</v>
      </c>
      <c r="H610" s="32" t="str">
        <f>'BID II'!B1557</f>
        <v>Belanja Upah</v>
      </c>
      <c r="I610" s="32"/>
      <c r="J610" s="32"/>
      <c r="K610" s="470">
        <f>'BID II'!F1560</f>
        <v>12896000</v>
      </c>
      <c r="L610" s="66" t="s">
        <v>2626</v>
      </c>
    </row>
    <row r="611" spans="1:13" ht="30" x14ac:dyDescent="0.25">
      <c r="A611" s="32"/>
      <c r="B611" s="32"/>
      <c r="C611" s="32"/>
      <c r="D611" s="32"/>
      <c r="E611" s="32"/>
      <c r="F611" s="32"/>
      <c r="G611" s="1340" t="s">
        <v>2703</v>
      </c>
      <c r="H611" s="32" t="str">
        <f>'BID II'!B1561</f>
        <v>Bahan Baku</v>
      </c>
      <c r="I611" s="32"/>
      <c r="J611" s="32"/>
      <c r="K611" s="470">
        <f>'BID II'!F1568</f>
        <v>70652000</v>
      </c>
      <c r="L611" s="66" t="s">
        <v>2626</v>
      </c>
    </row>
    <row r="612" spans="1:13" ht="75" x14ac:dyDescent="0.25">
      <c r="A612" s="1344">
        <v>2</v>
      </c>
      <c r="B612" s="1344">
        <v>3</v>
      </c>
      <c r="C612" s="1346" t="s">
        <v>2703</v>
      </c>
      <c r="D612" s="1344"/>
      <c r="E612" s="1344"/>
      <c r="F612" s="1344"/>
      <c r="G612" s="1346"/>
      <c r="H612" s="1345" t="str">
        <f>'BID II'!B1588</f>
        <v>: Pemeliharaan Jalan Usaha Tani (KETAHANAN PANGAN) (Subak Pohmanis Bongkar Paving)</v>
      </c>
      <c r="I612" s="1638">
        <v>211.05</v>
      </c>
      <c r="J612" s="1344" t="s">
        <v>539</v>
      </c>
      <c r="K612" s="1347">
        <f>SUM(K613:K616)</f>
        <v>3712000</v>
      </c>
      <c r="L612" s="1345" t="s">
        <v>2626</v>
      </c>
      <c r="M612" s="451">
        <f>K612+K617+K623+K629+K635+K641+K647</f>
        <v>259908250</v>
      </c>
    </row>
    <row r="613" spans="1:13" x14ac:dyDescent="0.25">
      <c r="A613" s="32"/>
      <c r="B613" s="32"/>
      <c r="C613" s="32"/>
      <c r="D613" s="32">
        <v>5</v>
      </c>
      <c r="E613" s="32">
        <v>3</v>
      </c>
      <c r="F613" s="32"/>
      <c r="G613" s="1340"/>
      <c r="H613" s="66" t="str">
        <f>'BID II'!B1595</f>
        <v xml:space="preserve">Belanja Modal </v>
      </c>
      <c r="I613" s="32"/>
      <c r="J613" s="32"/>
      <c r="K613" s="470"/>
      <c r="L613" s="66"/>
      <c r="M613" s="451">
        <v>259556250</v>
      </c>
    </row>
    <row r="614" spans="1:13" x14ac:dyDescent="0.25">
      <c r="A614" s="32"/>
      <c r="B614" s="32"/>
      <c r="C614" s="32"/>
      <c r="D614" s="32"/>
      <c r="E614" s="32"/>
      <c r="F614" s="32">
        <v>5</v>
      </c>
      <c r="G614" s="1340"/>
      <c r="H614" s="66" t="str">
        <f>'BID II'!B1596</f>
        <v>Belanja Modal Jalan</v>
      </c>
      <c r="I614" s="32"/>
      <c r="J614" s="32"/>
      <c r="K614" s="470"/>
      <c r="L614" s="66"/>
      <c r="M614" s="175">
        <f>M613-M612</f>
        <v>-352000</v>
      </c>
    </row>
    <row r="615" spans="1:13" ht="30" x14ac:dyDescent="0.25">
      <c r="A615" s="32"/>
      <c r="B615" s="32"/>
      <c r="C615" s="32"/>
      <c r="D615" s="32"/>
      <c r="E615" s="32"/>
      <c r="F615" s="32"/>
      <c r="G615" s="1340" t="s">
        <v>2688</v>
      </c>
      <c r="H615" s="66" t="str">
        <f>'BID II'!B1597</f>
        <v>Honorarium Tim Yang Melaksanakan Kegiatan</v>
      </c>
      <c r="I615" s="32"/>
      <c r="J615" s="32"/>
      <c r="K615" s="470">
        <f>'BID II'!F1599</f>
        <v>72000</v>
      </c>
      <c r="L615" s="66" t="s">
        <v>2626</v>
      </c>
    </row>
    <row r="616" spans="1:13" ht="30" x14ac:dyDescent="0.25">
      <c r="A616" s="32"/>
      <c r="B616" s="32"/>
      <c r="C616" s="32"/>
      <c r="D616" s="32"/>
      <c r="E616" s="32"/>
      <c r="F616" s="32"/>
      <c r="G616" s="1340" t="s">
        <v>2702</v>
      </c>
      <c r="H616" s="32" t="str">
        <f>'BID II'!B1600</f>
        <v>Belanja Upah</v>
      </c>
      <c r="I616" s="32"/>
      <c r="J616" s="32"/>
      <c r="K616" s="470">
        <f>'BID II'!F1602</f>
        <v>3640000</v>
      </c>
      <c r="L616" s="66" t="s">
        <v>2626</v>
      </c>
    </row>
    <row r="617" spans="1:13" ht="75" x14ac:dyDescent="0.25">
      <c r="A617" s="1344">
        <v>2</v>
      </c>
      <c r="B617" s="1344">
        <v>3</v>
      </c>
      <c r="C617" s="1346" t="s">
        <v>2703</v>
      </c>
      <c r="D617" s="1344"/>
      <c r="E617" s="1344"/>
      <c r="F617" s="1344"/>
      <c r="G617" s="1346"/>
      <c r="H617" s="1345" t="str">
        <f>'BID II'!B1622</f>
        <v>: Pemeliharaan Jalan Usaha Tani (KETAHANAN PANGAN) (Subak Pohmanis Urug Limestone)</v>
      </c>
      <c r="I617" s="1344">
        <v>11.79</v>
      </c>
      <c r="J617" s="1344" t="s">
        <v>984</v>
      </c>
      <c r="K617" s="1347">
        <f>SUM(K618:K622)</f>
        <v>54884000</v>
      </c>
      <c r="L617" s="1345" t="s">
        <v>2626</v>
      </c>
    </row>
    <row r="618" spans="1:13" x14ac:dyDescent="0.25">
      <c r="A618" s="32"/>
      <c r="B618" s="32"/>
      <c r="C618" s="32"/>
      <c r="D618" s="32">
        <v>5</v>
      </c>
      <c r="E618" s="32">
        <v>3</v>
      </c>
      <c r="F618" s="32"/>
      <c r="G618" s="1340"/>
      <c r="H618" s="66" t="str">
        <f>'BID II'!B1629</f>
        <v xml:space="preserve">Belanja Modal </v>
      </c>
      <c r="I618" s="32"/>
      <c r="J618" s="32"/>
      <c r="K618" s="470"/>
      <c r="L618" s="66"/>
    </row>
    <row r="619" spans="1:13" x14ac:dyDescent="0.25">
      <c r="A619" s="32"/>
      <c r="B619" s="32"/>
      <c r="C619" s="32"/>
      <c r="D619" s="32"/>
      <c r="E619" s="32"/>
      <c r="F619" s="32">
        <v>5</v>
      </c>
      <c r="G619" s="1340"/>
      <c r="H619" s="66" t="str">
        <f>'BID II'!B1630</f>
        <v>Belanja Modal Jalan</v>
      </c>
      <c r="I619" s="32"/>
      <c r="J619" s="32"/>
      <c r="K619" s="470"/>
      <c r="L619" s="66"/>
    </row>
    <row r="620" spans="1:13" ht="30" x14ac:dyDescent="0.25">
      <c r="A620" s="32"/>
      <c r="B620" s="32"/>
      <c r="C620" s="32"/>
      <c r="D620" s="32"/>
      <c r="E620" s="32"/>
      <c r="F620" s="32"/>
      <c r="G620" s="1340" t="s">
        <v>2688</v>
      </c>
      <c r="H620" s="66" t="str">
        <f>'BID II'!B1631</f>
        <v>Honorarium Tim Yang Melaksanakan Kegiatan</v>
      </c>
      <c r="I620" s="32"/>
      <c r="J620" s="32"/>
      <c r="K620" s="470">
        <f>'BID II'!F1633</f>
        <v>1076000</v>
      </c>
      <c r="L620" s="66" t="s">
        <v>2626</v>
      </c>
    </row>
    <row r="621" spans="1:13" ht="30" x14ac:dyDescent="0.25">
      <c r="A621" s="32"/>
      <c r="B621" s="32"/>
      <c r="C621" s="32"/>
      <c r="D621" s="32"/>
      <c r="E621" s="32"/>
      <c r="F621" s="32"/>
      <c r="G621" s="1340" t="s">
        <v>2702</v>
      </c>
      <c r="H621" s="32" t="str">
        <f>'BID II'!B1634</f>
        <v>Belanja Upah</v>
      </c>
      <c r="I621" s="32"/>
      <c r="J621" s="32"/>
      <c r="K621" s="470">
        <f>'BID II'!F1635</f>
        <v>1170000</v>
      </c>
      <c r="L621" s="66" t="s">
        <v>2626</v>
      </c>
    </row>
    <row r="622" spans="1:13" ht="30" x14ac:dyDescent="0.25">
      <c r="A622" s="32"/>
      <c r="B622" s="32"/>
      <c r="C622" s="32"/>
      <c r="D622" s="32"/>
      <c r="E622" s="32"/>
      <c r="F622" s="32"/>
      <c r="G622" s="1340" t="s">
        <v>2703</v>
      </c>
      <c r="H622" s="32" t="str">
        <f>'BID II'!B1638</f>
        <v>Bahan Baku</v>
      </c>
      <c r="I622" s="32"/>
      <c r="J622" s="32"/>
      <c r="K622" s="470">
        <f>'BID II'!F1642</f>
        <v>52638000</v>
      </c>
      <c r="L622" s="66" t="s">
        <v>2626</v>
      </c>
    </row>
    <row r="623" spans="1:13" ht="60" x14ac:dyDescent="0.25">
      <c r="A623" s="1344">
        <v>2</v>
      </c>
      <c r="B623" s="1344">
        <v>3</v>
      </c>
      <c r="C623" s="1346" t="s">
        <v>2703</v>
      </c>
      <c r="D623" s="1344"/>
      <c r="E623" s="1344"/>
      <c r="F623" s="1344"/>
      <c r="G623" s="1346"/>
      <c r="H623" s="1345" t="str">
        <f>'BID II'!B1661</f>
        <v>: Pemeliharaan Jalan Usaha Tani (KETAHANAN PAGAN) (Subak Pohmanis Urug Pasir)</v>
      </c>
      <c r="I623" s="1639">
        <v>14.175000000000001</v>
      </c>
      <c r="J623" s="1344" t="s">
        <v>984</v>
      </c>
      <c r="K623" s="1347">
        <f>SUM(K624:K628)</f>
        <v>10850000</v>
      </c>
      <c r="L623" s="1345" t="s">
        <v>1682</v>
      </c>
    </row>
    <row r="624" spans="1:13" x14ac:dyDescent="0.25">
      <c r="A624" s="32"/>
      <c r="B624" s="32"/>
      <c r="C624" s="32"/>
      <c r="D624" s="32">
        <v>5</v>
      </c>
      <c r="E624" s="32">
        <v>3</v>
      </c>
      <c r="F624" s="32"/>
      <c r="G624" s="1340"/>
      <c r="H624" s="66" t="str">
        <f>'BID II'!B1668</f>
        <v xml:space="preserve">Belanja Modal </v>
      </c>
      <c r="I624" s="32"/>
      <c r="J624" s="32"/>
      <c r="K624" s="470"/>
      <c r="L624" s="66"/>
    </row>
    <row r="625" spans="1:12" x14ac:dyDescent="0.25">
      <c r="A625" s="32"/>
      <c r="B625" s="32"/>
      <c r="C625" s="32"/>
      <c r="D625" s="32"/>
      <c r="E625" s="32"/>
      <c r="F625" s="32">
        <v>5</v>
      </c>
      <c r="G625" s="1340"/>
      <c r="H625" s="66" t="str">
        <f>'BID II'!B1669</f>
        <v>Belanja Modal Jalan</v>
      </c>
      <c r="I625" s="32"/>
      <c r="J625" s="32"/>
      <c r="K625" s="470"/>
      <c r="L625" s="66"/>
    </row>
    <row r="626" spans="1:12" ht="30" x14ac:dyDescent="0.25">
      <c r="A626" s="32"/>
      <c r="B626" s="32"/>
      <c r="C626" s="32"/>
      <c r="D626" s="32"/>
      <c r="E626" s="32"/>
      <c r="F626" s="32"/>
      <c r="G626" s="1340" t="s">
        <v>2688</v>
      </c>
      <c r="H626" s="66" t="str">
        <f>'BID II'!B1670</f>
        <v>Honorarium Tim Yang Melaksanakan Kegiatan</v>
      </c>
      <c r="I626" s="32"/>
      <c r="J626" s="32"/>
      <c r="K626" s="470">
        <f>'BID II'!F1672</f>
        <v>212000</v>
      </c>
      <c r="L626" s="66" t="s">
        <v>1682</v>
      </c>
    </row>
    <row r="627" spans="1:12" x14ac:dyDescent="0.25">
      <c r="A627" s="32"/>
      <c r="B627" s="32"/>
      <c r="C627" s="32"/>
      <c r="D627" s="32"/>
      <c r="E627" s="32"/>
      <c r="F627" s="32"/>
      <c r="G627" s="1340" t="s">
        <v>2702</v>
      </c>
      <c r="H627" s="32" t="str">
        <f>'BID II'!B1673</f>
        <v>Belanja Upah</v>
      </c>
      <c r="I627" s="32"/>
      <c r="J627" s="32"/>
      <c r="K627" s="470">
        <f>'BID II'!F1675</f>
        <v>1560000</v>
      </c>
      <c r="L627" s="66" t="s">
        <v>1682</v>
      </c>
    </row>
    <row r="628" spans="1:12" x14ac:dyDescent="0.25">
      <c r="A628" s="32"/>
      <c r="B628" s="32"/>
      <c r="C628" s="32"/>
      <c r="D628" s="32"/>
      <c r="E628" s="32"/>
      <c r="F628" s="32"/>
      <c r="G628" s="1340" t="s">
        <v>2703</v>
      </c>
      <c r="H628" s="32" t="str">
        <f>'BID II'!B1677</f>
        <v>Pasir Urug</v>
      </c>
      <c r="I628" s="32"/>
      <c r="J628" s="32"/>
      <c r="K628" s="470">
        <f>'BID II'!F1679</f>
        <v>9078000</v>
      </c>
      <c r="L628" s="66" t="s">
        <v>1682</v>
      </c>
    </row>
    <row r="629" spans="1:12" ht="45" x14ac:dyDescent="0.25">
      <c r="A629" s="1344">
        <v>2</v>
      </c>
      <c r="B629" s="1344">
        <v>3</v>
      </c>
      <c r="C629" s="1346" t="s">
        <v>2703</v>
      </c>
      <c r="D629" s="1344"/>
      <c r="E629" s="1344"/>
      <c r="F629" s="1344"/>
      <c r="G629" s="1346"/>
      <c r="H629" s="1345" t="str">
        <f>'BID II'!B1694</f>
        <v>: Pemeliharaan Jalan Usaha Tani (Subak Pohmanis Pembesian)</v>
      </c>
      <c r="I629" s="1344">
        <v>283.5</v>
      </c>
      <c r="J629" s="1344" t="s">
        <v>1940</v>
      </c>
      <c r="K629" s="1347">
        <f>SUM(K630:K634)</f>
        <v>46005000</v>
      </c>
      <c r="L629" s="1345" t="s">
        <v>2627</v>
      </c>
    </row>
    <row r="630" spans="1:12" x14ac:dyDescent="0.25">
      <c r="A630" s="32"/>
      <c r="B630" s="32"/>
      <c r="C630" s="32"/>
      <c r="D630" s="32">
        <v>5</v>
      </c>
      <c r="E630" s="32">
        <v>3</v>
      </c>
      <c r="F630" s="32"/>
      <c r="G630" s="1340"/>
      <c r="H630" s="66" t="str">
        <f>'BID II'!B1701</f>
        <v xml:space="preserve">Belanja Modal </v>
      </c>
      <c r="I630" s="32"/>
      <c r="J630" s="32"/>
      <c r="K630" s="470"/>
      <c r="L630" s="66"/>
    </row>
    <row r="631" spans="1:12" x14ac:dyDescent="0.25">
      <c r="A631" s="32"/>
      <c r="B631" s="32"/>
      <c r="C631" s="32"/>
      <c r="D631" s="32"/>
      <c r="E631" s="32"/>
      <c r="F631" s="32">
        <v>5</v>
      </c>
      <c r="G631" s="1340"/>
      <c r="H631" s="66" t="str">
        <f>'BID II'!B1702</f>
        <v>Belanja Modal Jalan</v>
      </c>
      <c r="I631" s="32"/>
      <c r="J631" s="32"/>
      <c r="K631" s="470"/>
      <c r="L631" s="66"/>
    </row>
    <row r="632" spans="1:12" ht="30" x14ac:dyDescent="0.25">
      <c r="A632" s="32"/>
      <c r="B632" s="32"/>
      <c r="C632" s="32"/>
      <c r="D632" s="32"/>
      <c r="E632" s="32"/>
      <c r="F632" s="32"/>
      <c r="G632" s="1340" t="s">
        <v>2688</v>
      </c>
      <c r="H632" s="66" t="str">
        <f>'BID II'!B1703</f>
        <v>Honorarium Tim Yang Melaksanakan Kegiatan</v>
      </c>
      <c r="I632" s="32"/>
      <c r="J632" s="32"/>
      <c r="K632" s="470">
        <f>'BID II'!F1705</f>
        <v>902000</v>
      </c>
      <c r="L632" s="66" t="s">
        <v>2954</v>
      </c>
    </row>
    <row r="633" spans="1:12" ht="30" x14ac:dyDescent="0.25">
      <c r="A633" s="32"/>
      <c r="B633" s="32"/>
      <c r="C633" s="32"/>
      <c r="D633" s="32"/>
      <c r="E633" s="32"/>
      <c r="F633" s="32"/>
      <c r="G633" s="1340" t="s">
        <v>2702</v>
      </c>
      <c r="H633" s="32" t="str">
        <f>'BID II'!B1706</f>
        <v>Belanja Upah</v>
      </c>
      <c r="I633" s="32"/>
      <c r="J633" s="32"/>
      <c r="K633" s="470">
        <f>'BID II'!F1709</f>
        <v>7345000</v>
      </c>
      <c r="L633" s="66" t="s">
        <v>2954</v>
      </c>
    </row>
    <row r="634" spans="1:12" ht="30" x14ac:dyDescent="0.25">
      <c r="A634" s="32"/>
      <c r="B634" s="32"/>
      <c r="C634" s="32"/>
      <c r="D634" s="32"/>
      <c r="E634" s="32"/>
      <c r="F634" s="32"/>
      <c r="G634" s="1340" t="s">
        <v>2703</v>
      </c>
      <c r="H634" s="32" t="str">
        <f>'BID II'!B1710</f>
        <v>Bahan Baku</v>
      </c>
      <c r="I634" s="32"/>
      <c r="J634" s="32"/>
      <c r="K634" s="470">
        <f>'BID II'!F1714</f>
        <v>37758000</v>
      </c>
      <c r="L634" s="66" t="s">
        <v>2954</v>
      </c>
    </row>
    <row r="635" spans="1:12" ht="60" x14ac:dyDescent="0.25">
      <c r="A635" s="1344">
        <v>2</v>
      </c>
      <c r="B635" s="1344">
        <v>3</v>
      </c>
      <c r="C635" s="1346" t="s">
        <v>2703</v>
      </c>
      <c r="D635" s="1344"/>
      <c r="E635" s="1344"/>
      <c r="F635" s="1344"/>
      <c r="G635" s="1346"/>
      <c r="H635" s="1345" t="str">
        <f>'BID II'!B1729</f>
        <v>: Pemeliharaan Jalan Usaha Tani (Subak pohmanis Pengecoran Beton)</v>
      </c>
      <c r="I635" s="1344">
        <v>23.58</v>
      </c>
      <c r="J635" s="1344" t="s">
        <v>984</v>
      </c>
      <c r="K635" s="1347">
        <f>SUM(K636:K640)</f>
        <v>58249000</v>
      </c>
      <c r="L635" s="1345" t="s">
        <v>1682</v>
      </c>
    </row>
    <row r="636" spans="1:12" x14ac:dyDescent="0.25">
      <c r="A636" s="32"/>
      <c r="B636" s="32"/>
      <c r="C636" s="32"/>
      <c r="D636" s="32">
        <v>5</v>
      </c>
      <c r="E636" s="32">
        <v>3</v>
      </c>
      <c r="F636" s="32"/>
      <c r="G636" s="1340"/>
      <c r="H636" s="66" t="str">
        <f>'BID II'!B1736</f>
        <v xml:space="preserve">Belanja Modal </v>
      </c>
      <c r="I636" s="32"/>
      <c r="J636" s="32"/>
      <c r="K636" s="470"/>
      <c r="L636" s="66"/>
    </row>
    <row r="637" spans="1:12" x14ac:dyDescent="0.25">
      <c r="A637" s="32"/>
      <c r="B637" s="32"/>
      <c r="C637" s="32"/>
      <c r="D637" s="32"/>
      <c r="E637" s="32"/>
      <c r="F637" s="32">
        <v>5</v>
      </c>
      <c r="G637" s="1340"/>
      <c r="H637" s="66" t="str">
        <f>'BID II'!B1737</f>
        <v>Belanja Modal Jalan</v>
      </c>
      <c r="I637" s="32"/>
      <c r="J637" s="32"/>
      <c r="K637" s="470"/>
      <c r="L637" s="66"/>
    </row>
    <row r="638" spans="1:12" ht="30" x14ac:dyDescent="0.25">
      <c r="A638" s="32"/>
      <c r="B638" s="32"/>
      <c r="C638" s="32"/>
      <c r="D638" s="32"/>
      <c r="E638" s="32"/>
      <c r="F638" s="32"/>
      <c r="G638" s="1340" t="s">
        <v>2688</v>
      </c>
      <c r="H638" s="66" t="str">
        <f>'BID II'!B1738</f>
        <v>Honorarium Tim Yang Melaksanakan Kegiatan</v>
      </c>
      <c r="I638" s="32"/>
      <c r="J638" s="32"/>
      <c r="K638" s="470">
        <f>'BID II'!F1740</f>
        <v>1142000</v>
      </c>
      <c r="L638" s="66" t="s">
        <v>1682</v>
      </c>
    </row>
    <row r="639" spans="1:12" x14ac:dyDescent="0.25">
      <c r="A639" s="32"/>
      <c r="B639" s="32"/>
      <c r="C639" s="32"/>
      <c r="D639" s="32"/>
      <c r="E639" s="32"/>
      <c r="F639" s="32"/>
      <c r="G639" s="1340" t="s">
        <v>2702</v>
      </c>
      <c r="H639" s="32" t="str">
        <f>'BID II'!B1741</f>
        <v>Belanja Upah</v>
      </c>
      <c r="I639" s="32"/>
      <c r="J639" s="32"/>
      <c r="K639" s="470">
        <f>'BID II'!F1744</f>
        <v>4771000</v>
      </c>
      <c r="L639" s="66" t="s">
        <v>1682</v>
      </c>
    </row>
    <row r="640" spans="1:12" x14ac:dyDescent="0.25">
      <c r="A640" s="32"/>
      <c r="B640" s="32"/>
      <c r="C640" s="32"/>
      <c r="D640" s="32"/>
      <c r="E640" s="32"/>
      <c r="F640" s="32"/>
      <c r="G640" s="1340" t="s">
        <v>2703</v>
      </c>
      <c r="H640" s="32" t="str">
        <f>'BID II'!B1745</f>
        <v>Bahan Baku</v>
      </c>
      <c r="I640" s="32"/>
      <c r="J640" s="32"/>
      <c r="K640" s="470">
        <f>'BID II'!F1750</f>
        <v>52336000</v>
      </c>
      <c r="L640" s="66" t="s">
        <v>1682</v>
      </c>
    </row>
    <row r="641" spans="1:13" ht="45" x14ac:dyDescent="0.25">
      <c r="A641" s="1344">
        <v>2</v>
      </c>
      <c r="B641" s="1344">
        <v>3</v>
      </c>
      <c r="C641" s="1346" t="s">
        <v>2703</v>
      </c>
      <c r="D641" s="1344"/>
      <c r="E641" s="1344"/>
      <c r="F641" s="1344"/>
      <c r="G641" s="1346"/>
      <c r="H641" s="1345" t="str">
        <f>'BID II'!B1765</f>
        <v>: Pemeliharaan Jalan Usaha Tani (Subak Pohmanis Bekisting)</v>
      </c>
      <c r="I641" s="1344">
        <v>37.799999999999997</v>
      </c>
      <c r="J641" s="1344" t="s">
        <v>1940</v>
      </c>
      <c r="K641" s="1347">
        <f>SUM(K642:K646)</f>
        <v>67523250</v>
      </c>
      <c r="L641" s="1345" t="s">
        <v>1682</v>
      </c>
      <c r="M641">
        <f>'BID II'!F1789</f>
        <v>67523250</v>
      </c>
    </row>
    <row r="642" spans="1:13" x14ac:dyDescent="0.25">
      <c r="A642" s="32"/>
      <c r="B642" s="32"/>
      <c r="C642" s="32"/>
      <c r="D642" s="32">
        <v>5</v>
      </c>
      <c r="E642" s="32">
        <v>3</v>
      </c>
      <c r="F642" s="32"/>
      <c r="G642" s="1340"/>
      <c r="H642" s="66" t="str">
        <f>'BID II'!B1772</f>
        <v xml:space="preserve">Belanja Modal </v>
      </c>
      <c r="I642" s="32"/>
      <c r="J642" s="32"/>
      <c r="K642" s="470"/>
      <c r="L642" s="66"/>
    </row>
    <row r="643" spans="1:13" x14ac:dyDescent="0.25">
      <c r="A643" s="32"/>
      <c r="B643" s="32"/>
      <c r="C643" s="32"/>
      <c r="D643" s="32"/>
      <c r="E643" s="32"/>
      <c r="F643" s="32">
        <v>5</v>
      </c>
      <c r="G643" s="1340"/>
      <c r="H643" s="66" t="str">
        <f>'BID II'!B1773</f>
        <v>Belanja Modal Jalan</v>
      </c>
      <c r="I643" s="32"/>
      <c r="J643" s="32"/>
      <c r="K643" s="470"/>
      <c r="L643" s="66"/>
    </row>
    <row r="644" spans="1:13" ht="30" x14ac:dyDescent="0.25">
      <c r="A644" s="32"/>
      <c r="B644" s="32"/>
      <c r="C644" s="32"/>
      <c r="D644" s="32"/>
      <c r="E644" s="32"/>
      <c r="F644" s="32"/>
      <c r="G644" s="1340" t="s">
        <v>2688</v>
      </c>
      <c r="H644" s="66" t="str">
        <f>'BID II'!B1774</f>
        <v>Honorarium Tim Yang Melaksanakan Kegiatan</v>
      </c>
      <c r="I644" s="32"/>
      <c r="J644" s="32"/>
      <c r="K644" s="470">
        <f>'BID II'!F1776</f>
        <v>1166750</v>
      </c>
      <c r="L644" s="66" t="s">
        <v>1682</v>
      </c>
    </row>
    <row r="645" spans="1:13" x14ac:dyDescent="0.25">
      <c r="A645" s="32"/>
      <c r="B645" s="32"/>
      <c r="C645" s="32"/>
      <c r="D645" s="32"/>
      <c r="E645" s="32"/>
      <c r="F645" s="32"/>
      <c r="G645" s="1340" t="s">
        <v>2702</v>
      </c>
      <c r="H645" s="32" t="str">
        <f>'BID II'!B1777</f>
        <v>Belanja Upah</v>
      </c>
      <c r="I645" s="32"/>
      <c r="J645" s="32"/>
      <c r="K645" s="470">
        <f>'BID II'!F1780</f>
        <v>5356000</v>
      </c>
      <c r="L645" s="66" t="s">
        <v>1682</v>
      </c>
    </row>
    <row r="646" spans="1:13" x14ac:dyDescent="0.25">
      <c r="A646" s="32"/>
      <c r="B646" s="32"/>
      <c r="C646" s="32"/>
      <c r="D646" s="32"/>
      <c r="E646" s="32"/>
      <c r="F646" s="32"/>
      <c r="G646" s="1340" t="s">
        <v>2703</v>
      </c>
      <c r="H646" s="32" t="str">
        <f>'BID II'!B1781</f>
        <v>Bahan Baku</v>
      </c>
      <c r="I646" s="32"/>
      <c r="J646" s="32"/>
      <c r="K646" s="470">
        <f>'BID II'!F1788</f>
        <v>61000500</v>
      </c>
      <c r="L646" s="66" t="s">
        <v>1682</v>
      </c>
    </row>
    <row r="647" spans="1:13" ht="60" x14ac:dyDescent="0.25">
      <c r="A647" s="1344">
        <v>2</v>
      </c>
      <c r="B647" s="1344">
        <v>3</v>
      </c>
      <c r="C647" s="1346" t="s">
        <v>2703</v>
      </c>
      <c r="D647" s="1344"/>
      <c r="E647" s="1344"/>
      <c r="F647" s="1344"/>
      <c r="G647" s="1346"/>
      <c r="H647" s="1345" t="str">
        <f>'BID II'!B1806</f>
        <v>: Pemeliharaan Jalan Usaha Tani (Subak Pohmanis Perbaikan Senderan Batu Kali)</v>
      </c>
      <c r="I647" s="1344">
        <v>9</v>
      </c>
      <c r="J647" s="1344" t="s">
        <v>984</v>
      </c>
      <c r="K647" s="1347">
        <f>SUM(K648:K652)</f>
        <v>18685000</v>
      </c>
      <c r="L647" s="1345" t="s">
        <v>1682</v>
      </c>
    </row>
    <row r="648" spans="1:13" x14ac:dyDescent="0.25">
      <c r="A648" s="32"/>
      <c r="B648" s="32"/>
      <c r="C648" s="32"/>
      <c r="D648" s="32">
        <v>5</v>
      </c>
      <c r="E648" s="32">
        <v>3</v>
      </c>
      <c r="F648" s="32"/>
      <c r="G648" s="1340"/>
      <c r="H648" s="32" t="str">
        <f>'BID II'!B1813</f>
        <v xml:space="preserve">Belanja Modal </v>
      </c>
      <c r="I648" s="32"/>
      <c r="J648" s="32"/>
      <c r="K648" s="470"/>
      <c r="L648" s="66"/>
    </row>
    <row r="649" spans="1:13" x14ac:dyDescent="0.25">
      <c r="A649" s="32"/>
      <c r="B649" s="32"/>
      <c r="C649" s="32"/>
      <c r="D649" s="32"/>
      <c r="E649" s="32"/>
      <c r="F649" s="32">
        <v>5</v>
      </c>
      <c r="G649" s="1340"/>
      <c r="H649" s="32" t="str">
        <f>'BID II'!B1814</f>
        <v>Belanja Modal Jalan</v>
      </c>
      <c r="I649" s="32"/>
      <c r="J649" s="32"/>
      <c r="K649" s="470"/>
      <c r="L649" s="66"/>
    </row>
    <row r="650" spans="1:13" ht="30" x14ac:dyDescent="0.25">
      <c r="A650" s="32"/>
      <c r="B650" s="32"/>
      <c r="C650" s="32"/>
      <c r="D650" s="32"/>
      <c r="E650" s="32"/>
      <c r="F650" s="32"/>
      <c r="G650" s="1340" t="s">
        <v>2688</v>
      </c>
      <c r="H650" s="66" t="str">
        <f>'BID II'!B1815</f>
        <v>Honorarium Tim Yang Melaksanakan Kegiatan</v>
      </c>
      <c r="I650" s="32"/>
      <c r="J650" s="32"/>
      <c r="K650" s="470">
        <f>'BID II'!F1817</f>
        <v>464000</v>
      </c>
      <c r="L650" s="66" t="s">
        <v>1682</v>
      </c>
    </row>
    <row r="651" spans="1:13" x14ac:dyDescent="0.25">
      <c r="A651" s="32"/>
      <c r="B651" s="32"/>
      <c r="C651" s="32"/>
      <c r="D651" s="32"/>
      <c r="E651" s="32"/>
      <c r="F651" s="32"/>
      <c r="G651" s="1340" t="s">
        <v>2702</v>
      </c>
      <c r="H651" s="32" t="str">
        <f>'BID II'!B1818</f>
        <v>Belanja Upah</v>
      </c>
      <c r="I651" s="32"/>
      <c r="J651" s="32"/>
      <c r="K651" s="470">
        <f>'BID II'!F1821</f>
        <v>3770000</v>
      </c>
      <c r="L651" s="66" t="s">
        <v>1682</v>
      </c>
    </row>
    <row r="652" spans="1:13" x14ac:dyDescent="0.25">
      <c r="A652" s="32"/>
      <c r="B652" s="32"/>
      <c r="C652" s="32"/>
      <c r="D652" s="32"/>
      <c r="E652" s="32"/>
      <c r="F652" s="32"/>
      <c r="G652" s="1340" t="s">
        <v>2703</v>
      </c>
      <c r="H652" s="32" t="str">
        <f>'BID II'!B1822</f>
        <v>Bahan Baku</v>
      </c>
      <c r="I652" s="32"/>
      <c r="J652" s="32"/>
      <c r="K652" s="470">
        <f>'BID II'!F1827</f>
        <v>14451000</v>
      </c>
      <c r="L652" s="66" t="s">
        <v>1682</v>
      </c>
    </row>
    <row r="653" spans="1:13" ht="105" x14ac:dyDescent="0.25">
      <c r="A653" s="1344">
        <v>2</v>
      </c>
      <c r="B653" s="1344">
        <v>3</v>
      </c>
      <c r="C653" s="1346" t="s">
        <v>2706</v>
      </c>
      <c r="D653" s="1344"/>
      <c r="E653" s="1344"/>
      <c r="F653" s="1344"/>
      <c r="G653" s="1346"/>
      <c r="H653" s="1345" t="str">
        <f>'BID II'!B1843</f>
        <v>: Pemeliharaan Prasarana Jalan Desa (Pembersihan saluran air untuk kelancaran pertanian dan gorong-gorong (PKTD MURNI Ketahanan Pangan)</v>
      </c>
      <c r="I653" s="1344">
        <v>522</v>
      </c>
      <c r="J653" s="1344" t="s">
        <v>539</v>
      </c>
      <c r="K653" s="1347">
        <f>K656</f>
        <v>23100000</v>
      </c>
      <c r="L653" s="1345" t="s">
        <v>2387</v>
      </c>
    </row>
    <row r="654" spans="1:13" x14ac:dyDescent="0.25">
      <c r="A654" s="32"/>
      <c r="B654" s="32"/>
      <c r="C654" s="32"/>
      <c r="D654" s="32">
        <v>5</v>
      </c>
      <c r="E654" s="32">
        <v>3</v>
      </c>
      <c r="F654" s="32"/>
      <c r="G654" s="1340"/>
      <c r="H654" s="32" t="str">
        <f>'BID II'!B1849</f>
        <v>Belanja Modal</v>
      </c>
      <c r="I654" s="32"/>
      <c r="J654" s="32"/>
      <c r="K654" s="470"/>
      <c r="L654" s="66"/>
    </row>
    <row r="655" spans="1:13" x14ac:dyDescent="0.25">
      <c r="A655" s="32"/>
      <c r="B655" s="32"/>
      <c r="C655" s="32"/>
      <c r="D655" s="32">
        <v>5</v>
      </c>
      <c r="E655" s="32">
        <v>3</v>
      </c>
      <c r="F655" s="32">
        <v>7</v>
      </c>
      <c r="G655" s="1340"/>
      <c r="H655" s="32" t="str">
        <f>'BID II'!B1850</f>
        <v>Belanja Modal Irigasi</v>
      </c>
      <c r="I655" s="32"/>
      <c r="J655" s="32"/>
      <c r="K655" s="470"/>
      <c r="L655" s="66"/>
    </row>
    <row r="656" spans="1:13" x14ac:dyDescent="0.25">
      <c r="A656" s="32"/>
      <c r="B656" s="32"/>
      <c r="C656" s="32"/>
      <c r="D656" s="32">
        <v>5</v>
      </c>
      <c r="E656" s="32">
        <v>3</v>
      </c>
      <c r="F656" s="32">
        <v>7</v>
      </c>
      <c r="G656" s="1340" t="s">
        <v>2702</v>
      </c>
      <c r="H656" s="32" t="str">
        <f>'BID II'!B1851</f>
        <v>Belanja Upah PKTD</v>
      </c>
      <c r="I656" s="32"/>
      <c r="J656" s="32"/>
      <c r="K656" s="470">
        <f>'BID II'!F1852</f>
        <v>23100000</v>
      </c>
      <c r="L656" s="66" t="s">
        <v>2387</v>
      </c>
    </row>
    <row r="657" spans="1:13" ht="90" x14ac:dyDescent="0.25">
      <c r="A657" s="1344">
        <v>2</v>
      </c>
      <c r="B657" s="1344">
        <v>3</v>
      </c>
      <c r="C657" s="1346" t="s">
        <v>2703</v>
      </c>
      <c r="D657" s="1344"/>
      <c r="E657" s="1344"/>
      <c r="F657" s="1344"/>
      <c r="G657" s="1344"/>
      <c r="H657" s="1345" t="str">
        <f>'BID II'!B1871</f>
        <v>: Pembangunan Jalan Usaha Tani KETAHANAN PANGAN (Subak Temaga Munduk Ngancang Perbaikan Senderan Batu Kali)</v>
      </c>
      <c r="I657" s="1344"/>
      <c r="J657" s="1344"/>
      <c r="K657" s="1347">
        <f>SUM(K658:K662)</f>
        <v>385503000</v>
      </c>
      <c r="L657" s="1345"/>
      <c r="M657" s="175">
        <f>K657+K663+K670+K676</f>
        <v>803228000</v>
      </c>
    </row>
    <row r="658" spans="1:13" x14ac:dyDescent="0.25">
      <c r="A658" s="32"/>
      <c r="B658" s="32"/>
      <c r="C658" s="32"/>
      <c r="D658" s="32">
        <v>5</v>
      </c>
      <c r="E658" s="32">
        <v>3</v>
      </c>
      <c r="F658" s="32"/>
      <c r="G658" s="32"/>
      <c r="H658" s="66" t="str">
        <f>'BID II'!B1878</f>
        <v xml:space="preserve">Belanja Modal </v>
      </c>
      <c r="I658" s="32"/>
      <c r="J658" s="32"/>
      <c r="K658" s="32"/>
      <c r="L658" s="66"/>
      <c r="M658" s="451"/>
    </row>
    <row r="659" spans="1:13" x14ac:dyDescent="0.25">
      <c r="A659" s="32"/>
      <c r="B659" s="32"/>
      <c r="C659" s="32"/>
      <c r="D659" s="32"/>
      <c r="E659" s="32"/>
      <c r="F659" s="32">
        <v>5</v>
      </c>
      <c r="G659" s="32"/>
      <c r="H659" s="66" t="str">
        <f>'BID II'!B1879</f>
        <v>Belanja Modal Jalan</v>
      </c>
      <c r="I659" s="32"/>
      <c r="J659" s="32"/>
      <c r="K659" s="32"/>
      <c r="L659" s="66"/>
      <c r="M659" s="175"/>
    </row>
    <row r="660" spans="1:13" ht="30" x14ac:dyDescent="0.25">
      <c r="A660" s="32"/>
      <c r="B660" s="32"/>
      <c r="C660" s="32"/>
      <c r="D660" s="32"/>
      <c r="E660" s="32"/>
      <c r="F660" s="32"/>
      <c r="G660" s="1340" t="s">
        <v>2688</v>
      </c>
      <c r="H660" s="66" t="str">
        <f>'BID II'!B1880</f>
        <v>Honorarium Tim Yang Melaksanakan Kegiatan</v>
      </c>
      <c r="I660" s="32"/>
      <c r="J660" s="32"/>
      <c r="K660" s="470">
        <f>'BID II'!F1882</f>
        <v>1917000</v>
      </c>
      <c r="L660" s="66" t="s">
        <v>2626</v>
      </c>
    </row>
    <row r="661" spans="1:13" ht="30" x14ac:dyDescent="0.25">
      <c r="A661" s="32"/>
      <c r="B661" s="32"/>
      <c r="C661" s="32"/>
      <c r="D661" s="32"/>
      <c r="E661" s="32"/>
      <c r="F661" s="32"/>
      <c r="G661" s="1340" t="s">
        <v>2702</v>
      </c>
      <c r="H661" s="32" t="str">
        <f>'BID II'!B1883</f>
        <v>Belanja Upah</v>
      </c>
      <c r="I661" s="32"/>
      <c r="J661" s="32"/>
      <c r="K661" s="470">
        <f>'BID II'!F1886</f>
        <v>95667000</v>
      </c>
      <c r="L661" s="66" t="s">
        <v>2626</v>
      </c>
    </row>
    <row r="662" spans="1:13" x14ac:dyDescent="0.25">
      <c r="A662" s="32"/>
      <c r="B662" s="32"/>
      <c r="C662" s="32"/>
      <c r="D662" s="32"/>
      <c r="E662" s="32"/>
      <c r="F662" s="32"/>
      <c r="G662" s="1340" t="s">
        <v>2703</v>
      </c>
      <c r="H662" s="32" t="str">
        <f>'BID II'!B1887</f>
        <v>Bahan Baku</v>
      </c>
      <c r="I662" s="32"/>
      <c r="J662" s="32"/>
      <c r="K662" s="470">
        <f>'BID II'!F1892</f>
        <v>287919000</v>
      </c>
      <c r="L662" s="66" t="s">
        <v>1682</v>
      </c>
    </row>
    <row r="663" spans="1:13" ht="75" x14ac:dyDescent="0.25">
      <c r="A663" s="1344">
        <v>2</v>
      </c>
      <c r="B663" s="1344">
        <v>3</v>
      </c>
      <c r="C663" s="1346" t="s">
        <v>2703</v>
      </c>
      <c r="D663" s="1344"/>
      <c r="E663" s="1344"/>
      <c r="F663" s="1344"/>
      <c r="G663" s="1344"/>
      <c r="H663" s="1345" t="str">
        <f>'BID II'!B1908</f>
        <v>: Pembangunan Jalan Usaha Tani KETAHANAN PANGAN(Subak Temaga Munduk Ngancang Urug Limestone)</v>
      </c>
      <c r="I663" s="1344"/>
      <c r="J663" s="1344"/>
      <c r="K663" s="1347">
        <f>SUM(K664:K669)</f>
        <v>67743000</v>
      </c>
      <c r="L663" s="1345" t="s">
        <v>2625</v>
      </c>
    </row>
    <row r="664" spans="1:13" x14ac:dyDescent="0.25">
      <c r="A664" s="32"/>
      <c r="B664" s="32"/>
      <c r="C664" s="32"/>
      <c r="D664" s="32">
        <v>5</v>
      </c>
      <c r="E664" s="32">
        <v>3</v>
      </c>
      <c r="F664" s="32"/>
      <c r="G664" s="32"/>
      <c r="H664" s="66" t="str">
        <f>'BID II'!B1991</f>
        <v xml:space="preserve">Belanja Modal </v>
      </c>
      <c r="I664" s="32"/>
      <c r="J664" s="32"/>
      <c r="K664" s="470"/>
      <c r="L664" s="66"/>
    </row>
    <row r="665" spans="1:13" x14ac:dyDescent="0.25">
      <c r="A665" s="32"/>
      <c r="B665" s="32"/>
      <c r="C665" s="32"/>
      <c r="D665" s="32"/>
      <c r="E665" s="32"/>
      <c r="F665" s="32">
        <v>5</v>
      </c>
      <c r="G665" s="32"/>
      <c r="H665" s="66" t="str">
        <f>'BID II'!B1992</f>
        <v>Belanja Modal Jalan</v>
      </c>
      <c r="I665" s="32"/>
      <c r="J665" s="32"/>
      <c r="K665" s="470"/>
      <c r="L665" s="66"/>
    </row>
    <row r="666" spans="1:13" ht="30" x14ac:dyDescent="0.25">
      <c r="A666" s="32"/>
      <c r="B666" s="32"/>
      <c r="C666" s="32"/>
      <c r="D666" s="32"/>
      <c r="E666" s="32"/>
      <c r="F666" s="32"/>
      <c r="G666" s="1340" t="s">
        <v>2688</v>
      </c>
      <c r="H666" s="66" t="str">
        <f>'BID II'!B1993</f>
        <v>Honorarium Tim Yang Melaksanakan Kegiatan</v>
      </c>
      <c r="I666" s="32"/>
      <c r="J666" s="32"/>
      <c r="K666" s="470">
        <f>'BID II'!F1919</f>
        <v>1425000</v>
      </c>
      <c r="L666" s="66" t="s">
        <v>2625</v>
      </c>
    </row>
    <row r="667" spans="1:13" ht="30" x14ac:dyDescent="0.25">
      <c r="A667" s="32"/>
      <c r="B667" s="32"/>
      <c r="C667" s="32"/>
      <c r="D667" s="32"/>
      <c r="E667" s="32"/>
      <c r="F667" s="32"/>
      <c r="G667" s="1340" t="s">
        <v>2702</v>
      </c>
      <c r="H667" s="32" t="str">
        <f>'BID II'!B1996</f>
        <v>Belanja Upah</v>
      </c>
      <c r="I667" s="32"/>
      <c r="J667" s="32"/>
      <c r="K667" s="470">
        <f>'BID II'!F1922</f>
        <v>20670000</v>
      </c>
      <c r="L667" s="66" t="s">
        <v>2625</v>
      </c>
    </row>
    <row r="668" spans="1:13" ht="30" x14ac:dyDescent="0.25">
      <c r="A668" s="32"/>
      <c r="B668" s="32"/>
      <c r="C668" s="32"/>
      <c r="D668" s="32"/>
      <c r="E668" s="32"/>
      <c r="F668" s="32"/>
      <c r="G668" s="1340" t="s">
        <v>2703</v>
      </c>
      <c r="H668" s="32" t="str">
        <f>'BID II'!B2000</f>
        <v>Bahan Baku</v>
      </c>
      <c r="I668" s="32"/>
      <c r="J668" s="32"/>
      <c r="K668" s="470">
        <f>'BID II'!F1926</f>
        <v>44148000</v>
      </c>
      <c r="L668" s="66" t="s">
        <v>2625</v>
      </c>
    </row>
    <row r="669" spans="1:13" ht="30" x14ac:dyDescent="0.25">
      <c r="A669" s="32"/>
      <c r="B669" s="32"/>
      <c r="C669" s="32"/>
      <c r="D669" s="32"/>
      <c r="E669" s="32"/>
      <c r="F669" s="32"/>
      <c r="G669" s="1340" t="s">
        <v>2704</v>
      </c>
      <c r="H669" s="32" t="str">
        <f>'BID II'!B1927</f>
        <v>Sewa Alat</v>
      </c>
      <c r="I669" s="32"/>
      <c r="J669" s="32"/>
      <c r="K669" s="470">
        <f>'BID II'!F1929</f>
        <v>1500000</v>
      </c>
      <c r="L669" s="66" t="s">
        <v>2625</v>
      </c>
    </row>
    <row r="670" spans="1:13" ht="75" x14ac:dyDescent="0.25">
      <c r="A670" s="1344">
        <v>2</v>
      </c>
      <c r="B670" s="1344">
        <v>3</v>
      </c>
      <c r="C670" s="1346" t="s">
        <v>2703</v>
      </c>
      <c r="D670" s="1344"/>
      <c r="E670" s="1344"/>
      <c r="F670" s="1344"/>
      <c r="G670" s="1344"/>
      <c r="H670" s="1345" t="str">
        <f>'BID II'!B1945</f>
        <v>: Pembangunan Jalan Usaha Tani KETAHANAN PANGAN(Subak Temaga Munduk Ngancang Pemavingan)</v>
      </c>
      <c r="I670" s="1344"/>
      <c r="J670" s="1344"/>
      <c r="K670" s="1347">
        <f>SUM(K671:K675)</f>
        <v>331798000</v>
      </c>
      <c r="L670" s="1345" t="s">
        <v>2387</v>
      </c>
    </row>
    <row r="671" spans="1:13" x14ac:dyDescent="0.25">
      <c r="A671" s="32"/>
      <c r="B671" s="32"/>
      <c r="C671" s="32"/>
      <c r="D671" s="32">
        <v>5</v>
      </c>
      <c r="E671" s="32">
        <v>3</v>
      </c>
      <c r="F671" s="32"/>
      <c r="G671" s="32"/>
      <c r="H671" s="66" t="str">
        <f>'BID II'!B1952</f>
        <v xml:space="preserve">Belanja Modal </v>
      </c>
      <c r="I671" s="32"/>
      <c r="J671" s="32"/>
      <c r="K671" s="470"/>
      <c r="L671" s="66"/>
    </row>
    <row r="672" spans="1:13" x14ac:dyDescent="0.25">
      <c r="A672" s="32"/>
      <c r="B672" s="32"/>
      <c r="C672" s="32"/>
      <c r="D672" s="32"/>
      <c r="E672" s="32"/>
      <c r="F672" s="32">
        <v>5</v>
      </c>
      <c r="G672" s="32"/>
      <c r="H672" s="66" t="str">
        <f>'BID II'!B1953</f>
        <v>Belanja Modal Jalan</v>
      </c>
      <c r="I672" s="32"/>
      <c r="J672" s="32"/>
      <c r="K672" s="470"/>
      <c r="L672" s="66"/>
    </row>
    <row r="673" spans="1:13" ht="30" x14ac:dyDescent="0.25">
      <c r="A673" s="32"/>
      <c r="B673" s="32"/>
      <c r="C673" s="32"/>
      <c r="D673" s="32"/>
      <c r="E673" s="32"/>
      <c r="F673" s="32"/>
      <c r="G673" s="1340" t="s">
        <v>2688</v>
      </c>
      <c r="H673" s="66" t="str">
        <f>'BID II'!B1954</f>
        <v>Honorarium Tim Yang Melaksanakan Kegiatan</v>
      </c>
      <c r="I673" s="32"/>
      <c r="J673" s="32"/>
      <c r="K673" s="470">
        <f>'BID II'!F1956</f>
        <v>1650000</v>
      </c>
      <c r="L673" s="66" t="s">
        <v>2387</v>
      </c>
    </row>
    <row r="674" spans="1:13" x14ac:dyDescent="0.25">
      <c r="A674" s="32"/>
      <c r="B674" s="32"/>
      <c r="C674" s="32"/>
      <c r="D674" s="32"/>
      <c r="E674" s="32"/>
      <c r="F674" s="32"/>
      <c r="G674" s="1340" t="s">
        <v>2702</v>
      </c>
      <c r="H674" s="32" t="str">
        <f>'BID II'!B1957:B1957</f>
        <v>Belanja Upah</v>
      </c>
      <c r="I674" s="32"/>
      <c r="J674" s="32"/>
      <c r="K674" s="470">
        <f>'BID II'!F1960</f>
        <v>52078000</v>
      </c>
      <c r="L674" s="66" t="s">
        <v>2387</v>
      </c>
    </row>
    <row r="675" spans="1:13" x14ac:dyDescent="0.25">
      <c r="A675" s="32"/>
      <c r="B675" s="32"/>
      <c r="C675" s="32"/>
      <c r="D675" s="32"/>
      <c r="E675" s="32"/>
      <c r="F675" s="32"/>
      <c r="G675" s="1340" t="s">
        <v>2703</v>
      </c>
      <c r="H675" s="32" t="str">
        <f>'BID II'!B1961</f>
        <v>Bahan Baku</v>
      </c>
      <c r="I675" s="32"/>
      <c r="J675" s="32"/>
      <c r="K675" s="470">
        <f>'BID II'!F1968</f>
        <v>278070000</v>
      </c>
      <c r="L675" s="66" t="s">
        <v>2387</v>
      </c>
    </row>
    <row r="676" spans="1:13" ht="75" x14ac:dyDescent="0.25">
      <c r="A676" s="1344">
        <v>2</v>
      </c>
      <c r="B676" s="1344">
        <v>3</v>
      </c>
      <c r="C676" s="1346" t="s">
        <v>2703</v>
      </c>
      <c r="D676" s="1344"/>
      <c r="E676" s="1344"/>
      <c r="F676" s="1344"/>
      <c r="G676" s="1344"/>
      <c r="H676" s="1345" t="str">
        <f>'BID II'!B1984</f>
        <v>: Pembangunan Jalan Usaha Tani (Subak Temaga Munduk Ngancang Perbaikan Senderan Batu Kali)</v>
      </c>
      <c r="I676" s="1344"/>
      <c r="J676" s="1344"/>
      <c r="K676" s="1347">
        <f>SUM(K677:K681)</f>
        <v>18184000</v>
      </c>
      <c r="L676" s="1345" t="s">
        <v>2625</v>
      </c>
    </row>
    <row r="677" spans="1:13" x14ac:dyDescent="0.25">
      <c r="A677" s="32"/>
      <c r="B677" s="32"/>
      <c r="C677" s="32"/>
      <c r="D677" s="32">
        <v>5</v>
      </c>
      <c r="E677" s="32">
        <v>3</v>
      </c>
      <c r="F677" s="32"/>
      <c r="G677" s="32"/>
      <c r="H677" s="66" t="str">
        <f>'BID II'!B1991</f>
        <v xml:space="preserve">Belanja Modal </v>
      </c>
      <c r="I677" s="32"/>
      <c r="J677" s="32"/>
      <c r="K677" s="470"/>
      <c r="L677" s="66"/>
    </row>
    <row r="678" spans="1:13" x14ac:dyDescent="0.25">
      <c r="A678" s="32"/>
      <c r="B678" s="32"/>
      <c r="C678" s="32"/>
      <c r="D678" s="32"/>
      <c r="E678" s="32"/>
      <c r="F678" s="32">
        <v>5</v>
      </c>
      <c r="G678" s="32"/>
      <c r="H678" s="66" t="str">
        <f>'BID II'!B1992</f>
        <v>Belanja Modal Jalan</v>
      </c>
      <c r="I678" s="32"/>
      <c r="J678" s="32"/>
      <c r="K678" s="470"/>
      <c r="L678" s="66"/>
    </row>
    <row r="679" spans="1:13" ht="30" x14ac:dyDescent="0.25">
      <c r="A679" s="32"/>
      <c r="B679" s="32"/>
      <c r="C679" s="32"/>
      <c r="D679" s="32"/>
      <c r="E679" s="32"/>
      <c r="F679" s="32"/>
      <c r="G679" s="1340" t="s">
        <v>2688</v>
      </c>
      <c r="H679" s="66" t="str">
        <f>'BID II'!B1993</f>
        <v>Honorarium Tim Yang Melaksanakan Kegiatan</v>
      </c>
      <c r="I679" s="32"/>
      <c r="J679" s="32"/>
      <c r="K679" s="470">
        <f>'BID II'!F1995</f>
        <v>356000</v>
      </c>
      <c r="L679" s="66" t="s">
        <v>2625</v>
      </c>
    </row>
    <row r="680" spans="1:13" ht="30" x14ac:dyDescent="0.25">
      <c r="A680" s="32"/>
      <c r="B680" s="32"/>
      <c r="C680" s="32"/>
      <c r="D680" s="32"/>
      <c r="E680" s="32"/>
      <c r="F680" s="32"/>
      <c r="G680" s="1340" t="s">
        <v>2702</v>
      </c>
      <c r="H680" s="32" t="str">
        <f>'BID II'!B1996</f>
        <v>Belanja Upah</v>
      </c>
      <c r="I680" s="32"/>
      <c r="J680" s="32"/>
      <c r="K680" s="470">
        <f>'BID II'!F1999</f>
        <v>3627000</v>
      </c>
      <c r="L680" s="66" t="s">
        <v>2625</v>
      </c>
    </row>
    <row r="681" spans="1:13" ht="30" x14ac:dyDescent="0.25">
      <c r="A681" s="32"/>
      <c r="B681" s="32"/>
      <c r="C681" s="32"/>
      <c r="D681" s="32"/>
      <c r="E681" s="32"/>
      <c r="F681" s="32"/>
      <c r="G681" s="1340" t="s">
        <v>2703</v>
      </c>
      <c r="H681" s="32" t="str">
        <f>'BID II'!B2000</f>
        <v>Bahan Baku</v>
      </c>
      <c r="I681" s="32"/>
      <c r="J681" s="32"/>
      <c r="K681" s="470">
        <f>'BID II'!F2005</f>
        <v>14201000</v>
      </c>
      <c r="L681" s="66" t="s">
        <v>2625</v>
      </c>
    </row>
    <row r="682" spans="1:13" ht="30" x14ac:dyDescent="0.25">
      <c r="A682" s="1344">
        <v>2</v>
      </c>
      <c r="B682" s="1344">
        <v>4</v>
      </c>
      <c r="C682" s="1346" t="s">
        <v>2708</v>
      </c>
      <c r="D682" s="1344"/>
      <c r="E682" s="1344"/>
      <c r="F682" s="1344"/>
      <c r="G682" s="1344"/>
      <c r="H682" s="1345" t="str">
        <f>'BID II'!B2024</f>
        <v>: Kegiatan Pengelolaan Sampah Tingkat Desa</v>
      </c>
      <c r="I682" s="1344"/>
      <c r="J682" s="1344"/>
      <c r="K682" s="1353">
        <f>SUM(K683:K716)</f>
        <v>670230300</v>
      </c>
      <c r="L682" s="1345"/>
      <c r="M682" s="451">
        <f>K682+K717+K727</f>
        <v>819364100</v>
      </c>
    </row>
    <row r="683" spans="1:13" x14ac:dyDescent="0.25">
      <c r="A683" s="32"/>
      <c r="B683" s="32"/>
      <c r="C683" s="32"/>
      <c r="D683" s="32">
        <v>5</v>
      </c>
      <c r="E683" s="32">
        <v>2</v>
      </c>
      <c r="F683" s="32"/>
      <c r="G683" s="32"/>
      <c r="H683" s="66" t="str">
        <f>'BID II'!B2029</f>
        <v xml:space="preserve">Belanja Barang dan Jasa </v>
      </c>
      <c r="I683" s="32"/>
      <c r="J683" s="32"/>
      <c r="K683" s="470"/>
      <c r="L683" s="66"/>
      <c r="M683" s="175"/>
    </row>
    <row r="684" spans="1:13" ht="30" x14ac:dyDescent="0.25">
      <c r="A684" s="32"/>
      <c r="B684" s="32"/>
      <c r="C684" s="32"/>
      <c r="D684" s="32"/>
      <c r="E684" s="32"/>
      <c r="F684" s="32">
        <v>1</v>
      </c>
      <c r="G684" s="32"/>
      <c r="H684" s="66" t="str">
        <f>'BID II'!B2030</f>
        <v>Belanja Barang perlengkapan</v>
      </c>
      <c r="I684" s="32"/>
      <c r="J684" s="32"/>
      <c r="K684" s="470"/>
      <c r="L684" s="66"/>
      <c r="M684" s="175"/>
    </row>
    <row r="685" spans="1:13" ht="60" x14ac:dyDescent="0.25">
      <c r="A685" s="32"/>
      <c r="B685" s="32"/>
      <c r="C685" s="32"/>
      <c r="D685" s="32"/>
      <c r="E685" s="32"/>
      <c r="F685" s="32"/>
      <c r="G685" s="1340" t="s">
        <v>2704</v>
      </c>
      <c r="H685" s="66" t="str">
        <f>'BID II'!B2031</f>
        <v>Belanja bahan bakar minyak/ gas/ isi ulang tabung pemadam kebakaran</v>
      </c>
      <c r="I685" s="32"/>
      <c r="J685" s="32"/>
      <c r="K685" s="470">
        <f>SUM('BID II'!F2032+'BID II'!F2034+'BID II'!F2037)</f>
        <v>81600000</v>
      </c>
      <c r="L685" s="66" t="s">
        <v>1682</v>
      </c>
    </row>
    <row r="686" spans="1:13" ht="60" x14ac:dyDescent="0.25">
      <c r="A686" s="32"/>
      <c r="B686" s="32"/>
      <c r="C686" s="32"/>
      <c r="D686" s="32"/>
      <c r="E686" s="32"/>
      <c r="F686" s="32"/>
      <c r="G686" s="1340" t="s">
        <v>2704</v>
      </c>
      <c r="H686" s="66" t="str">
        <f>'BID II'!B2031</f>
        <v>Belanja bahan bakar minyak/ gas/ isi ulang tabung pemadam kebakaran</v>
      </c>
      <c r="I686" s="32"/>
      <c r="J686" s="32"/>
      <c r="K686" s="470">
        <f>'BID II'!F2033+'BID II'!F2035</f>
        <v>28200000</v>
      </c>
      <c r="L686" s="66" t="s">
        <v>2626</v>
      </c>
    </row>
    <row r="687" spans="1:13" ht="30" x14ac:dyDescent="0.25">
      <c r="A687" s="32"/>
      <c r="B687" s="32"/>
      <c r="C687" s="32"/>
      <c r="D687" s="32"/>
      <c r="E687" s="32"/>
      <c r="F687" s="32"/>
      <c r="G687" s="1340" t="s">
        <v>2706</v>
      </c>
      <c r="H687" s="66" t="str">
        <f>'BID II'!B2038</f>
        <v>Belanja perlengkapan Cetak</v>
      </c>
      <c r="I687" s="32"/>
      <c r="J687" s="32"/>
      <c r="K687" s="470">
        <f>SUM('BID II'!F2039:F2041)</f>
        <v>5750000</v>
      </c>
      <c r="L687" s="66" t="s">
        <v>1682</v>
      </c>
    </row>
    <row r="688" spans="1:13" x14ac:dyDescent="0.25">
      <c r="A688" s="32"/>
      <c r="B688" s="32"/>
      <c r="C688" s="32"/>
      <c r="D688" s="32"/>
      <c r="E688" s="32"/>
      <c r="F688" s="32"/>
      <c r="G688" s="1340" t="s">
        <v>2708</v>
      </c>
      <c r="H688" s="66" t="str">
        <f>'BID II'!B2042</f>
        <v>Belanja Bahan Dan Alat</v>
      </c>
      <c r="I688" s="32"/>
      <c r="J688" s="32"/>
      <c r="K688" s="470">
        <f>'BID II'!F2043+'BID II'!F2045+'BID II'!F2046+'BID II'!F2047+'BID II'!F2048+'BID II'!F2049+'BID II'!F2050+'BID II'!F2051+'BID II'!F2052+'BID II'!F2053+'BID II'!F2054+'BID II'!F2055</f>
        <v>43854600</v>
      </c>
      <c r="L688" s="66" t="s">
        <v>1682</v>
      </c>
      <c r="M688" s="451">
        <f>K688+K689</f>
        <v>107214600</v>
      </c>
    </row>
    <row r="689" spans="1:13" x14ac:dyDescent="0.25">
      <c r="A689" s="32"/>
      <c r="B689" s="32"/>
      <c r="C689" s="32"/>
      <c r="D689" s="32"/>
      <c r="E689" s="32"/>
      <c r="F689" s="32"/>
      <c r="G689" s="1340" t="s">
        <v>2708</v>
      </c>
      <c r="H689" s="66" t="str">
        <f>'BID II'!B2042</f>
        <v>Belanja Bahan Dan Alat</v>
      </c>
      <c r="I689" s="32"/>
      <c r="J689" s="32"/>
      <c r="K689" s="470">
        <f>'BID II'!F2044</f>
        <v>63360000</v>
      </c>
      <c r="L689" s="66" t="s">
        <v>1690</v>
      </c>
    </row>
    <row r="690" spans="1:13" ht="30" x14ac:dyDescent="0.25">
      <c r="A690" s="32"/>
      <c r="B690" s="32"/>
      <c r="C690" s="32"/>
      <c r="D690" s="32"/>
      <c r="E690" s="32"/>
      <c r="F690" s="32"/>
      <c r="G690" s="32">
        <v>90</v>
      </c>
      <c r="H690" s="66" t="str">
        <f>'BID II'!B2056</f>
        <v>Belanja Upakara, Upacara dan aci</v>
      </c>
      <c r="I690" s="32"/>
      <c r="J690" s="32"/>
      <c r="K690" s="470">
        <f>SUM('BID II'!F2058:F2060)</f>
        <v>8475000</v>
      </c>
      <c r="L690" s="66" t="s">
        <v>1682</v>
      </c>
    </row>
    <row r="691" spans="1:13" x14ac:dyDescent="0.25">
      <c r="A691" s="32"/>
      <c r="B691" s="32"/>
      <c r="C691" s="32"/>
      <c r="D691" s="32">
        <v>5</v>
      </c>
      <c r="E691" s="32">
        <v>2</v>
      </c>
      <c r="F691" s="32">
        <v>2</v>
      </c>
      <c r="G691" s="32"/>
      <c r="H691" s="66" t="str">
        <f>'BID II'!B2061</f>
        <v>Belanja Honorarium</v>
      </c>
      <c r="I691" s="32"/>
      <c r="J691" s="32"/>
      <c r="K691" s="470"/>
      <c r="L691" s="66"/>
    </row>
    <row r="692" spans="1:13" ht="30" x14ac:dyDescent="0.25">
      <c r="A692" s="32"/>
      <c r="B692" s="32"/>
      <c r="C692" s="32"/>
      <c r="D692" s="32"/>
      <c r="E692" s="32"/>
      <c r="F692" s="32"/>
      <c r="G692" s="1340" t="s">
        <v>2706</v>
      </c>
      <c r="H692" s="66" t="str">
        <f>'BID II'!B2062</f>
        <v>Belanja Honorarium Petugas</v>
      </c>
      <c r="I692" s="32"/>
      <c r="J692" s="32"/>
      <c r="K692" s="470">
        <f>'BID II'!F2063+'BID II'!F2065</f>
        <v>39000000</v>
      </c>
      <c r="L692" s="66" t="s">
        <v>2626</v>
      </c>
      <c r="M692" s="175">
        <f>K692+K693</f>
        <v>194400000</v>
      </c>
    </row>
    <row r="693" spans="1:13" ht="30" x14ac:dyDescent="0.25">
      <c r="A693" s="32"/>
      <c r="B693" s="32"/>
      <c r="C693" s="32"/>
      <c r="D693" s="32"/>
      <c r="E693" s="32"/>
      <c r="F693" s="32"/>
      <c r="G693" s="1340" t="s">
        <v>2706</v>
      </c>
      <c r="H693" s="66" t="str">
        <f>'BID II'!B2062</f>
        <v>Belanja Honorarium Petugas</v>
      </c>
      <c r="I693" s="32"/>
      <c r="J693" s="32"/>
      <c r="K693" s="470">
        <f>'BID II'!F2064+'BID II'!F2066+'BID II'!F2067+'BID II'!F2068</f>
        <v>155400000</v>
      </c>
      <c r="L693" s="66" t="s">
        <v>1682</v>
      </c>
    </row>
    <row r="694" spans="1:13" ht="30" x14ac:dyDescent="0.25">
      <c r="A694" s="32"/>
      <c r="B694" s="32"/>
      <c r="C694" s="32"/>
      <c r="D694" s="32">
        <v>5</v>
      </c>
      <c r="E694" s="32">
        <v>2</v>
      </c>
      <c r="F694" s="32">
        <v>5</v>
      </c>
      <c r="G694" s="32"/>
      <c r="H694" s="66" t="str">
        <f>'BID II'!B2069</f>
        <v>Belanja Operasional pekantoran</v>
      </c>
      <c r="I694" s="32"/>
      <c r="J694" s="32"/>
      <c r="K694" s="470"/>
      <c r="L694" s="66"/>
    </row>
    <row r="695" spans="1:13" ht="30" x14ac:dyDescent="0.25">
      <c r="A695" s="32"/>
      <c r="B695" s="32"/>
      <c r="C695" s="32"/>
      <c r="D695" s="32"/>
      <c r="E695" s="32"/>
      <c r="F695" s="32"/>
      <c r="G695" s="1340" t="s">
        <v>2708</v>
      </c>
      <c r="H695" s="66" t="str">
        <f>'BID II'!B2070</f>
        <v>Belanja Berpanjang Ijin/Pajak</v>
      </c>
      <c r="I695" s="32"/>
      <c r="J695" s="32"/>
      <c r="K695" s="470">
        <f>SUM('BID II'!F2071:F2074)</f>
        <v>17700000</v>
      </c>
      <c r="L695" s="66" t="s">
        <v>1682</v>
      </c>
    </row>
    <row r="696" spans="1:13" x14ac:dyDescent="0.25">
      <c r="A696" s="32"/>
      <c r="B696" s="32"/>
      <c r="C696" s="32"/>
      <c r="D696" s="32">
        <v>5</v>
      </c>
      <c r="E696" s="32">
        <v>2</v>
      </c>
      <c r="F696" s="32">
        <v>6</v>
      </c>
      <c r="G696" s="32"/>
      <c r="H696" s="66" t="str">
        <f>'BID II'!B2075</f>
        <v>Belanja Pemeliharaan</v>
      </c>
      <c r="I696" s="32"/>
      <c r="J696" s="32"/>
      <c r="K696" s="470"/>
      <c r="L696" s="66"/>
    </row>
    <row r="697" spans="1:13" ht="45" x14ac:dyDescent="0.25">
      <c r="A697" s="32"/>
      <c r="B697" s="32"/>
      <c r="C697" s="32"/>
      <c r="D697" s="32"/>
      <c r="E697" s="32"/>
      <c r="F697" s="32"/>
      <c r="G697" s="1340" t="s">
        <v>2688</v>
      </c>
      <c r="H697" s="66" t="str">
        <f>'BID II'!B2076</f>
        <v>Belanja Pemeliharaan Mesin Dan Peralatan Berat</v>
      </c>
      <c r="I697" s="32"/>
      <c r="J697" s="32"/>
      <c r="K697" s="470">
        <f>'BID II'!F2077+'BID II'!F2078</f>
        <v>9000000</v>
      </c>
      <c r="L697" s="66" t="s">
        <v>1682</v>
      </c>
    </row>
    <row r="698" spans="1:13" ht="30" x14ac:dyDescent="0.25">
      <c r="A698" s="32"/>
      <c r="B698" s="32"/>
      <c r="C698" s="32"/>
      <c r="D698" s="32"/>
      <c r="E698" s="32"/>
      <c r="F698" s="32"/>
      <c r="G698" s="1340" t="s">
        <v>2702</v>
      </c>
      <c r="H698" s="66" t="str">
        <f>'BID II'!B2079</f>
        <v>Belanja Pemeliharaan Kendaraan Bermotor</v>
      </c>
      <c r="I698" s="32"/>
      <c r="J698" s="32"/>
      <c r="K698" s="470">
        <f>SUM('BID II'!F2080:F2088)</f>
        <v>69720000</v>
      </c>
      <c r="L698" s="66" t="s">
        <v>1682</v>
      </c>
    </row>
    <row r="699" spans="1:13" x14ac:dyDescent="0.25">
      <c r="A699" s="32"/>
      <c r="B699" s="32"/>
      <c r="C699" s="32"/>
      <c r="D699" s="32"/>
      <c r="E699" s="32"/>
      <c r="F699" s="32"/>
      <c r="G699" s="1340"/>
      <c r="H699" s="66" t="str">
        <f>'BID II'!B2090</f>
        <v>Oprasional TPS 3R</v>
      </c>
      <c r="I699" s="32"/>
      <c r="J699" s="32"/>
      <c r="K699" s="470"/>
      <c r="L699" s="66"/>
    </row>
    <row r="700" spans="1:13" x14ac:dyDescent="0.25">
      <c r="A700" s="32"/>
      <c r="B700" s="32"/>
      <c r="C700" s="32"/>
      <c r="D700" s="32">
        <v>5</v>
      </c>
      <c r="E700" s="32">
        <v>2</v>
      </c>
      <c r="F700" s="32"/>
      <c r="G700" s="1340"/>
      <c r="H700" s="66" t="str">
        <f>'BID II'!B2091</f>
        <v>Belanja Barang Jasa</v>
      </c>
      <c r="I700" s="32"/>
      <c r="J700" s="32"/>
      <c r="K700" s="470"/>
      <c r="L700" s="66"/>
    </row>
    <row r="701" spans="1:13" ht="30" x14ac:dyDescent="0.25">
      <c r="A701" s="32"/>
      <c r="B701" s="32"/>
      <c r="C701" s="32"/>
      <c r="D701" s="32"/>
      <c r="E701" s="32"/>
      <c r="F701" s="32">
        <v>1</v>
      </c>
      <c r="G701" s="1340"/>
      <c r="H701" s="66" t="str">
        <f>'BID II'!B2092</f>
        <v>Belanja Barang Perlengkapan</v>
      </c>
      <c r="I701" s="32"/>
      <c r="J701" s="32"/>
      <c r="K701" s="470"/>
      <c r="L701" s="66"/>
    </row>
    <row r="702" spans="1:13" ht="30" x14ac:dyDescent="0.25">
      <c r="A702" s="32"/>
      <c r="B702" s="32"/>
      <c r="C702" s="32"/>
      <c r="D702" s="32"/>
      <c r="E702" s="32"/>
      <c r="F702" s="32"/>
      <c r="G702" s="1340" t="s">
        <v>2688</v>
      </c>
      <c r="H702" s="66" t="str">
        <f>'BID II'!B2093</f>
        <v>Belanja Perlengkapan Alat Tulis Kantor</v>
      </c>
      <c r="I702" s="32"/>
      <c r="J702" s="32"/>
      <c r="K702" s="470">
        <f>SUM('BID II'!F2094:F2096)</f>
        <v>362000</v>
      </c>
      <c r="L702" s="66" t="s">
        <v>1682</v>
      </c>
    </row>
    <row r="703" spans="1:13" ht="60" x14ac:dyDescent="0.25">
      <c r="A703" s="32"/>
      <c r="B703" s="32"/>
      <c r="C703" s="32"/>
      <c r="D703" s="32"/>
      <c r="E703" s="32"/>
      <c r="F703" s="32"/>
      <c r="G703" s="1340" t="s">
        <v>2704</v>
      </c>
      <c r="H703" s="66" t="str">
        <f>'BID II'!B2097</f>
        <v>Belanja Bahan Bakar Minyak/Gas/Isi Ulang Tabung Pemadam Kebakaran</v>
      </c>
      <c r="I703" s="32"/>
      <c r="J703" s="32"/>
      <c r="K703" s="470">
        <f>SUM('BID II'!F2098:F2099)</f>
        <v>9240000</v>
      </c>
      <c r="L703" s="66" t="s">
        <v>1682</v>
      </c>
    </row>
    <row r="704" spans="1:13" ht="60" x14ac:dyDescent="0.25">
      <c r="A704" s="32"/>
      <c r="B704" s="32"/>
      <c r="C704" s="32"/>
      <c r="D704" s="32"/>
      <c r="E704" s="32"/>
      <c r="F704" s="32"/>
      <c r="G704" s="1340" t="s">
        <v>2703</v>
      </c>
      <c r="H704" s="66" t="str">
        <f>'BID II'!B2100</f>
        <v>Belanja Perlengkapan Alat-alat Rumah Tangga/Peralatan dan Bahan Kebersihan</v>
      </c>
      <c r="I704" s="32"/>
      <c r="J704" s="32"/>
      <c r="K704" s="470">
        <f>SUM('BID II'!F2101:F2109)</f>
        <v>2737200</v>
      </c>
      <c r="L704" s="66" t="s">
        <v>1682</v>
      </c>
    </row>
    <row r="705" spans="1:13" ht="30" x14ac:dyDescent="0.25">
      <c r="A705" s="32"/>
      <c r="B705" s="32"/>
      <c r="C705" s="32"/>
      <c r="D705" s="32"/>
      <c r="E705" s="32"/>
      <c r="F705" s="32"/>
      <c r="G705" s="1340">
        <v>90</v>
      </c>
      <c r="H705" s="66" t="str">
        <f>'BID II'!B2110</f>
        <v>Belanja Upakara, Upacara dan Aci aci</v>
      </c>
      <c r="I705" s="32"/>
      <c r="J705" s="32"/>
      <c r="K705" s="470">
        <f>SUM('BID II'!F2111:F2112)</f>
        <v>6675000</v>
      </c>
      <c r="L705" s="66" t="s">
        <v>1682</v>
      </c>
    </row>
    <row r="706" spans="1:13" x14ac:dyDescent="0.25">
      <c r="A706" s="32"/>
      <c r="B706" s="32"/>
      <c r="C706" s="32"/>
      <c r="D706" s="32"/>
      <c r="E706" s="32"/>
      <c r="F706" s="32"/>
      <c r="G706" s="1340" t="s">
        <v>2708</v>
      </c>
      <c r="H706" s="66" t="str">
        <f>'BID II'!B2113</f>
        <v>Belanja Bahan Material</v>
      </c>
      <c r="I706" s="32"/>
      <c r="J706" s="32"/>
      <c r="K706" s="470">
        <f>SUM('BID II'!F2114:F2126)</f>
        <v>8416500</v>
      </c>
      <c r="L706" s="66" t="s">
        <v>1682</v>
      </c>
    </row>
    <row r="707" spans="1:13" ht="30" x14ac:dyDescent="0.25">
      <c r="A707" s="32"/>
      <c r="B707" s="32"/>
      <c r="C707" s="32"/>
      <c r="D707" s="32"/>
      <c r="E707" s="32"/>
      <c r="F707" s="32"/>
      <c r="G707" s="1340">
        <v>12</v>
      </c>
      <c r="H707" s="66" t="str">
        <f>'BID II'!B2127</f>
        <v>Belanja Obat -obat Pertanian</v>
      </c>
      <c r="I707" s="32"/>
      <c r="J707" s="32"/>
      <c r="K707" s="470">
        <f>SUM('BID II'!F2128)</f>
        <v>1260000</v>
      </c>
      <c r="L707" s="66" t="s">
        <v>1682</v>
      </c>
    </row>
    <row r="708" spans="1:13" x14ac:dyDescent="0.25">
      <c r="A708" s="32"/>
      <c r="B708" s="32"/>
      <c r="C708" s="32"/>
      <c r="D708" s="32">
        <v>5</v>
      </c>
      <c r="E708" s="32">
        <v>2</v>
      </c>
      <c r="F708" s="32">
        <v>2</v>
      </c>
      <c r="G708" s="1340"/>
      <c r="H708" s="66" t="str">
        <f>'BID II'!B2129</f>
        <v>Belanja Honorarium</v>
      </c>
      <c r="I708" s="32"/>
      <c r="J708" s="32"/>
      <c r="K708" s="470"/>
      <c r="L708" s="66"/>
    </row>
    <row r="709" spans="1:13" ht="30" x14ac:dyDescent="0.25">
      <c r="A709" s="32"/>
      <c r="B709" s="32"/>
      <c r="C709" s="32"/>
      <c r="D709" s="32"/>
      <c r="E709" s="32"/>
      <c r="F709" s="32"/>
      <c r="G709" s="1340" t="s">
        <v>2688</v>
      </c>
      <c r="H709" s="66" t="str">
        <f>'BID II'!B2130</f>
        <v>Honor Tim Yang Melaksanakan Kegiatan</v>
      </c>
      <c r="I709" s="32"/>
      <c r="J709" s="32"/>
      <c r="K709" s="470">
        <f>SUM('BID II'!F2131:F2133)</f>
        <v>36000000</v>
      </c>
      <c r="L709" s="66" t="s">
        <v>1682</v>
      </c>
    </row>
    <row r="710" spans="1:13" x14ac:dyDescent="0.25">
      <c r="A710" s="32"/>
      <c r="B710" s="32"/>
      <c r="C710" s="32"/>
      <c r="D710" s="32"/>
      <c r="E710" s="32"/>
      <c r="F710" s="32"/>
      <c r="G710" s="1340" t="s">
        <v>2706</v>
      </c>
      <c r="H710" s="66" t="str">
        <f>'BID II'!B2134</f>
        <v>Honor Petugas</v>
      </c>
      <c r="I710" s="32"/>
      <c r="J710" s="32"/>
      <c r="K710" s="470">
        <f>SUM('BID II'!F2135)</f>
        <v>72000000</v>
      </c>
      <c r="L710" s="66" t="s">
        <v>1682</v>
      </c>
    </row>
    <row r="711" spans="1:13" ht="30" x14ac:dyDescent="0.25">
      <c r="A711" s="32"/>
      <c r="B711" s="32"/>
      <c r="C711" s="32"/>
      <c r="D711" s="32">
        <v>5</v>
      </c>
      <c r="E711" s="32">
        <v>2</v>
      </c>
      <c r="F711" s="32">
        <v>5</v>
      </c>
      <c r="G711" s="1340"/>
      <c r="H711" s="66" t="str">
        <f>'BID II'!B2136</f>
        <v>Belanja Operasional pekantoran</v>
      </c>
      <c r="I711" s="32"/>
      <c r="J711" s="32"/>
      <c r="K711" s="470"/>
      <c r="L711" s="66"/>
    </row>
    <row r="712" spans="1:13" x14ac:dyDescent="0.25">
      <c r="A712" s="32"/>
      <c r="B712" s="32"/>
      <c r="C712" s="32"/>
      <c r="D712" s="32"/>
      <c r="E712" s="32"/>
      <c r="F712" s="32"/>
      <c r="G712" s="1340" t="s">
        <v>2688</v>
      </c>
      <c r="H712" s="66" t="str">
        <f>'BID II'!B2137</f>
        <v>Belanja Langganan Listrik</v>
      </c>
      <c r="I712" s="32"/>
      <c r="J712" s="32"/>
      <c r="K712" s="470">
        <f>'BID II'!F2138</f>
        <v>6000000</v>
      </c>
      <c r="L712" s="66" t="s">
        <v>1682</v>
      </c>
    </row>
    <row r="713" spans="1:13" ht="30" x14ac:dyDescent="0.25">
      <c r="A713" s="32"/>
      <c r="B713" s="32"/>
      <c r="C713" s="32"/>
      <c r="D713" s="32"/>
      <c r="E713" s="32"/>
      <c r="F713" s="32"/>
      <c r="G713" s="1340" t="s">
        <v>2702</v>
      </c>
      <c r="H713" s="66" t="str">
        <f>'BID II'!B2139</f>
        <v>Belanja Langganan Air Bersih</v>
      </c>
      <c r="I713" s="32"/>
      <c r="J713" s="32"/>
      <c r="K713" s="470">
        <f>'BID II'!F2140</f>
        <v>480000</v>
      </c>
      <c r="L713" s="66" t="s">
        <v>1682</v>
      </c>
    </row>
    <row r="714" spans="1:13" x14ac:dyDescent="0.25">
      <c r="A714" s="32"/>
      <c r="B714" s="32"/>
      <c r="C714" s="32"/>
      <c r="D714" s="32">
        <v>5</v>
      </c>
      <c r="E714" s="32">
        <v>2</v>
      </c>
      <c r="F714" s="32">
        <v>6</v>
      </c>
      <c r="G714" s="1340"/>
      <c r="H714" s="66" t="str">
        <f>'BID II'!B2141</f>
        <v>Belanja Pemeliharaan</v>
      </c>
      <c r="I714" s="32"/>
      <c r="J714" s="32"/>
      <c r="K714" s="470"/>
      <c r="L714" s="66"/>
    </row>
    <row r="715" spans="1:13" ht="30" x14ac:dyDescent="0.25">
      <c r="A715" s="32"/>
      <c r="B715" s="32"/>
      <c r="C715" s="32"/>
      <c r="D715" s="32"/>
      <c r="E715" s="32"/>
      <c r="F715" s="32"/>
      <c r="G715" s="1340" t="s">
        <v>2688</v>
      </c>
      <c r="H715" s="66" t="str">
        <f>'BID II'!B2142</f>
        <v>Belanja Pemeliharaan Mesin dan alat berat</v>
      </c>
      <c r="I715" s="32"/>
      <c r="J715" s="32"/>
      <c r="K715" s="470">
        <f>SUM('BID II'!F2143)</f>
        <v>2000000</v>
      </c>
      <c r="L715" s="66" t="s">
        <v>1682</v>
      </c>
    </row>
    <row r="716" spans="1:13" ht="30" x14ac:dyDescent="0.25">
      <c r="A716" s="32"/>
      <c r="B716" s="32"/>
      <c r="C716" s="32"/>
      <c r="D716" s="32"/>
      <c r="E716" s="32"/>
      <c r="F716" s="32"/>
      <c r="G716" s="1340" t="s">
        <v>2702</v>
      </c>
      <c r="H716" s="66" t="str">
        <f>'BID II'!B2144</f>
        <v>Belanja Pemeliharaan Kendaraan Bermotor</v>
      </c>
      <c r="I716" s="32"/>
      <c r="J716" s="32"/>
      <c r="K716" s="470">
        <f>SUM('BID II'!F2145)</f>
        <v>3000000</v>
      </c>
      <c r="L716" s="66" t="s">
        <v>1682</v>
      </c>
    </row>
    <row r="717" spans="1:13" ht="75" x14ac:dyDescent="0.25">
      <c r="A717" s="1344">
        <v>2</v>
      </c>
      <c r="B717" s="1344">
        <v>4</v>
      </c>
      <c r="C717" s="1346" t="s">
        <v>2708</v>
      </c>
      <c r="D717" s="1344"/>
      <c r="E717" s="1344"/>
      <c r="F717" s="1344"/>
      <c r="G717" s="1344"/>
      <c r="H717" s="1345" t="str">
        <f>'BID II'!B2162</f>
        <v>: Pemeiliharaan Fasilitas Pengelolaan Sampah Desa/ Pemukiman ( Operasional Kegiatan Bank Sampah Desa)</v>
      </c>
      <c r="I717" s="1344"/>
      <c r="J717" s="1344"/>
      <c r="K717" s="1347">
        <f>SUM(K718:K726)</f>
        <v>38177800</v>
      </c>
      <c r="L717" s="1345" t="s">
        <v>3006</v>
      </c>
      <c r="M717" s="175">
        <f>'BID II'!F2195</f>
        <v>38177800</v>
      </c>
    </row>
    <row r="718" spans="1:13" x14ac:dyDescent="0.25">
      <c r="A718" s="32"/>
      <c r="B718" s="32"/>
      <c r="C718" s="32"/>
      <c r="D718" s="32">
        <v>5</v>
      </c>
      <c r="E718" s="32">
        <v>2</v>
      </c>
      <c r="F718" s="32"/>
      <c r="G718" s="32"/>
      <c r="H718" s="66" t="str">
        <f>'BID II'!B2167</f>
        <v>Belanja Barang Jasa :</v>
      </c>
      <c r="I718" s="32"/>
      <c r="J718" s="32"/>
      <c r="K718" s="470"/>
      <c r="L718" s="66"/>
    </row>
    <row r="719" spans="1:13" ht="30" x14ac:dyDescent="0.25">
      <c r="A719" s="32"/>
      <c r="B719" s="32"/>
      <c r="C719" s="32"/>
      <c r="D719" s="32"/>
      <c r="E719" s="32"/>
      <c r="F719" s="32">
        <v>1</v>
      </c>
      <c r="G719" s="32"/>
      <c r="H719" s="66" t="str">
        <f>'BID II'!B2168</f>
        <v>Belanja barang perlengkapan</v>
      </c>
      <c r="I719" s="32"/>
      <c r="J719" s="32"/>
      <c r="K719" s="470"/>
      <c r="L719" s="66"/>
    </row>
    <row r="720" spans="1:13" ht="30" x14ac:dyDescent="0.25">
      <c r="A720" s="32"/>
      <c r="B720" s="32"/>
      <c r="C720" s="32"/>
      <c r="D720" s="32"/>
      <c r="E720" s="32"/>
      <c r="F720" s="32"/>
      <c r="G720" s="1340" t="s">
        <v>2688</v>
      </c>
      <c r="H720" s="66" t="str">
        <f>'BID II'!B2169</f>
        <v>Belanja perlengkapan Cetak</v>
      </c>
      <c r="I720" s="32"/>
      <c r="J720" s="32"/>
      <c r="K720" s="470">
        <f>SUM('BID II'!F2170:F2171)</f>
        <v>2200000</v>
      </c>
      <c r="L720" s="66" t="s">
        <v>1690</v>
      </c>
    </row>
    <row r="721" spans="1:12" ht="30" x14ac:dyDescent="0.25">
      <c r="A721" s="32"/>
      <c r="B721" s="32"/>
      <c r="C721" s="32"/>
      <c r="D721" s="32"/>
      <c r="E721" s="32"/>
      <c r="F721" s="32"/>
      <c r="G721" s="1340" t="s">
        <v>2705</v>
      </c>
      <c r="H721" s="66" t="str">
        <f>'BID II'!B2173</f>
        <v>Belanja Perlengkapan Barang Konsumsi</v>
      </c>
      <c r="I721" s="32"/>
      <c r="J721" s="32"/>
      <c r="K721" s="174">
        <f>'BID II'!F2175</f>
        <v>3600000</v>
      </c>
      <c r="L721" s="66" t="s">
        <v>1690</v>
      </c>
    </row>
    <row r="722" spans="1:12" ht="27" customHeight="1" x14ac:dyDescent="0.25">
      <c r="A722" s="32"/>
      <c r="B722" s="32"/>
      <c r="C722" s="32"/>
      <c r="D722" s="32"/>
      <c r="E722" s="32"/>
      <c r="F722" s="32"/>
      <c r="G722" s="1340" t="s">
        <v>2705</v>
      </c>
      <c r="H722" s="66" t="str">
        <f>'BID II'!B2173</f>
        <v>Belanja Perlengkapan Barang Konsumsi</v>
      </c>
      <c r="I722" s="32"/>
      <c r="J722" s="32"/>
      <c r="K722" s="174">
        <f>'BID II'!F2174</f>
        <v>10440000</v>
      </c>
      <c r="L722" s="66" t="s">
        <v>1682</v>
      </c>
    </row>
    <row r="723" spans="1:12" x14ac:dyDescent="0.25">
      <c r="A723" s="32"/>
      <c r="B723" s="32"/>
      <c r="C723" s="32"/>
      <c r="D723" s="32"/>
      <c r="E723" s="32"/>
      <c r="F723" s="32"/>
      <c r="G723" s="1340" t="s">
        <v>2708</v>
      </c>
      <c r="H723" s="32" t="str">
        <f>'BID II'!B2177</f>
        <v>Belanja Bahan Dan Alat</v>
      </c>
      <c r="I723" s="32"/>
      <c r="J723" s="32"/>
      <c r="K723" s="174">
        <f>SUM('BID II'!F2179:F2190)</f>
        <v>9547800</v>
      </c>
      <c r="L723" s="66" t="s">
        <v>1690</v>
      </c>
    </row>
    <row r="724" spans="1:12" x14ac:dyDescent="0.25">
      <c r="A724" s="32"/>
      <c r="B724" s="32"/>
      <c r="C724" s="32"/>
      <c r="D724" s="32"/>
      <c r="E724" s="32"/>
      <c r="F724" s="32"/>
      <c r="G724" s="1340" t="s">
        <v>2708</v>
      </c>
      <c r="H724" s="32" t="str">
        <f>'BID II'!B2177</f>
        <v>Belanja Bahan Dan Alat</v>
      </c>
      <c r="I724" s="32"/>
      <c r="J724" s="32"/>
      <c r="K724" s="174">
        <f>'BID II'!F2178</f>
        <v>390000</v>
      </c>
      <c r="L724" s="66" t="s">
        <v>1682</v>
      </c>
    </row>
    <row r="725" spans="1:12" x14ac:dyDescent="0.25">
      <c r="A725" s="32"/>
      <c r="B725" s="32"/>
      <c r="C725" s="32"/>
      <c r="D725" s="32">
        <v>5</v>
      </c>
      <c r="E725" s="32">
        <v>2</v>
      </c>
      <c r="F725" s="32">
        <v>2</v>
      </c>
      <c r="G725" s="32"/>
      <c r="H725" s="32" t="str">
        <f>'BID II'!B2191</f>
        <v>Belanja Honorarium</v>
      </c>
      <c r="I725" s="32"/>
      <c r="J725" s="32"/>
      <c r="K725" s="32"/>
      <c r="L725" s="66"/>
    </row>
    <row r="726" spans="1:12" x14ac:dyDescent="0.25">
      <c r="A726" s="32"/>
      <c r="B726" s="32"/>
      <c r="C726" s="32"/>
      <c r="D726" s="32"/>
      <c r="E726" s="32"/>
      <c r="F726" s="32"/>
      <c r="G726" s="1340" t="s">
        <v>2706</v>
      </c>
      <c r="H726" s="32" t="str">
        <f>'BID II'!B2192</f>
        <v>Belanja Honor Petugas</v>
      </c>
      <c r="I726" s="32"/>
      <c r="J726" s="32"/>
      <c r="K726" s="174">
        <f>SUM('BID II'!F2193)</f>
        <v>12000000</v>
      </c>
      <c r="L726" s="66" t="s">
        <v>1690</v>
      </c>
    </row>
    <row r="727" spans="1:12" ht="30" x14ac:dyDescent="0.25">
      <c r="A727" s="1344">
        <v>2</v>
      </c>
      <c r="B727" s="1344">
        <v>4</v>
      </c>
      <c r="C727" s="1346" t="s">
        <v>2708</v>
      </c>
      <c r="D727" s="1344"/>
      <c r="E727" s="1344"/>
      <c r="F727" s="1344"/>
      <c r="G727" s="1344"/>
      <c r="H727" s="1345" t="str">
        <f>'BID II'!B2209</f>
        <v>: Operasional Tim Kebersihan Lingkungan</v>
      </c>
      <c r="I727" s="1344"/>
      <c r="J727" s="1344"/>
      <c r="K727" s="1347">
        <f>SUM(K728:K736)</f>
        <v>110956000</v>
      </c>
      <c r="L727" s="1345" t="s">
        <v>2620</v>
      </c>
    </row>
    <row r="728" spans="1:12" x14ac:dyDescent="0.25">
      <c r="A728" s="32"/>
      <c r="B728" s="32"/>
      <c r="C728" s="32"/>
      <c r="D728" s="32">
        <v>5</v>
      </c>
      <c r="E728" s="32">
        <v>2</v>
      </c>
      <c r="F728" s="32"/>
      <c r="G728" s="32"/>
      <c r="H728" s="66" t="str">
        <f>'BID II'!B2214</f>
        <v>Belanja Barang dan Jasa :</v>
      </c>
      <c r="I728" s="32"/>
      <c r="J728" s="32"/>
      <c r="K728" s="470"/>
      <c r="L728" s="66"/>
    </row>
    <row r="729" spans="1:12" ht="30" x14ac:dyDescent="0.25">
      <c r="A729" s="32"/>
      <c r="B729" s="32"/>
      <c r="C729" s="32"/>
      <c r="D729" s="32"/>
      <c r="E729" s="32"/>
      <c r="F729" s="32">
        <v>1</v>
      </c>
      <c r="G729" s="32"/>
      <c r="H729" s="66" t="str">
        <f>'BID II'!B2215</f>
        <v>Belanja Barang Perlengkapan</v>
      </c>
      <c r="I729" s="32"/>
      <c r="J729" s="32"/>
      <c r="K729" s="470"/>
      <c r="L729" s="66"/>
    </row>
    <row r="730" spans="1:12" ht="60" x14ac:dyDescent="0.25">
      <c r="A730" s="32"/>
      <c r="B730" s="32"/>
      <c r="C730" s="32"/>
      <c r="D730" s="32"/>
      <c r="E730" s="32"/>
      <c r="F730" s="32"/>
      <c r="G730" s="1340" t="s">
        <v>2704</v>
      </c>
      <c r="H730" s="66" t="str">
        <f>'BID II'!B2216</f>
        <v>Belanja Bahan Bakar Minyak/Gas/Isi Ulang Tabung Pemadam Kebakaran</v>
      </c>
      <c r="I730" s="32"/>
      <c r="J730" s="32"/>
      <c r="K730" s="470">
        <f>SUM('BID II'!F2217)</f>
        <v>3600000</v>
      </c>
      <c r="L730" s="66" t="s">
        <v>2620</v>
      </c>
    </row>
    <row r="731" spans="1:12" x14ac:dyDescent="0.25">
      <c r="A731" s="32"/>
      <c r="B731" s="32"/>
      <c r="C731" s="32"/>
      <c r="D731" s="32"/>
      <c r="E731" s="32"/>
      <c r="F731" s="32"/>
      <c r="G731" s="1340" t="s">
        <v>2708</v>
      </c>
      <c r="H731" s="32" t="str">
        <f>'BID II'!B2218</f>
        <v>Belanja Bahan Dan Alat</v>
      </c>
      <c r="I731" s="32"/>
      <c r="J731" s="32"/>
      <c r="K731" s="470">
        <f>SUM('BID II'!F2219:F2221)</f>
        <v>8756000</v>
      </c>
      <c r="L731" s="66" t="s">
        <v>2620</v>
      </c>
    </row>
    <row r="732" spans="1:12" x14ac:dyDescent="0.25">
      <c r="A732" s="32"/>
      <c r="B732" s="32"/>
      <c r="C732" s="32"/>
      <c r="D732" s="32"/>
      <c r="E732" s="32"/>
      <c r="F732" s="32"/>
      <c r="G732" s="1340" t="s">
        <v>2709</v>
      </c>
      <c r="H732" s="32" t="str">
        <f>'BID II'!B2222</f>
        <v>Belanja atribut pakaian</v>
      </c>
      <c r="I732" s="32"/>
      <c r="J732" s="32"/>
      <c r="K732" s="470">
        <f>SUM('BID II'!F2223:F2227)</f>
        <v>3120000</v>
      </c>
      <c r="L732" s="66" t="s">
        <v>2620</v>
      </c>
    </row>
    <row r="733" spans="1:12" x14ac:dyDescent="0.25">
      <c r="A733" s="32"/>
      <c r="B733" s="32"/>
      <c r="C733" s="32"/>
      <c r="D733" s="32">
        <v>5</v>
      </c>
      <c r="E733" s="32">
        <v>2</v>
      </c>
      <c r="F733" s="32">
        <v>2</v>
      </c>
      <c r="G733" s="32"/>
      <c r="H733" s="32" t="str">
        <f>'BID II'!B2228</f>
        <v>Belanja Jasa Honor</v>
      </c>
      <c r="I733" s="32"/>
      <c r="J733" s="32"/>
      <c r="K733" s="470"/>
      <c r="L733" s="66"/>
    </row>
    <row r="734" spans="1:12" ht="30" x14ac:dyDescent="0.25">
      <c r="A734" s="32"/>
      <c r="B734" s="32"/>
      <c r="C734" s="32"/>
      <c r="D734" s="32"/>
      <c r="E734" s="32"/>
      <c r="F734" s="32"/>
      <c r="G734" s="1340" t="s">
        <v>2704</v>
      </c>
      <c r="H734" s="66" t="str">
        <f>'BID II'!B2229</f>
        <v>Belanja Honorarium Petugas</v>
      </c>
      <c r="I734" s="32"/>
      <c r="J734" s="32"/>
      <c r="K734" s="470">
        <f>SUM('BID II'!F2230:F2235)</f>
        <v>89600000</v>
      </c>
      <c r="L734" s="66" t="s">
        <v>2620</v>
      </c>
    </row>
    <row r="735" spans="1:12" x14ac:dyDescent="0.25">
      <c r="A735" s="32"/>
      <c r="B735" s="32"/>
      <c r="C735" s="32"/>
      <c r="D735" s="32">
        <v>5</v>
      </c>
      <c r="E735" s="32">
        <v>2</v>
      </c>
      <c r="F735" s="32">
        <v>6</v>
      </c>
      <c r="G735" s="32"/>
      <c r="H735" s="66" t="str">
        <f>'BID II'!B2237</f>
        <v>Belanja Pemeliharaan</v>
      </c>
      <c r="I735" s="32"/>
      <c r="J735" s="32"/>
      <c r="K735" s="470"/>
      <c r="L735" s="66"/>
    </row>
    <row r="736" spans="1:12" ht="30" x14ac:dyDescent="0.25">
      <c r="A736" s="32"/>
      <c r="B736" s="32"/>
      <c r="C736" s="32"/>
      <c r="D736" s="32"/>
      <c r="E736" s="32"/>
      <c r="F736" s="32"/>
      <c r="G736" s="1340" t="s">
        <v>2688</v>
      </c>
      <c r="H736" s="66" t="str">
        <f>'BID II'!B2238</f>
        <v>Belanja Pemeliharaan Peralatan</v>
      </c>
      <c r="I736" s="32"/>
      <c r="J736" s="32"/>
      <c r="K736" s="470">
        <f>SUM('BID II'!F2239:F2241)</f>
        <v>5880000</v>
      </c>
      <c r="L736" s="66" t="s">
        <v>2620</v>
      </c>
    </row>
    <row r="737" spans="1:14" ht="75" x14ac:dyDescent="0.25">
      <c r="A737" s="1344">
        <v>2</v>
      </c>
      <c r="B737" s="1344">
        <v>4</v>
      </c>
      <c r="C737" s="1346" t="s">
        <v>2709</v>
      </c>
      <c r="D737" s="1344"/>
      <c r="E737" s="1344"/>
      <c r="F737" s="1344"/>
      <c r="G737" s="1344"/>
      <c r="H737" s="1345" t="str">
        <f>'BID II'!B2257</f>
        <v>Pemeliharaan taman Milik Desa (Biopori dan Penataan Taman di Patung Petani, depan kertapala)</v>
      </c>
      <c r="I737" s="1344"/>
      <c r="J737" s="1344"/>
      <c r="K737" s="1347">
        <f>SUM(K738:K742)</f>
        <v>43645000</v>
      </c>
      <c r="L737" s="1345" t="s">
        <v>2626</v>
      </c>
    </row>
    <row r="738" spans="1:14" x14ac:dyDescent="0.25">
      <c r="A738" s="32"/>
      <c r="B738" s="32"/>
      <c r="C738" s="32"/>
      <c r="D738" s="32">
        <v>5</v>
      </c>
      <c r="E738" s="32">
        <v>3</v>
      </c>
      <c r="F738" s="32"/>
      <c r="G738" s="32"/>
      <c r="H738" s="66" t="str">
        <f>'BID II'!B2263</f>
        <v xml:space="preserve">Belanja Modal </v>
      </c>
      <c r="I738" s="32"/>
      <c r="J738" s="32"/>
      <c r="K738" s="470"/>
      <c r="L738" s="66"/>
    </row>
    <row r="739" spans="1:14" ht="30" x14ac:dyDescent="0.25">
      <c r="A739" s="32"/>
      <c r="B739" s="32"/>
      <c r="C739" s="32"/>
      <c r="D739" s="32"/>
      <c r="E739" s="32"/>
      <c r="F739" s="32">
        <v>4</v>
      </c>
      <c r="G739" s="32"/>
      <c r="H739" s="66" t="str">
        <f>'BID II'!B2264</f>
        <v>Belanja Modal Gedung Bangunan dan Taman</v>
      </c>
      <c r="I739" s="32"/>
      <c r="J739" s="32"/>
      <c r="K739" s="470"/>
      <c r="L739" s="66"/>
    </row>
    <row r="740" spans="1:14" ht="30" x14ac:dyDescent="0.25">
      <c r="A740" s="32"/>
      <c r="B740" s="32"/>
      <c r="C740" s="32"/>
      <c r="D740" s="32"/>
      <c r="E740" s="32"/>
      <c r="F740" s="32"/>
      <c r="G740" s="1340" t="s">
        <v>2688</v>
      </c>
      <c r="H740" s="66" t="str">
        <f>'BID II'!B2265</f>
        <v>Honorarium Tim Yang Melaksanakan Kegiatan</v>
      </c>
      <c r="I740" s="32"/>
      <c r="J740" s="32"/>
      <c r="K740" s="470">
        <f>SUM('BID II'!F2267)</f>
        <v>855000</v>
      </c>
      <c r="L740" s="66" t="s">
        <v>2626</v>
      </c>
    </row>
    <row r="741" spans="1:14" ht="30" x14ac:dyDescent="0.25">
      <c r="A741" s="32"/>
      <c r="B741" s="32"/>
      <c r="C741" s="32"/>
      <c r="D741" s="32"/>
      <c r="E741" s="32"/>
      <c r="F741" s="32"/>
      <c r="G741" s="1340" t="s">
        <v>2702</v>
      </c>
      <c r="H741" s="32" t="str">
        <f>'BID II'!B2268</f>
        <v>Belanja Upah</v>
      </c>
      <c r="I741" s="32"/>
      <c r="J741" s="32"/>
      <c r="K741" s="470">
        <f>'BID II'!F2270</f>
        <v>650000</v>
      </c>
      <c r="L741" s="66" t="s">
        <v>2626</v>
      </c>
    </row>
    <row r="742" spans="1:14" ht="30" x14ac:dyDescent="0.25">
      <c r="A742" s="32"/>
      <c r="B742" s="32"/>
      <c r="C742" s="32"/>
      <c r="D742" s="32"/>
      <c r="E742" s="32"/>
      <c r="F742" s="32"/>
      <c r="G742" s="1340" t="s">
        <v>2703</v>
      </c>
      <c r="H742" s="32" t="str">
        <f>'BID II'!B2271</f>
        <v>Bahan Baku</v>
      </c>
      <c r="I742" s="32"/>
      <c r="J742" s="32"/>
      <c r="K742" s="470">
        <f>'BID II'!F2279</f>
        <v>42140000</v>
      </c>
      <c r="L742" s="66" t="s">
        <v>2626</v>
      </c>
    </row>
    <row r="743" spans="1:14" ht="75" x14ac:dyDescent="0.25">
      <c r="A743" s="1344">
        <v>2</v>
      </c>
      <c r="B743" s="1344">
        <v>6</v>
      </c>
      <c r="C743" s="1346" t="s">
        <v>2702</v>
      </c>
      <c r="D743" s="1344"/>
      <c r="E743" s="1344"/>
      <c r="F743" s="1344"/>
      <c r="G743" s="1344"/>
      <c r="H743" s="1345" t="str">
        <f>'BID II'!B2296</f>
        <v>: Penyelenggaraan Informasi Publik Desa ( Pembuatan dan Pemasangan Baliho APBDesa )</v>
      </c>
      <c r="I743" s="1344"/>
      <c r="J743" s="1344"/>
      <c r="K743" s="1349">
        <f>K746</f>
        <v>3000000</v>
      </c>
      <c r="L743" s="1345" t="s">
        <v>2626</v>
      </c>
    </row>
    <row r="744" spans="1:14" x14ac:dyDescent="0.25">
      <c r="A744" s="32"/>
      <c r="B744" s="32"/>
      <c r="C744" s="32"/>
      <c r="D744" s="32">
        <v>5</v>
      </c>
      <c r="E744" s="32">
        <v>2</v>
      </c>
      <c r="F744" s="32"/>
      <c r="G744" s="32"/>
      <c r="H744" s="66" t="str">
        <f>'BID II'!B2302</f>
        <v>Belanja Barang Jasa</v>
      </c>
      <c r="I744" s="32"/>
      <c r="J744" s="32"/>
      <c r="K744" s="32"/>
      <c r="L744" s="66"/>
    </row>
    <row r="745" spans="1:14" ht="30" x14ac:dyDescent="0.25">
      <c r="A745" s="32"/>
      <c r="B745" s="32"/>
      <c r="C745" s="32"/>
      <c r="D745" s="32"/>
      <c r="E745" s="32"/>
      <c r="F745" s="32">
        <v>1</v>
      </c>
      <c r="G745" s="32"/>
      <c r="H745" s="66" t="str">
        <f>'BID II'!B2303</f>
        <v>Belanaj Barang Perlengkapan</v>
      </c>
      <c r="I745" s="32"/>
      <c r="J745" s="32"/>
      <c r="K745" s="32"/>
      <c r="L745" s="66"/>
    </row>
    <row r="746" spans="1:14" ht="45" x14ac:dyDescent="0.25">
      <c r="A746" s="32"/>
      <c r="B746" s="32"/>
      <c r="C746" s="32"/>
      <c r="D746" s="32"/>
      <c r="E746" s="32"/>
      <c r="F746" s="32"/>
      <c r="G746" s="1340" t="s">
        <v>2706</v>
      </c>
      <c r="H746" s="66" t="str">
        <f>'BID II'!B2304</f>
        <v>Belanja perlengkapan cetak/ pengadaan (Baliho APBDes)</v>
      </c>
      <c r="I746" s="32"/>
      <c r="J746" s="32"/>
      <c r="K746" s="174">
        <f>SUM('BID II'!F2304)</f>
        <v>3000000</v>
      </c>
      <c r="L746" s="66" t="s">
        <v>2626</v>
      </c>
    </row>
    <row r="747" spans="1:14" ht="30" x14ac:dyDescent="0.25">
      <c r="A747" s="1342">
        <v>3</v>
      </c>
      <c r="B747" s="1342"/>
      <c r="C747" s="1342"/>
      <c r="D747" s="1342"/>
      <c r="E747" s="1342"/>
      <c r="F747" s="1342"/>
      <c r="G747" s="1342"/>
      <c r="H747" s="1343" t="str">
        <f>'BID III'!B27</f>
        <v>: Pembinaan Kemasyarakatan Desa</v>
      </c>
      <c r="I747" s="1342"/>
      <c r="J747" s="1342"/>
      <c r="K747" s="1351">
        <f>K749+K757+K765+K775+K785+K795+K816+K820+K824+K829+K834+K841+K845+K849+K862+K893+K904+K908+K935+K943+K952</f>
        <v>1865337418</v>
      </c>
      <c r="L747" s="1343"/>
      <c r="M747" s="451">
        <f>Hitungan!X7</f>
        <v>1865337418</v>
      </c>
      <c r="N747" s="175">
        <f>M747-K747</f>
        <v>0</v>
      </c>
    </row>
    <row r="748" spans="1:14" ht="45" x14ac:dyDescent="0.25">
      <c r="A748" s="1344"/>
      <c r="B748" s="1344"/>
      <c r="C748" s="1344"/>
      <c r="D748" s="1344"/>
      <c r="E748" s="1344"/>
      <c r="F748" s="1344"/>
      <c r="G748" s="1344"/>
      <c r="H748" s="1345" t="str">
        <f>'BID III'!B28</f>
        <v>: Ketentraman, Ketertiban Umum, dan Perlindungan Masyarakat</v>
      </c>
      <c r="I748" s="1344"/>
      <c r="J748" s="1344"/>
      <c r="K748" s="1344"/>
      <c r="L748" s="1345"/>
      <c r="M748" s="175">
        <f>K747-M747</f>
        <v>0</v>
      </c>
    </row>
    <row r="749" spans="1:14" ht="75" x14ac:dyDescent="0.25">
      <c r="A749" s="1344">
        <v>3</v>
      </c>
      <c r="B749" s="1344">
        <v>1</v>
      </c>
      <c r="C749" s="1346" t="s">
        <v>2703</v>
      </c>
      <c r="D749" s="1344"/>
      <c r="E749" s="1344"/>
      <c r="F749" s="1344"/>
      <c r="G749" s="1344"/>
      <c r="H749" s="1345" t="str">
        <f>'BID III'!B29</f>
        <v>:Koordinasi Pembinaan Ketentraman, Ketertiban, dan Perlindungan Masyarakat (Pengamanan Pengerupukan)</v>
      </c>
      <c r="I749" s="1344"/>
      <c r="J749" s="1344"/>
      <c r="K749" s="1347">
        <f>SUM(K750:K756)</f>
        <v>7040000</v>
      </c>
      <c r="L749" s="1345" t="s">
        <v>1682</v>
      </c>
    </row>
    <row r="750" spans="1:14" x14ac:dyDescent="0.25">
      <c r="A750" s="32"/>
      <c r="B750" s="32"/>
      <c r="C750" s="32"/>
      <c r="D750" s="32">
        <v>5</v>
      </c>
      <c r="E750" s="32">
        <v>2</v>
      </c>
      <c r="F750" s="32"/>
      <c r="G750" s="32"/>
      <c r="H750" s="66" t="str">
        <f>'BID III'!B35</f>
        <v>Belanja Barang dan Jasa</v>
      </c>
      <c r="I750" s="32"/>
      <c r="J750" s="32"/>
      <c r="K750" s="32"/>
      <c r="L750" s="66"/>
    </row>
    <row r="751" spans="1:14" ht="30" x14ac:dyDescent="0.25">
      <c r="A751" s="32"/>
      <c r="B751" s="32"/>
      <c r="C751" s="32"/>
      <c r="D751" s="32"/>
      <c r="E751" s="32"/>
      <c r="F751" s="32">
        <v>1</v>
      </c>
      <c r="G751" s="32"/>
      <c r="H751" s="66" t="str">
        <f>'BID III'!B36</f>
        <v>Belanja Barang Perlengkapan</v>
      </c>
      <c r="I751" s="32"/>
      <c r="J751" s="32"/>
      <c r="K751" s="32"/>
      <c r="L751" s="66"/>
    </row>
    <row r="752" spans="1:14" ht="30" x14ac:dyDescent="0.25">
      <c r="A752" s="32"/>
      <c r="B752" s="32"/>
      <c r="C752" s="32"/>
      <c r="D752" s="32"/>
      <c r="E752" s="32"/>
      <c r="F752" s="32"/>
      <c r="G752" s="1340" t="s">
        <v>2705</v>
      </c>
      <c r="H752" s="66" t="str">
        <f>'BID III'!B37</f>
        <v>Belanja Perlengkapan Barang Konsumsi</v>
      </c>
      <c r="I752" s="32"/>
      <c r="J752" s="32"/>
      <c r="K752" s="513">
        <f>SUM('BID III'!F38:F39)</f>
        <v>3375000</v>
      </c>
      <c r="L752" s="66" t="s">
        <v>1682</v>
      </c>
    </row>
    <row r="753" spans="1:13" x14ac:dyDescent="0.25">
      <c r="A753" s="32"/>
      <c r="B753" s="32"/>
      <c r="C753" s="32"/>
      <c r="D753" s="32"/>
      <c r="E753" s="32"/>
      <c r="F753" s="32"/>
      <c r="G753" s="1340" t="s">
        <v>2708</v>
      </c>
      <c r="H753" s="66" t="str">
        <f>'BID III'!B40</f>
        <v>Belanaja Bahan Meterial</v>
      </c>
      <c r="I753" s="32"/>
      <c r="J753" s="32"/>
      <c r="K753" s="32"/>
      <c r="L753" s="66"/>
    </row>
    <row r="754" spans="1:13" ht="30" x14ac:dyDescent="0.25">
      <c r="A754" s="32"/>
      <c r="B754" s="32"/>
      <c r="C754" s="32"/>
      <c r="D754" s="32"/>
      <c r="E754" s="32"/>
      <c r="F754" s="32"/>
      <c r="G754" s="32">
        <v>90</v>
      </c>
      <c r="H754" s="66" t="str">
        <f>'BID III'!B41</f>
        <v>Belanja Upakara, Upacara Dan Aci</v>
      </c>
      <c r="I754" s="32"/>
      <c r="J754" s="32"/>
      <c r="K754" s="513">
        <f>SUM('BID III'!F42:F44)</f>
        <v>65000</v>
      </c>
      <c r="L754" s="66" t="s">
        <v>1682</v>
      </c>
    </row>
    <row r="755" spans="1:13" x14ac:dyDescent="0.25">
      <c r="A755" s="32"/>
      <c r="B755" s="32"/>
      <c r="C755" s="32"/>
      <c r="D755" s="32">
        <v>5</v>
      </c>
      <c r="E755" s="32">
        <v>2</v>
      </c>
      <c r="F755" s="32">
        <v>2</v>
      </c>
      <c r="G755" s="32"/>
      <c r="H755" s="66" t="str">
        <f>'BID III'!B45</f>
        <v>Belanja Jasa Honorarium</v>
      </c>
      <c r="I755" s="32"/>
      <c r="J755" s="32"/>
      <c r="K755" s="32"/>
      <c r="L755" s="66"/>
    </row>
    <row r="756" spans="1:13" ht="30" x14ac:dyDescent="0.25">
      <c r="A756" s="32"/>
      <c r="B756" s="32"/>
      <c r="C756" s="32"/>
      <c r="D756" s="32"/>
      <c r="E756" s="32"/>
      <c r="F756" s="32"/>
      <c r="G756" s="1340" t="s">
        <v>2706</v>
      </c>
      <c r="H756" s="66" t="str">
        <f>'BID III'!B46</f>
        <v>Belanja Jasa Honorarium Petugas</v>
      </c>
      <c r="I756" s="32"/>
      <c r="J756" s="32"/>
      <c r="K756" s="513">
        <f>SUM('BID III'!F46)</f>
        <v>3600000</v>
      </c>
      <c r="L756" s="66" t="s">
        <v>1682</v>
      </c>
    </row>
    <row r="757" spans="1:13" ht="75" x14ac:dyDescent="0.25">
      <c r="A757" s="1344">
        <v>3</v>
      </c>
      <c r="B757" s="1344">
        <v>1</v>
      </c>
      <c r="C757" s="1346" t="s">
        <v>2702</v>
      </c>
      <c r="D757" s="1344"/>
      <c r="E757" s="1344"/>
      <c r="F757" s="1344"/>
      <c r="G757" s="1344"/>
      <c r="H757" s="1345" t="str">
        <f>'BID III'!B62</f>
        <v>: Koordinasi Pembinaan Ketentraman, Ketertiban, dan Perlindungan Masyarakat (Pengamanan Tahun Baru)</v>
      </c>
      <c r="I757" s="1344"/>
      <c r="J757" s="1344"/>
      <c r="K757" s="1347">
        <f>SUM(K758:K764)</f>
        <v>8540000</v>
      </c>
      <c r="L757" s="1345" t="s">
        <v>2626</v>
      </c>
    </row>
    <row r="758" spans="1:13" x14ac:dyDescent="0.25">
      <c r="A758" s="32"/>
      <c r="B758" s="32"/>
      <c r="C758" s="32"/>
      <c r="D758" s="32">
        <v>5</v>
      </c>
      <c r="E758" s="32">
        <v>2</v>
      </c>
      <c r="F758" s="32"/>
      <c r="G758" s="32"/>
      <c r="H758" s="66" t="str">
        <f>'BID III'!B68</f>
        <v>Belanja Barang dan Jasa</v>
      </c>
      <c r="I758" s="32"/>
      <c r="J758" s="32"/>
      <c r="K758" s="32"/>
      <c r="L758" s="66"/>
    </row>
    <row r="759" spans="1:13" ht="30" x14ac:dyDescent="0.25">
      <c r="A759" s="32"/>
      <c r="B759" s="32"/>
      <c r="C759" s="32"/>
      <c r="D759" s="32"/>
      <c r="E759" s="32"/>
      <c r="F759" s="32">
        <v>1</v>
      </c>
      <c r="G759" s="32"/>
      <c r="H759" s="66" t="str">
        <f>'BID III'!B69</f>
        <v>Belanja Barang Perlengkapan</v>
      </c>
      <c r="I759" s="32"/>
      <c r="J759" s="32"/>
      <c r="K759" s="32"/>
      <c r="L759" s="66"/>
    </row>
    <row r="760" spans="1:13" ht="30" x14ac:dyDescent="0.25">
      <c r="A760" s="32"/>
      <c r="B760" s="32"/>
      <c r="C760" s="32"/>
      <c r="D760" s="32"/>
      <c r="E760" s="32"/>
      <c r="F760" s="32"/>
      <c r="G760" s="1340" t="s">
        <v>2705</v>
      </c>
      <c r="H760" s="66" t="str">
        <f>'BID III'!B70</f>
        <v>Belanja Perlengkapan Barang Konsumsi</v>
      </c>
      <c r="I760" s="32"/>
      <c r="J760" s="32"/>
      <c r="K760" s="513">
        <f>SUM('BID III'!F71:F72)</f>
        <v>3375000</v>
      </c>
      <c r="L760" s="66" t="s">
        <v>2626</v>
      </c>
    </row>
    <row r="761" spans="1:13" x14ac:dyDescent="0.25">
      <c r="A761" s="32"/>
      <c r="B761" s="32"/>
      <c r="C761" s="32"/>
      <c r="D761" s="32"/>
      <c r="E761" s="32"/>
      <c r="F761" s="32"/>
      <c r="G761" s="1340" t="s">
        <v>2708</v>
      </c>
      <c r="H761" s="66" t="str">
        <f>'BID III'!B73</f>
        <v>Belanaja Bahan Meterial</v>
      </c>
      <c r="I761" s="32"/>
      <c r="J761" s="32"/>
      <c r="K761" s="32"/>
      <c r="L761" s="66"/>
    </row>
    <row r="762" spans="1:13" ht="30" x14ac:dyDescent="0.25">
      <c r="A762" s="32"/>
      <c r="B762" s="32"/>
      <c r="C762" s="32"/>
      <c r="D762" s="32"/>
      <c r="E762" s="32"/>
      <c r="F762" s="32"/>
      <c r="G762" s="32">
        <v>90</v>
      </c>
      <c r="H762" s="66" t="str">
        <f>'BID III'!B74</f>
        <v>Belanja Upakara, Upacara Dan Aci</v>
      </c>
      <c r="I762" s="32"/>
      <c r="J762" s="32"/>
      <c r="K762" s="513">
        <f>SUM('BID III'!F75:F77)</f>
        <v>65000</v>
      </c>
      <c r="L762" s="66" t="s">
        <v>2626</v>
      </c>
    </row>
    <row r="763" spans="1:13" x14ac:dyDescent="0.25">
      <c r="A763" s="32"/>
      <c r="B763" s="32"/>
      <c r="C763" s="32"/>
      <c r="D763" s="32">
        <v>5</v>
      </c>
      <c r="E763" s="32">
        <v>2</v>
      </c>
      <c r="F763" s="32">
        <v>2</v>
      </c>
      <c r="G763" s="32"/>
      <c r="H763" s="66" t="str">
        <f>'BID III'!B78</f>
        <v>Belanja Jasa Honorarium</v>
      </c>
      <c r="I763" s="32"/>
      <c r="J763" s="32"/>
      <c r="K763" s="32"/>
      <c r="L763" s="66"/>
    </row>
    <row r="764" spans="1:13" ht="30" x14ac:dyDescent="0.25">
      <c r="A764" s="32"/>
      <c r="B764" s="32"/>
      <c r="C764" s="32"/>
      <c r="D764" s="32"/>
      <c r="E764" s="32"/>
      <c r="F764" s="32"/>
      <c r="G764" s="1340" t="s">
        <v>2704</v>
      </c>
      <c r="H764" s="66" t="str">
        <f>'BID III'!B79</f>
        <v>Belanja Jasa Honorarium Petugas</v>
      </c>
      <c r="I764" s="32"/>
      <c r="J764" s="32"/>
      <c r="K764" s="513">
        <f>'BID III'!F79</f>
        <v>5100000</v>
      </c>
      <c r="L764" s="66" t="s">
        <v>2626</v>
      </c>
    </row>
    <row r="765" spans="1:13" ht="75" x14ac:dyDescent="0.25">
      <c r="A765" s="1344">
        <v>3</v>
      </c>
      <c r="B765" s="1344">
        <v>1</v>
      </c>
      <c r="C765" s="1346" t="s">
        <v>2703</v>
      </c>
      <c r="D765" s="1344"/>
      <c r="E765" s="1344"/>
      <c r="F765" s="1344"/>
      <c r="G765" s="1344"/>
      <c r="H765" s="1345" t="str">
        <f>'BID III'!B95</f>
        <v>:Koordinasi Pembinaan Ketentraman, Ketertiban, dan Perlindungan Masyarakat (Penjagaan Linmas Desa)</v>
      </c>
      <c r="I765" s="1344"/>
      <c r="J765" s="1344"/>
      <c r="K765" s="1347">
        <f>SUM(K766:K774)</f>
        <v>416098660</v>
      </c>
      <c r="L765" s="1345"/>
      <c r="M765" s="451">
        <v>416098660</v>
      </c>
    </row>
    <row r="766" spans="1:13" x14ac:dyDescent="0.25">
      <c r="A766" s="32"/>
      <c r="B766" s="32"/>
      <c r="C766" s="32"/>
      <c r="D766" s="32">
        <v>5</v>
      </c>
      <c r="E766" s="32">
        <v>2</v>
      </c>
      <c r="F766" s="32"/>
      <c r="G766" s="32"/>
      <c r="H766" s="66" t="str">
        <f>'BID III'!B100</f>
        <v>Belanja Barang Dan Jasa</v>
      </c>
      <c r="I766" s="32"/>
      <c r="J766" s="32"/>
      <c r="K766" s="32"/>
      <c r="L766" s="66"/>
      <c r="M766" s="175">
        <f>K765-M765</f>
        <v>0</v>
      </c>
    </row>
    <row r="767" spans="1:13" ht="30" x14ac:dyDescent="0.25">
      <c r="A767" s="32"/>
      <c r="B767" s="32"/>
      <c r="C767" s="32"/>
      <c r="D767" s="32"/>
      <c r="E767" s="32"/>
      <c r="F767" s="32">
        <v>1</v>
      </c>
      <c r="G767" s="32"/>
      <c r="H767" s="66" t="str">
        <f>'BID III'!B101</f>
        <v>Belanja Barang Perlengkapan</v>
      </c>
      <c r="I767" s="32"/>
      <c r="J767" s="32"/>
      <c r="K767" s="32"/>
      <c r="L767" s="66"/>
    </row>
    <row r="768" spans="1:13" ht="30" x14ac:dyDescent="0.25">
      <c r="A768" s="32"/>
      <c r="B768" s="32"/>
      <c r="C768" s="32"/>
      <c r="D768" s="32"/>
      <c r="E768" s="32"/>
      <c r="F768" s="32"/>
      <c r="G768" s="1340" t="s">
        <v>2706</v>
      </c>
      <c r="H768" s="66" t="str">
        <f>'BID III'!B102</f>
        <v>Belanja perlengkapan Cetak</v>
      </c>
      <c r="I768" s="32"/>
      <c r="J768" s="32"/>
      <c r="K768" s="513">
        <f>SUM('BID III'!F103:F104)</f>
        <v>300000</v>
      </c>
      <c r="L768" s="66" t="s">
        <v>1682</v>
      </c>
    </row>
    <row r="769" spans="1:13" ht="60" x14ac:dyDescent="0.25">
      <c r="A769" s="32"/>
      <c r="B769" s="32"/>
      <c r="C769" s="32"/>
      <c r="D769" s="32"/>
      <c r="E769" s="32"/>
      <c r="F769" s="32"/>
      <c r="G769" s="1340" t="s">
        <v>2704</v>
      </c>
      <c r="H769" s="66" t="str">
        <f>'BID III'!B105</f>
        <v>Belanja Bahan Bakar Minyak/ gas/ isi Ulang Tabung Pemadam Kebakaran</v>
      </c>
      <c r="I769" s="32"/>
      <c r="J769" s="32"/>
      <c r="K769" s="513">
        <f>SUM('BID III'!F106:F107)</f>
        <v>15000000</v>
      </c>
      <c r="L769" s="66" t="s">
        <v>1682</v>
      </c>
    </row>
    <row r="770" spans="1:13" x14ac:dyDescent="0.25">
      <c r="A770" s="32"/>
      <c r="B770" s="32"/>
      <c r="C770" s="32"/>
      <c r="D770" s="32"/>
      <c r="E770" s="32"/>
      <c r="F770" s="32"/>
      <c r="G770" s="1340" t="s">
        <v>2708</v>
      </c>
      <c r="H770" s="66" t="str">
        <f>'BID III'!B108</f>
        <v>Belanja Bahan Meterial</v>
      </c>
      <c r="I770" s="32"/>
      <c r="J770" s="32"/>
      <c r="K770" s="513">
        <f>SUM('BID III'!F109:F116)</f>
        <v>136498660</v>
      </c>
      <c r="L770" s="66" t="s">
        <v>1682</v>
      </c>
    </row>
    <row r="771" spans="1:13" x14ac:dyDescent="0.25">
      <c r="A771" s="32"/>
      <c r="B771" s="32"/>
      <c r="C771" s="32"/>
      <c r="D771" s="32">
        <v>5</v>
      </c>
      <c r="E771" s="32">
        <v>2</v>
      </c>
      <c r="F771" s="32">
        <v>2</v>
      </c>
      <c r="G771" s="32"/>
      <c r="H771" s="66" t="str">
        <f>'BID III'!B117</f>
        <v>Belanja Jasa Honorarium</v>
      </c>
      <c r="I771" s="32"/>
      <c r="J771" s="32"/>
      <c r="K771" s="32"/>
      <c r="L771" s="66"/>
    </row>
    <row r="772" spans="1:13" ht="30" x14ac:dyDescent="0.25">
      <c r="A772" s="32"/>
      <c r="B772" s="32"/>
      <c r="C772" s="32"/>
      <c r="D772" s="32"/>
      <c r="E772" s="32"/>
      <c r="F772" s="32"/>
      <c r="G772" s="1340" t="s">
        <v>2706</v>
      </c>
      <c r="H772" s="66" t="str">
        <f>'BID III'!B118</f>
        <v>Belanja Jasa Honorarium Petugas</v>
      </c>
      <c r="I772" s="32"/>
      <c r="J772" s="32"/>
      <c r="K772" s="513">
        <f>'BID III'!F119</f>
        <v>255500000</v>
      </c>
      <c r="L772" s="66" t="s">
        <v>2626</v>
      </c>
    </row>
    <row r="773" spans="1:13" x14ac:dyDescent="0.25">
      <c r="A773" s="32"/>
      <c r="B773" s="32"/>
      <c r="C773" s="32"/>
      <c r="D773" s="32">
        <v>5</v>
      </c>
      <c r="E773" s="32">
        <v>2</v>
      </c>
      <c r="F773" s="32">
        <v>6</v>
      </c>
      <c r="G773" s="32"/>
      <c r="H773" s="66" t="str">
        <f>'BID III'!B120</f>
        <v>Belanja Pemeliharaan</v>
      </c>
      <c r="I773" s="32"/>
      <c r="J773" s="32"/>
      <c r="K773" s="32"/>
      <c r="L773" s="66"/>
    </row>
    <row r="774" spans="1:13" ht="30" x14ac:dyDescent="0.25">
      <c r="A774" s="32"/>
      <c r="B774" s="32"/>
      <c r="C774" s="32"/>
      <c r="D774" s="32"/>
      <c r="E774" s="32"/>
      <c r="F774" s="32"/>
      <c r="G774" s="1340" t="s">
        <v>2702</v>
      </c>
      <c r="H774" s="66" t="str">
        <f>'BID III'!B121</f>
        <v>Belanja Pemeliharaan Kendaraan Bermotor</v>
      </c>
      <c r="I774" s="32"/>
      <c r="J774" s="32"/>
      <c r="K774" s="513">
        <f>SUM('BID III'!F122:F125)</f>
        <v>8800000</v>
      </c>
      <c r="L774" s="66" t="s">
        <v>1682</v>
      </c>
    </row>
    <row r="775" spans="1:13" ht="75" x14ac:dyDescent="0.25">
      <c r="A775" s="1344">
        <v>3</v>
      </c>
      <c r="B775" s="1344">
        <v>1</v>
      </c>
      <c r="C775" s="1346" t="s">
        <v>2704</v>
      </c>
      <c r="D775" s="1344"/>
      <c r="E775" s="1344"/>
      <c r="F775" s="1344"/>
      <c r="G775" s="1344"/>
      <c r="H775" s="1345" t="str">
        <f>'BID III'!B141</f>
        <v>: Pelatihan Kesiapsiagaan/Tanggap Bencana Skala Lokal Desa ( Pelatihan Tanggap Darurat Bencana )</v>
      </c>
      <c r="I775" s="1344"/>
      <c r="J775" s="1344"/>
      <c r="K775" s="1347">
        <f>SUM(K776:K784)</f>
        <v>8578000</v>
      </c>
      <c r="L775" s="1345" t="s">
        <v>1682</v>
      </c>
      <c r="M775" s="451">
        <v>8575000</v>
      </c>
    </row>
    <row r="776" spans="1:13" x14ac:dyDescent="0.25">
      <c r="A776" s="32"/>
      <c r="B776" s="32"/>
      <c r="C776" s="32"/>
      <c r="D776" s="32">
        <v>5</v>
      </c>
      <c r="E776" s="32">
        <v>2</v>
      </c>
      <c r="F776" s="32"/>
      <c r="G776" s="32"/>
      <c r="H776" s="66" t="str">
        <f>'BID III'!B147</f>
        <v>Belanja Barang Dan Jasa</v>
      </c>
      <c r="I776" s="32"/>
      <c r="J776" s="32"/>
      <c r="K776" s="32"/>
      <c r="L776" s="66"/>
    </row>
    <row r="777" spans="1:13" ht="30" x14ac:dyDescent="0.25">
      <c r="A777" s="32"/>
      <c r="B777" s="32"/>
      <c r="C777" s="32"/>
      <c r="D777" s="32"/>
      <c r="E777" s="32"/>
      <c r="F777" s="32">
        <v>1</v>
      </c>
      <c r="G777" s="32"/>
      <c r="H777" s="66" t="str">
        <f>'BID III'!B148</f>
        <v>Belanja Barang Perlengkapan</v>
      </c>
      <c r="I777" s="32"/>
      <c r="J777" s="32"/>
      <c r="K777" s="32"/>
      <c r="L777" s="66"/>
    </row>
    <row r="778" spans="1:13" ht="60" x14ac:dyDescent="0.25">
      <c r="A778" s="32"/>
      <c r="B778" s="32"/>
      <c r="C778" s="32"/>
      <c r="D778" s="32"/>
      <c r="E778" s="32"/>
      <c r="F778" s="32"/>
      <c r="G778" s="1340" t="s">
        <v>2704</v>
      </c>
      <c r="H778" s="66" t="str">
        <f>'BID III'!B149</f>
        <v>Belanja Bahan Bakar Minyak/Gas/Isi Ulang Tabung Pemadam Kebakaran</v>
      </c>
      <c r="I778" s="32"/>
      <c r="J778" s="32"/>
      <c r="K778" s="174">
        <f>SUM('BID III'!F150)</f>
        <v>1800000</v>
      </c>
      <c r="L778" s="66" t="s">
        <v>1682</v>
      </c>
    </row>
    <row r="779" spans="1:13" ht="30" x14ac:dyDescent="0.25">
      <c r="A779" s="32"/>
      <c r="B779" s="32"/>
      <c r="C779" s="32"/>
      <c r="D779" s="32"/>
      <c r="E779" s="32"/>
      <c r="F779" s="32"/>
      <c r="G779" s="1340" t="s">
        <v>2705</v>
      </c>
      <c r="H779" s="66" t="str">
        <f>'BID III'!B151</f>
        <v>Belanja Perlengkapan Barang Konsumsi</v>
      </c>
      <c r="I779" s="32"/>
      <c r="J779" s="32"/>
      <c r="K779" s="174">
        <f>SUM('BID III'!F152)</f>
        <v>675000</v>
      </c>
      <c r="L779" s="66" t="s">
        <v>1682</v>
      </c>
    </row>
    <row r="780" spans="1:13" x14ac:dyDescent="0.25">
      <c r="A780" s="32"/>
      <c r="B780" s="32"/>
      <c r="C780" s="32"/>
      <c r="D780" s="32"/>
      <c r="E780" s="32"/>
      <c r="F780" s="32"/>
      <c r="G780" s="1340" t="s">
        <v>2708</v>
      </c>
      <c r="H780" s="66" t="str">
        <f>'BID III'!B153</f>
        <v>Belanja Bahan Material</v>
      </c>
      <c r="I780" s="32"/>
      <c r="J780" s="32"/>
      <c r="K780" s="174">
        <f>SUM('BID III'!F154:F156)</f>
        <v>5638000</v>
      </c>
      <c r="L780" s="66"/>
    </row>
    <row r="781" spans="1:13" ht="30" x14ac:dyDescent="0.25">
      <c r="A781" s="32"/>
      <c r="B781" s="32"/>
      <c r="C781" s="32"/>
      <c r="D781" s="32"/>
      <c r="E781" s="32"/>
      <c r="F781" s="32"/>
      <c r="G781" s="1340" t="s">
        <v>2707</v>
      </c>
      <c r="H781" s="66" t="str">
        <f>'BID III'!B158</f>
        <v>Belanja Bendera/ Umbul-umbul/ Spanduk</v>
      </c>
      <c r="I781" s="32"/>
      <c r="J781" s="32"/>
      <c r="K781" s="174">
        <f>'BID III'!F159</f>
        <v>90000</v>
      </c>
      <c r="L781" s="66" t="s">
        <v>1682</v>
      </c>
    </row>
    <row r="782" spans="1:13" ht="30" x14ac:dyDescent="0.25">
      <c r="A782" s="32"/>
      <c r="B782" s="32"/>
      <c r="C782" s="32"/>
      <c r="D782" s="32"/>
      <c r="E782" s="32"/>
      <c r="F782" s="32"/>
      <c r="G782" s="32">
        <v>90</v>
      </c>
      <c r="H782" s="66" t="str">
        <f>'BID III'!B160</f>
        <v>Belanja Upakara, Upacara Dan Aci</v>
      </c>
      <c r="I782" s="32"/>
      <c r="J782" s="32"/>
      <c r="K782" s="174">
        <f>SUM('BID III'!F161:F163)</f>
        <v>75000</v>
      </c>
      <c r="L782" s="66" t="s">
        <v>1682</v>
      </c>
    </row>
    <row r="783" spans="1:13" x14ac:dyDescent="0.25">
      <c r="A783" s="32"/>
      <c r="B783" s="32"/>
      <c r="C783" s="32"/>
      <c r="D783" s="32">
        <v>5</v>
      </c>
      <c r="E783" s="32">
        <v>2</v>
      </c>
      <c r="F783" s="32">
        <v>2</v>
      </c>
      <c r="G783" s="32"/>
      <c r="H783" s="66" t="str">
        <f>'BID III'!B164</f>
        <v>Belanja Jasa Honorarium</v>
      </c>
      <c r="I783" s="32"/>
      <c r="J783" s="32"/>
      <c r="K783" s="32"/>
      <c r="L783" s="66"/>
    </row>
    <row r="784" spans="1:13" ht="45" x14ac:dyDescent="0.25">
      <c r="A784" s="32"/>
      <c r="B784" s="32"/>
      <c r="C784" s="32"/>
      <c r="D784" s="32"/>
      <c r="E784" s="32"/>
      <c r="F784" s="32"/>
      <c r="G784" s="1340" t="s">
        <v>2706</v>
      </c>
      <c r="H784" s="66" t="str">
        <f>'BID III'!B165</f>
        <v>Belanja Jasa Honorarium Ahli/Profesi/Konsultan/Narasumber</v>
      </c>
      <c r="I784" s="32"/>
      <c r="J784" s="32"/>
      <c r="K784" s="174">
        <f>'BID III'!F166</f>
        <v>300000</v>
      </c>
      <c r="L784" s="66" t="s">
        <v>1682</v>
      </c>
    </row>
    <row r="785" spans="1:13" ht="60" x14ac:dyDescent="0.25">
      <c r="A785" s="1344">
        <v>3</v>
      </c>
      <c r="B785" s="1344">
        <v>2</v>
      </c>
      <c r="C785" s="1346" t="s">
        <v>2703</v>
      </c>
      <c r="D785" s="1344"/>
      <c r="E785" s="1344"/>
      <c r="F785" s="1344"/>
      <c r="G785" s="1344"/>
      <c r="H785" s="1345" t="str">
        <f>'BID III'!B183</f>
        <v>: Pembinaan Kesenian, Adat, Kebudayaan, dan Keagamaan ( Pembinaan Sekaa Seni Joged )</v>
      </c>
      <c r="I785" s="1344"/>
      <c r="J785" s="1344"/>
      <c r="K785" s="1347">
        <f>SUM(K786:K794)</f>
        <v>37765000</v>
      </c>
      <c r="L785" s="1345" t="s">
        <v>1682</v>
      </c>
      <c r="M785" s="451">
        <v>37765000</v>
      </c>
    </row>
    <row r="786" spans="1:13" x14ac:dyDescent="0.25">
      <c r="A786" s="32"/>
      <c r="B786" s="32"/>
      <c r="C786" s="32"/>
      <c r="D786" s="32">
        <v>5</v>
      </c>
      <c r="E786" s="32">
        <v>2</v>
      </c>
      <c r="F786" s="32"/>
      <c r="G786" s="32"/>
      <c r="H786" s="66" t="str">
        <f>'BID III'!B189</f>
        <v>Belanja Barang Jasa</v>
      </c>
      <c r="I786" s="32"/>
      <c r="J786" s="32"/>
      <c r="K786" s="32"/>
      <c r="L786" s="66"/>
      <c r="M786" s="175">
        <f>K785-M785</f>
        <v>0</v>
      </c>
    </row>
    <row r="787" spans="1:13" ht="30" x14ac:dyDescent="0.25">
      <c r="A787" s="32"/>
      <c r="B787" s="32"/>
      <c r="C787" s="32"/>
      <c r="D787" s="32"/>
      <c r="E787" s="32"/>
      <c r="F787" s="32">
        <v>1</v>
      </c>
      <c r="G787" s="32"/>
      <c r="H787" s="66" t="str">
        <f>'BID III'!B190</f>
        <v>Belanja Barang Perlengkapan</v>
      </c>
      <c r="I787" s="32"/>
      <c r="J787" s="32"/>
      <c r="K787" s="32"/>
      <c r="L787" s="66"/>
    </row>
    <row r="788" spans="1:13" ht="30" x14ac:dyDescent="0.25">
      <c r="A788" s="32"/>
      <c r="B788" s="32"/>
      <c r="C788" s="32"/>
      <c r="D788" s="32"/>
      <c r="E788" s="32"/>
      <c r="F788" s="32"/>
      <c r="G788" s="1340" t="s">
        <v>2705</v>
      </c>
      <c r="H788" s="66" t="str">
        <f>'BID III'!B191</f>
        <v>Belanja Perlengkapan Barang Konsumsi</v>
      </c>
      <c r="I788" s="32"/>
      <c r="J788" s="32"/>
      <c r="K788" s="174">
        <f>SUM('BID III'!F192)</f>
        <v>6000000</v>
      </c>
      <c r="L788" s="66" t="s">
        <v>1682</v>
      </c>
    </row>
    <row r="789" spans="1:13" ht="30" x14ac:dyDescent="0.25">
      <c r="A789" s="32"/>
      <c r="B789" s="32"/>
      <c r="C789" s="32"/>
      <c r="D789" s="32"/>
      <c r="E789" s="32"/>
      <c r="F789" s="32"/>
      <c r="G789" s="1340" t="s">
        <v>2707</v>
      </c>
      <c r="H789" s="66" t="str">
        <f>'BID III'!B193</f>
        <v>Belanja Bendera/Umbul - umbul/Spanduk</v>
      </c>
      <c r="I789" s="32"/>
      <c r="J789" s="32"/>
      <c r="K789" s="174">
        <f>'BID III'!F194</f>
        <v>90000</v>
      </c>
      <c r="L789" s="66" t="s">
        <v>1682</v>
      </c>
    </row>
    <row r="790" spans="1:13" ht="30" x14ac:dyDescent="0.25">
      <c r="A790" s="32"/>
      <c r="B790" s="32"/>
      <c r="C790" s="32"/>
      <c r="D790" s="32"/>
      <c r="E790" s="32"/>
      <c r="F790" s="32"/>
      <c r="G790" s="32">
        <v>90</v>
      </c>
      <c r="H790" s="66" t="str">
        <f>'BID III'!B195</f>
        <v>Belanja Upakara, Upacara Dan Aci</v>
      </c>
      <c r="I790" s="32"/>
      <c r="J790" s="32"/>
      <c r="K790" s="174">
        <f>'BID III'!F196+'BID III'!F197+'BID III'!F198</f>
        <v>75000</v>
      </c>
      <c r="L790" s="66" t="s">
        <v>1682</v>
      </c>
    </row>
    <row r="791" spans="1:13" x14ac:dyDescent="0.25">
      <c r="A791" s="32"/>
      <c r="B791" s="32"/>
      <c r="C791" s="32"/>
      <c r="D791" s="32">
        <v>5</v>
      </c>
      <c r="E791" s="32">
        <v>2</v>
      </c>
      <c r="F791" s="32">
        <v>2</v>
      </c>
      <c r="G791" s="32"/>
      <c r="H791" s="66" t="str">
        <f>'BID III'!B200</f>
        <v>Belanja Jasa Honorarium</v>
      </c>
      <c r="I791" s="32"/>
      <c r="J791" s="32"/>
      <c r="K791" s="32"/>
      <c r="L791" s="66"/>
    </row>
    <row r="792" spans="1:13" ht="60" x14ac:dyDescent="0.25">
      <c r="A792" s="32"/>
      <c r="B792" s="32"/>
      <c r="C792" s="32"/>
      <c r="D792" s="32"/>
      <c r="E792" s="32"/>
      <c r="F792" s="32"/>
      <c r="G792" s="1340" t="s">
        <v>2688</v>
      </c>
      <c r="H792" s="66" t="str">
        <f>'BID III'!B201</f>
        <v>Belanja Jasa Honorarium Ahli Profesi/Konsultan/Narasumber</v>
      </c>
      <c r="I792" s="32"/>
      <c r="J792" s="32"/>
      <c r="K792" s="174">
        <f>SUM('BID III'!F202:F203)</f>
        <v>4800000</v>
      </c>
      <c r="L792" s="66" t="s">
        <v>1682</v>
      </c>
    </row>
    <row r="793" spans="1:13" ht="30" x14ac:dyDescent="0.25">
      <c r="A793" s="32"/>
      <c r="B793" s="32"/>
      <c r="C793" s="32"/>
      <c r="D793" s="32">
        <v>5</v>
      </c>
      <c r="E793" s="32">
        <v>2</v>
      </c>
      <c r="F793" s="32">
        <v>7</v>
      </c>
      <c r="G793" s="1340"/>
      <c r="H793" s="66" t="str">
        <f>'BID III'!B204</f>
        <v>Belanja Barang Yanf Diserhkan</v>
      </c>
      <c r="I793" s="32"/>
      <c r="J793" s="32"/>
      <c r="K793" s="174"/>
      <c r="L793" s="66"/>
    </row>
    <row r="794" spans="1:13" ht="60" x14ac:dyDescent="0.25">
      <c r="A794" s="32"/>
      <c r="B794" s="32"/>
      <c r="C794" s="32"/>
      <c r="D794" s="32"/>
      <c r="E794" s="32"/>
      <c r="F794" s="32"/>
      <c r="G794" s="1340" t="s">
        <v>2688</v>
      </c>
      <c r="H794" s="66" t="str">
        <f>'BID III'!B205</f>
        <v>Belanja Bahan Perlengkapan yang diserahkan kepada masyarakat</v>
      </c>
      <c r="I794" s="32"/>
      <c r="J794" s="32"/>
      <c r="K794" s="174">
        <f>SUM('BID III'!F207:F209)</f>
        <v>26800000</v>
      </c>
      <c r="L794" s="66" t="s">
        <v>1682</v>
      </c>
    </row>
    <row r="795" spans="1:13" ht="165" x14ac:dyDescent="0.25">
      <c r="A795" s="1344">
        <v>3</v>
      </c>
      <c r="B795" s="1344">
        <v>2</v>
      </c>
      <c r="C795" s="1346" t="s">
        <v>2703</v>
      </c>
      <c r="D795" s="1344"/>
      <c r="E795" s="1344"/>
      <c r="F795" s="1344"/>
      <c r="G795" s="1344"/>
      <c r="H795" s="1345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I795" s="1344"/>
      <c r="J795" s="1344"/>
      <c r="K795" s="1347">
        <f>SUM(K796:K815)</f>
        <v>35502000</v>
      </c>
      <c r="L795" s="1345" t="s">
        <v>2626</v>
      </c>
      <c r="M795">
        <v>35502000</v>
      </c>
    </row>
    <row r="796" spans="1:13" x14ac:dyDescent="0.25">
      <c r="A796" s="32"/>
      <c r="B796" s="32"/>
      <c r="C796" s="32"/>
      <c r="D796" s="32">
        <v>5</v>
      </c>
      <c r="E796" s="32">
        <v>2</v>
      </c>
      <c r="F796" s="32"/>
      <c r="G796" s="32"/>
      <c r="H796" s="66" t="str">
        <f>'BID III'!B229</f>
        <v>Belanja Barang Jasa</v>
      </c>
      <c r="I796" s="32"/>
      <c r="J796" s="32"/>
      <c r="K796" s="32"/>
      <c r="L796" s="66"/>
    </row>
    <row r="797" spans="1:13" ht="30" x14ac:dyDescent="0.25">
      <c r="A797" s="32"/>
      <c r="B797" s="32"/>
      <c r="C797" s="32"/>
      <c r="D797" s="32"/>
      <c r="E797" s="32"/>
      <c r="F797" s="32">
        <v>1</v>
      </c>
      <c r="G797" s="32"/>
      <c r="H797" s="66" t="str">
        <f>'BID III'!B230</f>
        <v>Belanja Barang Perlengkapan</v>
      </c>
      <c r="I797" s="32"/>
      <c r="J797" s="32"/>
      <c r="K797" s="32"/>
      <c r="L797" s="66"/>
    </row>
    <row r="798" spans="1:13" ht="30" x14ac:dyDescent="0.25">
      <c r="A798" s="32"/>
      <c r="B798" s="32"/>
      <c r="C798" s="32"/>
      <c r="D798" s="32"/>
      <c r="E798" s="32"/>
      <c r="F798" s="32"/>
      <c r="G798" s="1340" t="s">
        <v>2705</v>
      </c>
      <c r="H798" s="66" t="str">
        <f>'BID III'!B231</f>
        <v>Belanja Perlengkapan Barang Konsumsi</v>
      </c>
      <c r="I798" s="32"/>
      <c r="J798" s="32"/>
      <c r="K798" s="174">
        <f>SUM('BID III'!F233:F239)</f>
        <v>7950000</v>
      </c>
      <c r="L798" s="66" t="s">
        <v>2626</v>
      </c>
    </row>
    <row r="799" spans="1:13" ht="30" x14ac:dyDescent="0.25">
      <c r="A799" s="32"/>
      <c r="B799" s="32"/>
      <c r="C799" s="32"/>
      <c r="D799" s="32"/>
      <c r="E799" s="32"/>
      <c r="F799" s="32"/>
      <c r="G799" s="1340" t="s">
        <v>2707</v>
      </c>
      <c r="H799" s="66" t="str">
        <f>'BID III'!B240</f>
        <v>Belanja Bendera/Umbul - umbul/ Spanduk</v>
      </c>
      <c r="I799" s="32"/>
      <c r="J799" s="32"/>
      <c r="K799" s="174">
        <f>'BID III'!F241</f>
        <v>270000</v>
      </c>
      <c r="L799" s="66" t="s">
        <v>2626</v>
      </c>
    </row>
    <row r="800" spans="1:13" ht="30" x14ac:dyDescent="0.25">
      <c r="A800" s="32"/>
      <c r="B800" s="32"/>
      <c r="C800" s="32"/>
      <c r="D800" s="32"/>
      <c r="E800" s="32"/>
      <c r="F800" s="32"/>
      <c r="G800" s="32">
        <v>90</v>
      </c>
      <c r="H800" s="66" t="str">
        <f>'BID III'!B242</f>
        <v>Belanja Upakara, Upacara Dan Aci</v>
      </c>
      <c r="I800" s="32"/>
      <c r="J800" s="32"/>
      <c r="K800" s="174">
        <f>SUM('BID III'!F243:F246)</f>
        <v>165000</v>
      </c>
      <c r="L800" s="66" t="s">
        <v>2626</v>
      </c>
    </row>
    <row r="801" spans="1:12" x14ac:dyDescent="0.25">
      <c r="A801" s="32"/>
      <c r="B801" s="32"/>
      <c r="C801" s="32"/>
      <c r="D801" s="32">
        <v>5</v>
      </c>
      <c r="E801" s="32">
        <v>2</v>
      </c>
      <c r="F801" s="32">
        <v>2</v>
      </c>
      <c r="G801" s="32"/>
      <c r="H801" s="66" t="str">
        <f>'BID III'!B247</f>
        <v>Belanja Jasa Honorarium</v>
      </c>
      <c r="I801" s="32"/>
      <c r="J801" s="32"/>
      <c r="K801" s="32"/>
      <c r="L801" s="66"/>
    </row>
    <row r="802" spans="1:12" ht="60" x14ac:dyDescent="0.25">
      <c r="A802" s="32"/>
      <c r="B802" s="32"/>
      <c r="C802" s="32"/>
      <c r="D802" s="32"/>
      <c r="E802" s="32"/>
      <c r="F802" s="32"/>
      <c r="G802" s="1340" t="s">
        <v>2706</v>
      </c>
      <c r="H802" s="66" t="str">
        <f>'BID III'!B248</f>
        <v>Belanja Jasa Honorarium Ahli Profesi/Konsultan/Narasumber</v>
      </c>
      <c r="I802" s="32"/>
      <c r="J802" s="32"/>
      <c r="K802" s="174">
        <f>'BID III'!F249+'BID III'!F250+'BID III'!F251</f>
        <v>11950000</v>
      </c>
      <c r="L802" s="66" t="s">
        <v>2626</v>
      </c>
    </row>
    <row r="803" spans="1:12" x14ac:dyDescent="0.25">
      <c r="A803" s="32"/>
      <c r="B803" s="32"/>
      <c r="C803" s="32"/>
      <c r="D803" s="32">
        <v>5</v>
      </c>
      <c r="E803" s="32">
        <v>2</v>
      </c>
      <c r="F803" s="32">
        <v>4</v>
      </c>
      <c r="G803" s="32"/>
      <c r="H803" s="66" t="str">
        <f>'BID III'!B252</f>
        <v>Belanja Jasa Sewa</v>
      </c>
      <c r="I803" s="32"/>
      <c r="J803" s="32"/>
      <c r="K803" s="32"/>
      <c r="L803" s="66"/>
    </row>
    <row r="804" spans="1:12" ht="30" x14ac:dyDescent="0.25">
      <c r="A804" s="32"/>
      <c r="B804" s="32"/>
      <c r="C804" s="32"/>
      <c r="D804" s="32"/>
      <c r="E804" s="32"/>
      <c r="F804" s="32"/>
      <c r="G804" s="1340" t="s">
        <v>2702</v>
      </c>
      <c r="H804" s="66" t="str">
        <f>'BID III'!B253</f>
        <v>Belanja Jasa Sewa Perlengkapan</v>
      </c>
      <c r="I804" s="32"/>
      <c r="J804" s="32"/>
      <c r="K804" s="174">
        <f>'BID III'!F254</f>
        <v>1000000</v>
      </c>
      <c r="L804" s="66" t="s">
        <v>2626</v>
      </c>
    </row>
    <row r="805" spans="1:12" ht="45" x14ac:dyDescent="0.25">
      <c r="A805" s="32"/>
      <c r="B805" s="32"/>
      <c r="C805" s="32"/>
      <c r="D805" s="32">
        <v>5</v>
      </c>
      <c r="E805" s="32">
        <v>2</v>
      </c>
      <c r="F805" s="32">
        <v>7</v>
      </c>
      <c r="G805" s="32"/>
      <c r="H805" s="66" t="str">
        <f>'BID III'!B255</f>
        <v>Belanja Barang dan Jasa yang Diserahkan Kepada Masyarakat</v>
      </c>
      <c r="I805" s="32"/>
      <c r="J805" s="32"/>
      <c r="K805" s="32"/>
      <c r="L805" s="66"/>
    </row>
    <row r="806" spans="1:12" ht="30" x14ac:dyDescent="0.25">
      <c r="A806" s="32"/>
      <c r="B806" s="32"/>
      <c r="C806" s="32"/>
      <c r="D806" s="32"/>
      <c r="E806" s="32"/>
      <c r="F806" s="32"/>
      <c r="G806" s="32">
        <v>90</v>
      </c>
      <c r="H806" s="66" t="str">
        <f>'BID III'!B256</f>
        <v>Belanja Jasa Atlit dan Seniman Berprestasi</v>
      </c>
      <c r="I806" s="32"/>
      <c r="J806" s="32"/>
      <c r="K806" s="174">
        <f>SUM('BID III'!F259:F267)</f>
        <v>10692000</v>
      </c>
      <c r="L806" s="66" t="s">
        <v>2626</v>
      </c>
    </row>
    <row r="807" spans="1:12" ht="30" x14ac:dyDescent="0.25">
      <c r="A807" s="32"/>
      <c r="B807" s="32"/>
      <c r="C807" s="32"/>
      <c r="D807" s="32"/>
      <c r="E807" s="32"/>
      <c r="F807" s="32"/>
      <c r="G807" s="32"/>
      <c r="H807" s="66" t="str">
        <f>'BID III'!B268</f>
        <v>Pengiriman Peserta Bulan Bahasa Bali Ke Kota</v>
      </c>
      <c r="I807" s="32"/>
      <c r="J807" s="32"/>
      <c r="K807" s="32"/>
      <c r="L807" s="66"/>
    </row>
    <row r="808" spans="1:12" x14ac:dyDescent="0.25">
      <c r="A808" s="32"/>
      <c r="B808" s="32"/>
      <c r="C808" s="32"/>
      <c r="D808" s="32">
        <v>5</v>
      </c>
      <c r="E808" s="32">
        <v>2</v>
      </c>
      <c r="F808" s="32"/>
      <c r="G808" s="32"/>
      <c r="H808" s="66" t="str">
        <f>'BID III'!B269</f>
        <v>Belanja Barang Jasa</v>
      </c>
      <c r="I808" s="32"/>
      <c r="J808" s="32"/>
      <c r="K808" s="32"/>
      <c r="L808" s="66"/>
    </row>
    <row r="809" spans="1:12" ht="30" x14ac:dyDescent="0.25">
      <c r="A809" s="32"/>
      <c r="B809" s="32"/>
      <c r="C809" s="32"/>
      <c r="D809" s="32"/>
      <c r="E809" s="32"/>
      <c r="F809" s="32">
        <v>1</v>
      </c>
      <c r="G809" s="32"/>
      <c r="H809" s="66" t="str">
        <f>'BID III'!B270</f>
        <v>Belanja Barang Perlengkapan</v>
      </c>
      <c r="I809" s="32"/>
      <c r="J809" s="32"/>
      <c r="K809" s="32"/>
      <c r="L809" s="66"/>
    </row>
    <row r="810" spans="1:12" ht="45" x14ac:dyDescent="0.25">
      <c r="A810" s="32"/>
      <c r="B810" s="32"/>
      <c r="C810" s="32"/>
      <c r="D810" s="32"/>
      <c r="E810" s="32"/>
      <c r="F810" s="32"/>
      <c r="G810" s="1340" t="s">
        <v>2705</v>
      </c>
      <c r="H810" s="66" t="str">
        <f>'BID III'!B271</f>
        <v>Belanja Barang Perlengkapan Barang Konsumsi</v>
      </c>
      <c r="I810" s="32"/>
      <c r="J810" s="32"/>
      <c r="K810" s="174">
        <f>SUM('BID III'!F272:F273)</f>
        <v>525000</v>
      </c>
      <c r="L810" s="66" t="s">
        <v>2626</v>
      </c>
    </row>
    <row r="811" spans="1:12" ht="30" x14ac:dyDescent="0.25">
      <c r="A811" s="32"/>
      <c r="B811" s="32"/>
      <c r="C811" s="32"/>
      <c r="D811" s="32"/>
      <c r="E811" s="32"/>
      <c r="F811" s="32"/>
      <c r="G811" s="1340" t="s">
        <v>2708</v>
      </c>
      <c r="H811" s="66" t="str">
        <f>'BID III'!B274</f>
        <v>Belanja Bahan Material</v>
      </c>
      <c r="I811" s="32"/>
      <c r="J811" s="32"/>
      <c r="K811" s="174">
        <f>'BID III'!F275+'BID III'!F276</f>
        <v>1800000</v>
      </c>
      <c r="L811" s="66" t="s">
        <v>2626</v>
      </c>
    </row>
    <row r="812" spans="1:12" x14ac:dyDescent="0.25">
      <c r="A812" s="32"/>
      <c r="B812" s="32"/>
      <c r="C812" s="32"/>
      <c r="D812" s="32">
        <v>5</v>
      </c>
      <c r="E812" s="32">
        <v>2</v>
      </c>
      <c r="F812" s="32">
        <v>2</v>
      </c>
      <c r="G812" s="32"/>
      <c r="H812" s="66" t="str">
        <f>'BID III'!B277</f>
        <v>Belanja Jasa Honorarium</v>
      </c>
      <c r="I812" s="32"/>
      <c r="J812" s="32"/>
      <c r="K812" s="32"/>
      <c r="L812" s="66"/>
    </row>
    <row r="813" spans="1:12" ht="30" x14ac:dyDescent="0.25">
      <c r="A813" s="32"/>
      <c r="B813" s="32"/>
      <c r="C813" s="32"/>
      <c r="D813" s="32"/>
      <c r="E813" s="32"/>
      <c r="F813" s="32"/>
      <c r="G813" s="1340" t="s">
        <v>2688</v>
      </c>
      <c r="H813" s="66" t="str">
        <f>'BID III'!B278</f>
        <v>Honor Tim Pelaksana Kegiatan</v>
      </c>
      <c r="I813" s="32"/>
      <c r="J813" s="32"/>
      <c r="K813" s="174">
        <f>SUM('BID III'!F279:F280)</f>
        <v>700000</v>
      </c>
      <c r="L813" s="66" t="s">
        <v>2626</v>
      </c>
    </row>
    <row r="814" spans="1:12" ht="60" x14ac:dyDescent="0.25">
      <c r="A814" s="32"/>
      <c r="B814" s="32"/>
      <c r="C814" s="32"/>
      <c r="D814" s="32"/>
      <c r="E814" s="32"/>
      <c r="F814" s="32"/>
      <c r="G814" s="1340" t="s">
        <v>2704</v>
      </c>
      <c r="H814" s="66" t="str">
        <f>'BID III'!B281</f>
        <v>Belanja Jasa Honorarium Ahli/ Profesi/Konsultan/Narasumber</v>
      </c>
      <c r="I814" s="32"/>
      <c r="J814" s="32"/>
      <c r="K814" s="174">
        <f>'BID III'!F282</f>
        <v>300000</v>
      </c>
      <c r="L814" s="66" t="s">
        <v>2626</v>
      </c>
    </row>
    <row r="815" spans="1:12" ht="45" x14ac:dyDescent="0.25">
      <c r="A815" s="32"/>
      <c r="B815" s="32"/>
      <c r="C815" s="32"/>
      <c r="D815" s="32">
        <v>5</v>
      </c>
      <c r="E815" s="32">
        <v>2</v>
      </c>
      <c r="F815" s="32">
        <v>1</v>
      </c>
      <c r="G815" s="32">
        <v>90</v>
      </c>
      <c r="H815" s="66" t="str">
        <f>'BID III'!B283</f>
        <v>Belanja Barang dan Jasa yang Diserahkan Kepada Masyarakat</v>
      </c>
      <c r="I815" s="32"/>
      <c r="J815" s="32"/>
      <c r="K815" s="174">
        <f>'BID III'!F284</f>
        <v>150000</v>
      </c>
      <c r="L815" s="66" t="s">
        <v>2626</v>
      </c>
    </row>
    <row r="816" spans="1:12" ht="75" x14ac:dyDescent="0.25">
      <c r="A816" s="1344">
        <v>3</v>
      </c>
      <c r="B816" s="1344">
        <v>2</v>
      </c>
      <c r="C816" s="1346" t="s">
        <v>2704</v>
      </c>
      <c r="D816" s="1344"/>
      <c r="E816" s="1344"/>
      <c r="F816" s="1344"/>
      <c r="G816" s="1344"/>
      <c r="H816" s="1345" t="str">
        <f>'BID III'!B299</f>
        <v>Pemeliharaan sarana prasarana keagamaan milik desa (Pavingnisasi Area Pura Dalem Taman Pohmanis)</v>
      </c>
      <c r="I816" s="1344"/>
      <c r="J816" s="1344"/>
      <c r="K816" s="1349">
        <f>SUM(K818:K819)</f>
        <v>94693000</v>
      </c>
      <c r="L816" s="1345" t="s">
        <v>2620</v>
      </c>
    </row>
    <row r="817" spans="1:12" x14ac:dyDescent="0.25">
      <c r="A817" s="32"/>
      <c r="B817" s="32"/>
      <c r="C817" s="1340"/>
      <c r="D817" s="32">
        <v>5</v>
      </c>
      <c r="E817" s="32">
        <v>2</v>
      </c>
      <c r="F817" s="32"/>
      <c r="G817" s="32"/>
      <c r="H817" s="66" t="s">
        <v>323</v>
      </c>
      <c r="I817" s="32"/>
      <c r="J817" s="32"/>
      <c r="K817" s="174"/>
      <c r="L817" s="66"/>
    </row>
    <row r="818" spans="1:12" ht="45" x14ac:dyDescent="0.25">
      <c r="A818" s="32"/>
      <c r="B818" s="32"/>
      <c r="C818" s="32"/>
      <c r="D818" s="32">
        <v>5</v>
      </c>
      <c r="E818" s="32">
        <v>2</v>
      </c>
      <c r="F818" s="32">
        <v>7</v>
      </c>
      <c r="G818" s="32"/>
      <c r="H818" s="66" t="str">
        <f>'BID III'!B306</f>
        <v>Belanja Barang dan Jasa yang Diserahkan Kepada Masyarakat</v>
      </c>
      <c r="I818" s="32"/>
      <c r="J818" s="32"/>
      <c r="K818" s="174"/>
      <c r="L818" s="66"/>
    </row>
    <row r="819" spans="1:12" ht="60" x14ac:dyDescent="0.25">
      <c r="A819" s="32"/>
      <c r="B819" s="32"/>
      <c r="C819" s="32"/>
      <c r="D819" s="32"/>
      <c r="E819" s="32"/>
      <c r="F819" s="32"/>
      <c r="G819" s="1340" t="s">
        <v>2703</v>
      </c>
      <c r="H819" s="66" t="str">
        <f>'BID III'!B307</f>
        <v>Belanja Bantuan Bangunan Yang Diserahkan Kepada Masyarakat</v>
      </c>
      <c r="I819" s="32"/>
      <c r="J819" s="32"/>
      <c r="K819" s="174">
        <f>'BID III'!F324</f>
        <v>94693000</v>
      </c>
      <c r="L819" s="66" t="s">
        <v>2620</v>
      </c>
    </row>
    <row r="820" spans="1:12" ht="60" x14ac:dyDescent="0.25">
      <c r="A820" s="1344">
        <v>3</v>
      </c>
      <c r="B820" s="1344">
        <v>2</v>
      </c>
      <c r="C820" s="1346" t="s">
        <v>2704</v>
      </c>
      <c r="D820" s="1344"/>
      <c r="E820" s="1344"/>
      <c r="F820" s="1344"/>
      <c r="G820" s="1344"/>
      <c r="H820" s="1345" t="str">
        <f>'BID III'!B338</f>
        <v>: Pemeliharaan Sarana dan Prasarana kebudayaan/Rumah adat (Candi Banjar Mertasari)</v>
      </c>
      <c r="I820" s="1344"/>
      <c r="J820" s="1344"/>
      <c r="K820" s="1349">
        <f>K823</f>
        <v>77163000</v>
      </c>
      <c r="L820" s="1345" t="s">
        <v>2620</v>
      </c>
    </row>
    <row r="821" spans="1:12" x14ac:dyDescent="0.25">
      <c r="A821" s="32"/>
      <c r="B821" s="32"/>
      <c r="C821" s="32"/>
      <c r="D821" s="32">
        <v>5</v>
      </c>
      <c r="E821" s="32">
        <v>2</v>
      </c>
      <c r="F821" s="32"/>
      <c r="G821" s="32"/>
      <c r="H821" s="66" t="str">
        <f>'BID III'!B345</f>
        <v>Belanja Barang Jasa</v>
      </c>
      <c r="I821" s="32"/>
      <c r="J821" s="32"/>
      <c r="K821" s="32"/>
      <c r="L821" s="66"/>
    </row>
    <row r="822" spans="1:12" ht="45" x14ac:dyDescent="0.25">
      <c r="A822" s="32"/>
      <c r="B822" s="32"/>
      <c r="C822" s="32"/>
      <c r="D822" s="32"/>
      <c r="E822" s="32"/>
      <c r="F822" s="32">
        <v>7</v>
      </c>
      <c r="G822" s="1340"/>
      <c r="H822" s="66" t="str">
        <f>'BID III'!B346</f>
        <v>Belanja Barang Jasa Yang Diserahkan Kepada Masyarakat</v>
      </c>
      <c r="I822" s="32"/>
      <c r="J822" s="32"/>
      <c r="K822" s="32"/>
      <c r="L822" s="66"/>
    </row>
    <row r="823" spans="1:12" ht="60" x14ac:dyDescent="0.25">
      <c r="A823" s="32"/>
      <c r="B823" s="32"/>
      <c r="C823" s="32"/>
      <c r="D823" s="32"/>
      <c r="E823" s="32"/>
      <c r="F823" s="32"/>
      <c r="G823" s="1340" t="s">
        <v>2703</v>
      </c>
      <c r="H823" s="66" t="str">
        <f>'BID III'!B347</f>
        <v>Belanja Bantuan Bangunan Yang di serahkan Kepanda Masyarakat</v>
      </c>
      <c r="I823" s="32"/>
      <c r="J823" s="32"/>
      <c r="K823" s="470">
        <f>'BID III'!F368</f>
        <v>77163000</v>
      </c>
      <c r="L823" s="66" t="s">
        <v>2620</v>
      </c>
    </row>
    <row r="824" spans="1:12" ht="45" x14ac:dyDescent="0.25">
      <c r="A824" s="1344">
        <v>3</v>
      </c>
      <c r="B824" s="1344">
        <v>2</v>
      </c>
      <c r="C824" s="1344">
        <v>90</v>
      </c>
      <c r="D824" s="1344"/>
      <c r="E824" s="1344"/>
      <c r="F824" s="1344"/>
      <c r="G824" s="1344"/>
      <c r="H824" s="1345" t="str">
        <f>'BID III'!B382</f>
        <v xml:space="preserve"> : Pembinaan Adat dan Keagamaan (Piodalan Padmasana)</v>
      </c>
      <c r="I824" s="1344"/>
      <c r="J824" s="1344"/>
      <c r="K824" s="1347">
        <f>SUM(K825:K828)</f>
        <v>15474698</v>
      </c>
      <c r="L824" s="1345" t="s">
        <v>2621</v>
      </c>
    </row>
    <row r="825" spans="1:12" x14ac:dyDescent="0.25">
      <c r="A825" s="32"/>
      <c r="B825" s="32"/>
      <c r="C825" s="32"/>
      <c r="D825" s="32">
        <v>5</v>
      </c>
      <c r="E825" s="32">
        <v>2</v>
      </c>
      <c r="F825" s="32"/>
      <c r="G825" s="32"/>
      <c r="H825" s="66" t="str">
        <f>'BID III'!B388</f>
        <v xml:space="preserve">Belanja Barang dan Jasa </v>
      </c>
      <c r="I825" s="32"/>
      <c r="J825" s="32"/>
      <c r="K825" s="470"/>
      <c r="L825" s="66"/>
    </row>
    <row r="826" spans="1:12" ht="30" x14ac:dyDescent="0.25">
      <c r="A826" s="32"/>
      <c r="B826" s="32"/>
      <c r="C826" s="32"/>
      <c r="D826" s="32"/>
      <c r="E826" s="32"/>
      <c r="F826" s="32">
        <v>1</v>
      </c>
      <c r="G826" s="32"/>
      <c r="H826" s="66" t="str">
        <f>'BID III'!B389</f>
        <v>Belanja Barang Perlengkapan</v>
      </c>
      <c r="I826" s="32"/>
      <c r="J826" s="32"/>
      <c r="K826" s="470"/>
      <c r="L826" s="66"/>
    </row>
    <row r="827" spans="1:12" ht="30" x14ac:dyDescent="0.25">
      <c r="A827" s="32"/>
      <c r="B827" s="32"/>
      <c r="C827" s="32"/>
      <c r="D827" s="32"/>
      <c r="E827" s="32"/>
      <c r="F827" s="32"/>
      <c r="G827" s="1340" t="s">
        <v>2705</v>
      </c>
      <c r="H827" s="66" t="str">
        <f>'BID III'!B390</f>
        <v>Belanja Perlengkapan Barang Konsumsi</v>
      </c>
      <c r="I827" s="32"/>
      <c r="J827" s="32"/>
      <c r="K827" s="470">
        <f>SUM('BID III'!F391)</f>
        <v>7500000</v>
      </c>
      <c r="L827" s="66" t="s">
        <v>2621</v>
      </c>
    </row>
    <row r="828" spans="1:12" x14ac:dyDescent="0.25">
      <c r="A828" s="32"/>
      <c r="B828" s="32"/>
      <c r="C828" s="32"/>
      <c r="D828" s="32"/>
      <c r="E828" s="32"/>
      <c r="F828" s="32"/>
      <c r="G828" s="32">
        <v>90</v>
      </c>
      <c r="H828" s="32" t="str">
        <f>'BID III'!B392</f>
        <v>Belanja Upakara dan Upacara</v>
      </c>
      <c r="I828" s="32"/>
      <c r="J828" s="32"/>
      <c r="K828" s="470">
        <f>SUM('BID III'!F393:F406)</f>
        <v>7974698</v>
      </c>
      <c r="L828" s="66" t="s">
        <v>2621</v>
      </c>
    </row>
    <row r="829" spans="1:12" ht="45" x14ac:dyDescent="0.25">
      <c r="A829" s="1344">
        <v>3</v>
      </c>
      <c r="B829" s="1344">
        <v>2</v>
      </c>
      <c r="C829" s="1344">
        <v>90</v>
      </c>
      <c r="D829" s="1344"/>
      <c r="E829" s="1344"/>
      <c r="F829" s="1344"/>
      <c r="G829" s="1344"/>
      <c r="H829" s="1345" t="str">
        <f>'BID III'!B421</f>
        <v>: Pembinaan Adat dan Keagamaan (Upakara dan Upacara)</v>
      </c>
      <c r="I829" s="1344"/>
      <c r="J829" s="1344"/>
      <c r="K829" s="1349">
        <f>K833</f>
        <v>8480000</v>
      </c>
      <c r="L829" s="1345" t="s">
        <v>2621</v>
      </c>
    </row>
    <row r="830" spans="1:12" ht="30" x14ac:dyDescent="0.25">
      <c r="A830" s="32"/>
      <c r="B830" s="32"/>
      <c r="C830" s="32"/>
      <c r="D830" s="32"/>
      <c r="E830" s="32"/>
      <c r="F830" s="32"/>
      <c r="G830" s="32"/>
      <c r="H830" s="66" t="str">
        <f>'BID III'!B427</f>
        <v>Hari Raya Suci Keagamaan)</v>
      </c>
      <c r="I830" s="32"/>
      <c r="J830" s="32"/>
      <c r="K830" s="32"/>
      <c r="L830" s="66"/>
    </row>
    <row r="831" spans="1:12" x14ac:dyDescent="0.25">
      <c r="A831" s="32"/>
      <c r="B831" s="32"/>
      <c r="C831" s="32"/>
      <c r="D831" s="32">
        <v>5</v>
      </c>
      <c r="E831" s="32">
        <v>2</v>
      </c>
      <c r="F831" s="32"/>
      <c r="G831" s="32"/>
      <c r="H831" s="66" t="str">
        <f>'BID III'!B428</f>
        <v xml:space="preserve">Belanja Barang dan Jasa </v>
      </c>
      <c r="I831" s="32"/>
      <c r="J831" s="32"/>
      <c r="K831" s="32"/>
      <c r="L831" s="66"/>
    </row>
    <row r="832" spans="1:12" ht="30" x14ac:dyDescent="0.25">
      <c r="A832" s="32"/>
      <c r="B832" s="32"/>
      <c r="C832" s="32"/>
      <c r="D832" s="32"/>
      <c r="E832" s="32"/>
      <c r="F832" s="32">
        <v>1</v>
      </c>
      <c r="G832" s="32"/>
      <c r="H832" s="66" t="str">
        <f>'BID III'!B429</f>
        <v>Belanja Barang Perlengkapan</v>
      </c>
      <c r="I832" s="32"/>
      <c r="J832" s="32"/>
      <c r="K832" s="32"/>
      <c r="L832" s="66"/>
    </row>
    <row r="833" spans="1:12" ht="30" x14ac:dyDescent="0.25">
      <c r="A833" s="32"/>
      <c r="B833" s="32"/>
      <c r="C833" s="32"/>
      <c r="D833" s="32"/>
      <c r="E833" s="32"/>
      <c r="F833" s="32"/>
      <c r="G833" s="32">
        <v>90</v>
      </c>
      <c r="H833" s="66" t="str">
        <f>'BID III'!B430</f>
        <v>Belanja Upakara dan Upacara</v>
      </c>
      <c r="I833" s="32"/>
      <c r="J833" s="32"/>
      <c r="K833" s="174">
        <f>SUM('BID III'!F431:F440)</f>
        <v>8480000</v>
      </c>
      <c r="L833" s="66" t="s">
        <v>2621</v>
      </c>
    </row>
    <row r="834" spans="1:12" ht="34.5" customHeight="1" x14ac:dyDescent="0.25">
      <c r="A834" s="1344">
        <v>3</v>
      </c>
      <c r="B834" s="1344">
        <v>2</v>
      </c>
      <c r="C834" s="1344">
        <v>90</v>
      </c>
      <c r="D834" s="1344"/>
      <c r="E834" s="1344"/>
      <c r="F834" s="1344"/>
      <c r="G834" s="1344"/>
      <c r="H834" s="1345" t="str">
        <f>'BID III'!B455</f>
        <v>: Pembinaan Adat dan Keagamaan (Tumpek Landep)</v>
      </c>
      <c r="I834" s="1344"/>
      <c r="J834" s="1344"/>
      <c r="K834" s="1349">
        <f>SUM(K835:K840)</f>
        <v>26400000</v>
      </c>
      <c r="L834" s="1345" t="s">
        <v>2620</v>
      </c>
    </row>
    <row r="835" spans="1:12" x14ac:dyDescent="0.25">
      <c r="A835" s="32"/>
      <c r="B835" s="32"/>
      <c r="C835" s="32"/>
      <c r="D835" s="32">
        <v>5</v>
      </c>
      <c r="E835" s="32">
        <v>2</v>
      </c>
      <c r="F835" s="32"/>
      <c r="G835" s="32"/>
      <c r="H835" s="66" t="str">
        <f>'BID III'!B462</f>
        <v xml:space="preserve">Belanja Barang dan Jasa </v>
      </c>
      <c r="I835" s="32"/>
      <c r="J835" s="32"/>
      <c r="K835" s="174"/>
      <c r="L835" s="66"/>
    </row>
    <row r="836" spans="1:12" ht="30" x14ac:dyDescent="0.25">
      <c r="A836" s="32"/>
      <c r="B836" s="32"/>
      <c r="C836" s="32"/>
      <c r="D836" s="32"/>
      <c r="E836" s="32"/>
      <c r="F836" s="32">
        <v>1</v>
      </c>
      <c r="G836" s="32"/>
      <c r="H836" s="66" t="str">
        <f>'BID III'!B463</f>
        <v>Belanja Barang Perlengkapan</v>
      </c>
      <c r="I836" s="32"/>
      <c r="J836" s="32"/>
      <c r="K836" s="174"/>
      <c r="L836" s="66"/>
    </row>
    <row r="837" spans="1:12" x14ac:dyDescent="0.25">
      <c r="A837" s="32"/>
      <c r="B837" s="32"/>
      <c r="C837" s="32"/>
      <c r="D837" s="32"/>
      <c r="E837" s="32"/>
      <c r="F837" s="32"/>
      <c r="G837" s="1340" t="s">
        <v>2705</v>
      </c>
      <c r="H837" s="66" t="str">
        <f>'BID III'!B464</f>
        <v>Belanja Barang Konsumsi</v>
      </c>
      <c r="I837" s="32"/>
      <c r="J837" s="32"/>
      <c r="K837" s="174">
        <f>SUM('BID III'!F465)</f>
        <v>15000000</v>
      </c>
      <c r="L837" s="66" t="s">
        <v>2620</v>
      </c>
    </row>
    <row r="838" spans="1:12" ht="30" x14ac:dyDescent="0.25">
      <c r="A838" s="32"/>
      <c r="B838" s="32"/>
      <c r="C838" s="32"/>
      <c r="D838" s="32"/>
      <c r="E838" s="32"/>
      <c r="F838" s="32"/>
      <c r="G838" s="32">
        <v>90</v>
      </c>
      <c r="H838" s="66" t="str">
        <f>'BID III'!B466</f>
        <v>Belanja Upakara dan Upacara</v>
      </c>
      <c r="I838" s="32"/>
      <c r="J838" s="32"/>
      <c r="K838" s="174">
        <f>'BID III'!F467</f>
        <v>10000000</v>
      </c>
      <c r="L838" s="66" t="s">
        <v>2620</v>
      </c>
    </row>
    <row r="839" spans="1:12" x14ac:dyDescent="0.25">
      <c r="A839" s="32"/>
      <c r="B839" s="32"/>
      <c r="C839" s="32"/>
      <c r="D839" s="32">
        <v>5</v>
      </c>
      <c r="E839" s="32">
        <v>2</v>
      </c>
      <c r="F839" s="32">
        <v>4</v>
      </c>
      <c r="G839" s="32"/>
      <c r="H839" s="66" t="str">
        <f>'BID III'!B468</f>
        <v>Belanja Jasa Sewa</v>
      </c>
      <c r="I839" s="32"/>
      <c r="J839" s="32"/>
      <c r="K839" s="174"/>
      <c r="L839" s="66"/>
    </row>
    <row r="840" spans="1:12" ht="30" x14ac:dyDescent="0.25">
      <c r="A840" s="32"/>
      <c r="B840" s="32"/>
      <c r="C840" s="32"/>
      <c r="D840" s="32"/>
      <c r="E840" s="32"/>
      <c r="F840" s="32"/>
      <c r="G840" s="1340" t="s">
        <v>2702</v>
      </c>
      <c r="H840" s="66" t="str">
        <f>'BID III'!B469</f>
        <v>Belanja Jasa Sewa Peralatan/Perlengkapan</v>
      </c>
      <c r="I840" s="32"/>
      <c r="J840" s="32"/>
      <c r="K840" s="174">
        <f>SUM('BID III'!F470:F471)</f>
        <v>1400000</v>
      </c>
      <c r="L840" s="66" t="s">
        <v>2620</v>
      </c>
    </row>
    <row r="841" spans="1:12" ht="45" x14ac:dyDescent="0.25">
      <c r="A841" s="1344">
        <v>3</v>
      </c>
      <c r="B841" s="1344">
        <v>2</v>
      </c>
      <c r="C841" s="1344">
        <v>91</v>
      </c>
      <c r="D841" s="1344"/>
      <c r="E841" s="1344"/>
      <c r="F841" s="1344"/>
      <c r="G841" s="1344"/>
      <c r="H841" s="1345" t="str">
        <f>'BID III'!B485</f>
        <v xml:space="preserve"> : Penunjang Oprasional Subak/Subak Abian (BKKProvinsi)</v>
      </c>
      <c r="I841" s="1344"/>
      <c r="J841" s="1344"/>
      <c r="K841" s="1349">
        <f>K844</f>
        <v>30000000</v>
      </c>
      <c r="L841" s="1345" t="s">
        <v>2717</v>
      </c>
    </row>
    <row r="842" spans="1:12" x14ac:dyDescent="0.25">
      <c r="A842" s="32"/>
      <c r="B842" s="32"/>
      <c r="C842" s="32"/>
      <c r="D842" s="32">
        <v>5</v>
      </c>
      <c r="E842" s="32">
        <v>2</v>
      </c>
      <c r="F842" s="32"/>
      <c r="G842" s="32"/>
      <c r="H842" s="66" t="str">
        <f>'BID III'!B490</f>
        <v>Belanja Barang Jasa</v>
      </c>
      <c r="I842" s="32"/>
      <c r="J842" s="32"/>
      <c r="K842" s="32"/>
      <c r="L842" s="66"/>
    </row>
    <row r="843" spans="1:12" ht="45" x14ac:dyDescent="0.25">
      <c r="A843" s="32"/>
      <c r="B843" s="32"/>
      <c r="C843" s="32"/>
      <c r="D843" s="32"/>
      <c r="E843" s="32"/>
      <c r="F843" s="32">
        <v>7</v>
      </c>
      <c r="G843" s="32"/>
      <c r="H843" s="66" t="str">
        <f>'BID III'!B491</f>
        <v>Belanja Barang dan Jasa yang Diserahkan Kepada Masyarakat</v>
      </c>
      <c r="I843" s="32"/>
      <c r="J843" s="32"/>
      <c r="K843" s="32"/>
      <c r="L843" s="66"/>
    </row>
    <row r="844" spans="1:12" ht="30" x14ac:dyDescent="0.25">
      <c r="A844" s="32"/>
      <c r="B844" s="32"/>
      <c r="C844" s="32"/>
      <c r="D844" s="32"/>
      <c r="E844" s="32"/>
      <c r="F844" s="32"/>
      <c r="G844" s="1340" t="s">
        <v>2688</v>
      </c>
      <c r="H844" s="66" t="str">
        <f>'BID III'!B492</f>
        <v>Belanaja Barang  Yang Diserahkan</v>
      </c>
      <c r="I844" s="32"/>
      <c r="J844" s="32"/>
      <c r="K844" s="174">
        <f>'BID III'!F493</f>
        <v>30000000</v>
      </c>
      <c r="L844" s="66" t="s">
        <v>2717</v>
      </c>
    </row>
    <row r="845" spans="1:12" ht="30" x14ac:dyDescent="0.25">
      <c r="A845" s="1344">
        <v>3</v>
      </c>
      <c r="B845" s="1344">
        <v>2</v>
      </c>
      <c r="C845" s="1344">
        <v>94</v>
      </c>
      <c r="D845" s="1344"/>
      <c r="E845" s="1344"/>
      <c r="F845" s="1344"/>
      <c r="G845" s="1344"/>
      <c r="H845" s="1345" t="str">
        <f>'BID III'!B508</f>
        <v xml:space="preserve"> : Penunjang Oprasional Desa Pakraman(BKK Kota)</v>
      </c>
      <c r="I845" s="1344"/>
      <c r="J845" s="1344"/>
      <c r="K845" s="1349">
        <f>K848</f>
        <v>560000000</v>
      </c>
      <c r="L845" s="1345" t="s">
        <v>2159</v>
      </c>
    </row>
    <row r="846" spans="1:12" x14ac:dyDescent="0.25">
      <c r="A846" s="32"/>
      <c r="B846" s="32"/>
      <c r="C846" s="32"/>
      <c r="D846" s="32">
        <v>5</v>
      </c>
      <c r="E846" s="32">
        <v>2</v>
      </c>
      <c r="F846" s="32"/>
      <c r="G846" s="32"/>
      <c r="H846" s="66" t="s">
        <v>323</v>
      </c>
      <c r="I846" s="32"/>
      <c r="J846" s="32"/>
      <c r="K846" s="174"/>
      <c r="L846" s="66"/>
    </row>
    <row r="847" spans="1:12" ht="45" x14ac:dyDescent="0.25">
      <c r="A847" s="32"/>
      <c r="B847" s="32"/>
      <c r="C847" s="32"/>
      <c r="D847" s="32"/>
      <c r="E847" s="32"/>
      <c r="F847" s="32">
        <v>7</v>
      </c>
      <c r="G847" s="32"/>
      <c r="H847" s="66" t="str">
        <f>'BID III'!B513</f>
        <v>Belanja Barang dan Jasa yang Diserahkan Kepada Masyarakat</v>
      </c>
      <c r="I847" s="32"/>
      <c r="J847" s="32"/>
      <c r="K847" s="32"/>
      <c r="L847" s="66"/>
    </row>
    <row r="848" spans="1:12" ht="30" x14ac:dyDescent="0.25">
      <c r="A848" s="32"/>
      <c r="B848" s="32"/>
      <c r="C848" s="32"/>
      <c r="D848" s="32"/>
      <c r="E848" s="32"/>
      <c r="F848" s="32"/>
      <c r="G848" s="1340" t="s">
        <v>2688</v>
      </c>
      <c r="H848" s="66" t="str">
        <f>'BID III'!B514</f>
        <v>Belanaja Barang  Yang Diserahkan</v>
      </c>
      <c r="I848" s="32"/>
      <c r="J848" s="32"/>
      <c r="K848" s="174">
        <f>'BID III'!F515+'BID III'!F516</f>
        <v>560000000</v>
      </c>
      <c r="L848" s="66" t="s">
        <v>2159</v>
      </c>
    </row>
    <row r="849" spans="1:13" ht="30" x14ac:dyDescent="0.25">
      <c r="A849" s="1344">
        <v>3</v>
      </c>
      <c r="B849" s="1344">
        <v>2</v>
      </c>
      <c r="C849" s="1344">
        <v>95</v>
      </c>
      <c r="D849" s="1344"/>
      <c r="E849" s="1344"/>
      <c r="F849" s="1344"/>
      <c r="G849" s="1344"/>
      <c r="H849" s="1345" t="str">
        <f>'BID III'!B530</f>
        <v>: Kegiatan Bakti Penganyaran</v>
      </c>
      <c r="I849" s="1344"/>
      <c r="J849" s="1344"/>
      <c r="K849" s="1347">
        <f>SUM(K850:K861)</f>
        <v>171000000</v>
      </c>
      <c r="L849" s="1345" t="s">
        <v>1682</v>
      </c>
    </row>
    <row r="850" spans="1:13" ht="30" x14ac:dyDescent="0.25">
      <c r="A850" s="32"/>
      <c r="B850" s="32"/>
      <c r="C850" s="32"/>
      <c r="D850" s="32"/>
      <c r="E850" s="32"/>
      <c r="F850" s="32"/>
      <c r="G850" s="32"/>
      <c r="H850" s="66" t="str">
        <f>'BID III'!B537</f>
        <v xml:space="preserve">Nganyarin ke Pura Batur lan Besakih </v>
      </c>
      <c r="I850" s="32"/>
      <c r="J850" s="32"/>
      <c r="K850" s="32"/>
      <c r="L850" s="66"/>
    </row>
    <row r="851" spans="1:13" x14ac:dyDescent="0.25">
      <c r="A851" s="32"/>
      <c r="B851" s="32"/>
      <c r="C851" s="32"/>
      <c r="D851" s="32">
        <v>5</v>
      </c>
      <c r="E851" s="32">
        <v>2</v>
      </c>
      <c r="F851" s="32"/>
      <c r="G851" s="32"/>
      <c r="H851" s="66" t="str">
        <f>'BID III'!B538</f>
        <v xml:space="preserve">Belanja Barang dan Jasa </v>
      </c>
      <c r="I851" s="32"/>
      <c r="J851" s="32"/>
      <c r="K851" s="32"/>
      <c r="L851" s="66"/>
    </row>
    <row r="852" spans="1:13" x14ac:dyDescent="0.25">
      <c r="A852" s="32"/>
      <c r="B852" s="32"/>
      <c r="C852" s="32"/>
      <c r="D852" s="32"/>
      <c r="E852" s="32"/>
      <c r="F852" s="32">
        <v>4</v>
      </c>
      <c r="G852" s="32"/>
      <c r="H852" s="66" t="str">
        <f>'BID III'!B539</f>
        <v xml:space="preserve">Belanja Jasa Sewa </v>
      </c>
      <c r="I852" s="32"/>
      <c r="J852" s="32"/>
      <c r="K852" s="32"/>
      <c r="L852" s="66"/>
    </row>
    <row r="853" spans="1:13" ht="30" x14ac:dyDescent="0.25">
      <c r="A853" s="32"/>
      <c r="B853" s="32"/>
      <c r="C853" s="32"/>
      <c r="D853" s="32"/>
      <c r="E853" s="32"/>
      <c r="F853" s="32"/>
      <c r="G853" s="1340" t="s">
        <v>2703</v>
      </c>
      <c r="H853" s="66" t="str">
        <f>'BID III'!B540</f>
        <v>Belanja Jasa Sewa Sarana Mobilitas</v>
      </c>
      <c r="I853" s="32"/>
      <c r="J853" s="32"/>
      <c r="K853" s="470">
        <f>'BID III'!F541</f>
        <v>22500000</v>
      </c>
      <c r="L853" s="66" t="s">
        <v>1682</v>
      </c>
    </row>
    <row r="854" spans="1:13" ht="30" x14ac:dyDescent="0.25">
      <c r="A854" s="32"/>
      <c r="B854" s="32"/>
      <c r="C854" s="32"/>
      <c r="D854" s="32"/>
      <c r="E854" s="32"/>
      <c r="F854" s="32"/>
      <c r="G854" s="32"/>
      <c r="H854" s="66" t="str">
        <f>'BID III'!B542</f>
        <v>Nganyarin ke Pura Mandara Giri Lumajang</v>
      </c>
      <c r="I854" s="32"/>
      <c r="J854" s="32"/>
      <c r="K854" s="32"/>
      <c r="L854" s="66"/>
    </row>
    <row r="855" spans="1:13" x14ac:dyDescent="0.25">
      <c r="A855" s="32"/>
      <c r="B855" s="32"/>
      <c r="C855" s="32"/>
      <c r="D855" s="32">
        <v>5</v>
      </c>
      <c r="E855" s="32">
        <v>2</v>
      </c>
      <c r="F855" s="32"/>
      <c r="G855" s="32"/>
      <c r="H855" s="66" t="str">
        <f>'BID III'!B543</f>
        <v xml:space="preserve">Belanja Barang dan Jasa </v>
      </c>
      <c r="I855" s="32"/>
      <c r="J855" s="32"/>
      <c r="K855" s="32"/>
      <c r="L855" s="66"/>
    </row>
    <row r="856" spans="1:13" x14ac:dyDescent="0.25">
      <c r="A856" s="32"/>
      <c r="B856" s="32"/>
      <c r="C856" s="32"/>
      <c r="D856" s="32"/>
      <c r="E856" s="32"/>
      <c r="F856" s="32">
        <v>4</v>
      </c>
      <c r="G856" s="32"/>
      <c r="H856" s="66" t="str">
        <f>'BID III'!B544</f>
        <v xml:space="preserve">Belanja Jasa Sewa </v>
      </c>
      <c r="I856" s="32"/>
      <c r="J856" s="32"/>
      <c r="K856" s="32"/>
      <c r="L856" s="66"/>
    </row>
    <row r="857" spans="1:13" ht="30" x14ac:dyDescent="0.25">
      <c r="A857" s="32"/>
      <c r="B857" s="32"/>
      <c r="C857" s="32"/>
      <c r="D857" s="32"/>
      <c r="E857" s="32"/>
      <c r="F857" s="32"/>
      <c r="G857" s="1340" t="s">
        <v>2703</v>
      </c>
      <c r="H857" s="66" t="str">
        <f>'BID III'!B545</f>
        <v>Belanja Jasa Sewa Sarana Mobilitas</v>
      </c>
      <c r="I857" s="32"/>
      <c r="J857" s="32"/>
      <c r="K857" s="470">
        <f>'BID III'!F546</f>
        <v>67500000</v>
      </c>
      <c r="L857" s="66" t="s">
        <v>1682</v>
      </c>
    </row>
    <row r="858" spans="1:13" ht="30" x14ac:dyDescent="0.25">
      <c r="A858" s="32"/>
      <c r="B858" s="32"/>
      <c r="C858" s="32"/>
      <c r="D858" s="32">
        <v>5</v>
      </c>
      <c r="E858" s="32">
        <v>2</v>
      </c>
      <c r="F858" s="32"/>
      <c r="G858" s="32"/>
      <c r="H858" s="66" t="str">
        <f>'BID III'!B547</f>
        <v>Nganyarin ke Pura Penataran Agung Rinjani</v>
      </c>
      <c r="I858" s="32"/>
      <c r="J858" s="32"/>
      <c r="K858" s="32"/>
      <c r="L858" s="66"/>
    </row>
    <row r="859" spans="1:13" x14ac:dyDescent="0.25">
      <c r="A859" s="32"/>
      <c r="B859" s="32"/>
      <c r="C859" s="32"/>
      <c r="D859" s="32"/>
      <c r="E859" s="32"/>
      <c r="F859" s="32">
        <v>4</v>
      </c>
      <c r="G859" s="32"/>
      <c r="H859" s="32" t="str">
        <f>'BID III'!B548:B548</f>
        <v xml:space="preserve">Belanja Barang dan Jasa </v>
      </c>
      <c r="I859" s="32"/>
      <c r="J859" s="32"/>
      <c r="K859" s="32"/>
      <c r="L859" s="66"/>
    </row>
    <row r="860" spans="1:13" x14ac:dyDescent="0.25">
      <c r="A860" s="32"/>
      <c r="B860" s="32"/>
      <c r="C860" s="32"/>
      <c r="D860" s="32"/>
      <c r="E860" s="32"/>
      <c r="F860" s="32"/>
      <c r="G860" s="1340" t="s">
        <v>2703</v>
      </c>
      <c r="H860" s="32" t="str">
        <f>'BID III'!B549:B549</f>
        <v xml:space="preserve">Belanja Jasa Sewa </v>
      </c>
      <c r="I860" s="32"/>
      <c r="J860" s="32"/>
      <c r="K860" s="32"/>
      <c r="L860" s="66"/>
    </row>
    <row r="861" spans="1:13" x14ac:dyDescent="0.25">
      <c r="A861" s="32"/>
      <c r="B861" s="32"/>
      <c r="C861" s="32"/>
      <c r="D861" s="32"/>
      <c r="E861" s="32"/>
      <c r="F861" s="32"/>
      <c r="G861" s="32"/>
      <c r="H861" s="32" t="str">
        <f>'BID III'!B550:B550</f>
        <v>Belanja Jasa Sewa Sarana Mobilitas</v>
      </c>
      <c r="I861" s="32"/>
      <c r="J861" s="32"/>
      <c r="K861" s="470">
        <f>'BID III'!F551</f>
        <v>81000000</v>
      </c>
      <c r="L861" s="66" t="s">
        <v>1682</v>
      </c>
    </row>
    <row r="862" spans="1:13" ht="240" x14ac:dyDescent="0.25">
      <c r="A862" s="1344">
        <v>3</v>
      </c>
      <c r="B862" s="1344">
        <v>3</v>
      </c>
      <c r="C862" s="1346" t="s">
        <v>2702</v>
      </c>
      <c r="D862" s="1344"/>
      <c r="E862" s="1344"/>
      <c r="F862" s="1344"/>
      <c r="G862" s="1344"/>
      <c r="H862" s="1345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I862" s="1344"/>
      <c r="J862" s="1344"/>
      <c r="K862" s="1347">
        <f>SUM(K863:K892)</f>
        <v>50681940</v>
      </c>
      <c r="L862" s="1345" t="s">
        <v>2627</v>
      </c>
      <c r="M862" s="175">
        <f>'BID III'!F713</f>
        <v>50681940</v>
      </c>
    </row>
    <row r="863" spans="1:13" x14ac:dyDescent="0.25">
      <c r="A863" s="32"/>
      <c r="B863" s="32"/>
      <c r="C863" s="32"/>
      <c r="D863" s="32">
        <v>5</v>
      </c>
      <c r="E863" s="32">
        <v>2</v>
      </c>
      <c r="F863" s="32"/>
      <c r="G863" s="32"/>
      <c r="H863" s="66" t="str">
        <f>'BID III'!B639</f>
        <v>Belanja Barang Jasa</v>
      </c>
      <c r="I863" s="32"/>
      <c r="J863" s="32"/>
      <c r="K863" s="32"/>
      <c r="L863" s="66"/>
    </row>
    <row r="864" spans="1:13" ht="30" x14ac:dyDescent="0.25">
      <c r="A864" s="32"/>
      <c r="B864" s="32"/>
      <c r="C864" s="32"/>
      <c r="D864" s="32"/>
      <c r="E864" s="32"/>
      <c r="F864" s="32">
        <v>1</v>
      </c>
      <c r="G864" s="32"/>
      <c r="H864" s="66" t="str">
        <f>'BID III'!B640</f>
        <v>Belanja Barang Perlengkapan</v>
      </c>
      <c r="I864" s="32"/>
      <c r="J864" s="32"/>
      <c r="K864" s="32"/>
      <c r="L864" s="66"/>
    </row>
    <row r="865" spans="1:12" ht="30" x14ac:dyDescent="0.25">
      <c r="A865" s="32"/>
      <c r="B865" s="32"/>
      <c r="C865" s="32"/>
      <c r="D865" s="32"/>
      <c r="E865" s="32"/>
      <c r="F865" s="32"/>
      <c r="G865" s="1340" t="s">
        <v>2705</v>
      </c>
      <c r="H865" s="66" t="str">
        <f>'BID III'!B641</f>
        <v>Belanja Perlengkapan Barang Konsumsi</v>
      </c>
      <c r="I865" s="32"/>
      <c r="J865" s="32"/>
      <c r="K865" s="470">
        <f>SUM('BID III'!F642:F645)</f>
        <v>4185000</v>
      </c>
      <c r="L865" s="66" t="s">
        <v>2627</v>
      </c>
    </row>
    <row r="866" spans="1:12" ht="30" x14ac:dyDescent="0.25">
      <c r="A866" s="32"/>
      <c r="B866" s="32"/>
      <c r="C866" s="32"/>
      <c r="D866" s="32"/>
      <c r="E866" s="32"/>
      <c r="F866" s="32"/>
      <c r="G866" s="1340" t="s">
        <v>2707</v>
      </c>
      <c r="H866" s="66" t="str">
        <f>'BID III'!B646</f>
        <v>Belanja Bendera/Umbul - umbul/Spanduk</v>
      </c>
      <c r="I866" s="32"/>
      <c r="J866" s="32"/>
      <c r="K866" s="470">
        <f>'BID III'!F647</f>
        <v>270000</v>
      </c>
      <c r="L866" s="66" t="s">
        <v>2627</v>
      </c>
    </row>
    <row r="867" spans="1:12" ht="30" x14ac:dyDescent="0.25">
      <c r="A867" s="32"/>
      <c r="B867" s="32"/>
      <c r="C867" s="32"/>
      <c r="D867" s="32"/>
      <c r="E867" s="32"/>
      <c r="F867" s="32"/>
      <c r="G867" s="32">
        <v>90</v>
      </c>
      <c r="H867" s="66" t="str">
        <f>'BID III'!B648</f>
        <v>Belanja Upakara, Upacara Dan Aci</v>
      </c>
      <c r="I867" s="32"/>
      <c r="J867" s="32"/>
      <c r="K867" s="470">
        <f>'BID III'!F649+'BID III'!F650+'BID III'!F651+'BID III'!F652</f>
        <v>250000</v>
      </c>
      <c r="L867" s="66" t="s">
        <v>2627</v>
      </c>
    </row>
    <row r="868" spans="1:12" x14ac:dyDescent="0.25">
      <c r="A868" s="32"/>
      <c r="B868" s="32"/>
      <c r="C868" s="32"/>
      <c r="D868" s="32">
        <v>5</v>
      </c>
      <c r="E868" s="32">
        <v>2</v>
      </c>
      <c r="F868" s="32">
        <v>2</v>
      </c>
      <c r="G868" s="32"/>
      <c r="H868" s="66" t="str">
        <f>'BID III'!B653</f>
        <v>Belanja Jasa Honorarium</v>
      </c>
      <c r="I868" s="32"/>
      <c r="J868" s="32"/>
      <c r="K868" s="470"/>
      <c r="L868" s="66"/>
    </row>
    <row r="869" spans="1:12" ht="60" x14ac:dyDescent="0.25">
      <c r="A869" s="32"/>
      <c r="B869" s="32"/>
      <c r="C869" s="32"/>
      <c r="D869" s="32"/>
      <c r="E869" s="32"/>
      <c r="F869" s="32"/>
      <c r="G869" s="1340" t="s">
        <v>2704</v>
      </c>
      <c r="H869" s="66" t="str">
        <f>'BID III'!B654</f>
        <v>Belanja Jasa Honorarium Ahli Profesi/Konsultan/Narasumber</v>
      </c>
      <c r="I869" s="32"/>
      <c r="J869" s="32"/>
      <c r="K869" s="470">
        <f>SUM('BID III'!F655:F656)</f>
        <v>5100000</v>
      </c>
      <c r="L869" s="66" t="s">
        <v>2627</v>
      </c>
    </row>
    <row r="870" spans="1:12" ht="45" x14ac:dyDescent="0.25">
      <c r="A870" s="32"/>
      <c r="B870" s="32"/>
      <c r="C870" s="32"/>
      <c r="D870" s="32">
        <v>5</v>
      </c>
      <c r="E870" s="32">
        <v>2</v>
      </c>
      <c r="F870" s="32">
        <v>7</v>
      </c>
      <c r="G870" s="32"/>
      <c r="H870" s="66" t="str">
        <f>'BID III'!B657</f>
        <v>Belanja Barang dan Jasa yang Diserahkan Kepada Masyarakat</v>
      </c>
      <c r="I870" s="32"/>
      <c r="J870" s="32"/>
      <c r="K870" s="470"/>
      <c r="L870" s="66"/>
    </row>
    <row r="871" spans="1:12" ht="30" x14ac:dyDescent="0.25">
      <c r="A871" s="32"/>
      <c r="B871" s="32"/>
      <c r="C871" s="32"/>
      <c r="D871" s="32"/>
      <c r="E871" s="32"/>
      <c r="F871" s="32"/>
      <c r="G871" s="32">
        <v>90</v>
      </c>
      <c r="H871" s="66" t="str">
        <f>'BID III'!B658</f>
        <v>Belanja Jasa Atlit dan Seniman Berprestasi</v>
      </c>
      <c r="I871" s="32"/>
      <c r="J871" s="32"/>
      <c r="K871" s="470">
        <f>SUM('BID III'!F659:F668)</f>
        <v>14112000</v>
      </c>
      <c r="L871" s="66" t="s">
        <v>2627</v>
      </c>
    </row>
    <row r="872" spans="1:12" x14ac:dyDescent="0.25">
      <c r="A872" s="32"/>
      <c r="B872" s="32"/>
      <c r="C872" s="32"/>
      <c r="D872" s="32">
        <v>5</v>
      </c>
      <c r="E872" s="32">
        <v>2</v>
      </c>
      <c r="F872" s="32">
        <v>4</v>
      </c>
      <c r="G872" s="32"/>
      <c r="H872" s="66" t="str">
        <f>'BID III'!B669</f>
        <v>Belanja Jasa Sewa</v>
      </c>
      <c r="I872" s="32"/>
      <c r="J872" s="32"/>
      <c r="K872" s="470"/>
      <c r="L872" s="66"/>
    </row>
    <row r="873" spans="1:12" ht="30" x14ac:dyDescent="0.25">
      <c r="A873" s="32"/>
      <c r="B873" s="32"/>
      <c r="C873" s="32"/>
      <c r="D873" s="32"/>
      <c r="E873" s="32"/>
      <c r="F873" s="32"/>
      <c r="G873" s="1340" t="s">
        <v>2688</v>
      </c>
      <c r="H873" s="66" t="str">
        <f>'BID III'!B670</f>
        <v>Belanja Jasa Sewa Peralatan perlengkapan</v>
      </c>
      <c r="I873" s="32"/>
      <c r="J873" s="32"/>
      <c r="K873" s="470">
        <f>SUM('BID III'!F671)</f>
        <v>1000000</v>
      </c>
      <c r="L873" s="66" t="s">
        <v>2627</v>
      </c>
    </row>
    <row r="874" spans="1:12" ht="150" x14ac:dyDescent="0.25">
      <c r="A874" s="32"/>
      <c r="B874" s="32"/>
      <c r="C874" s="32"/>
      <c r="D874" s="32"/>
      <c r="E874" s="32"/>
      <c r="F874" s="32"/>
      <c r="G874" s="32"/>
      <c r="H874" s="66" t="str">
        <f>'BID III'!B672</f>
        <v>Pengiriman Peserta Lomba Lagu Wajib dan Lagu Perjuangan Tingkat SD dan SMP, Lomba Menggambar Tokoh Bung Karno dan Lomba Lari Karung Sekaa Teruna Dalan Rangka Bulan Bung Karno ) Ke Camat Denpasar Timur</v>
      </c>
      <c r="I874" s="32"/>
      <c r="J874" s="32"/>
      <c r="K874" s="470"/>
      <c r="L874" s="66"/>
    </row>
    <row r="875" spans="1:12" x14ac:dyDescent="0.25">
      <c r="A875" s="32"/>
      <c r="B875" s="32"/>
      <c r="C875" s="32"/>
      <c r="D875" s="32">
        <v>2</v>
      </c>
      <c r="E875" s="32">
        <v>5</v>
      </c>
      <c r="F875" s="32"/>
      <c r="G875" s="32"/>
      <c r="H875" s="66" t="str">
        <f>'BID III'!B673</f>
        <v>Belanja Barang Jasa</v>
      </c>
      <c r="I875" s="32"/>
      <c r="J875" s="32"/>
      <c r="K875" s="470"/>
      <c r="L875" s="66"/>
    </row>
    <row r="876" spans="1:12" ht="30" x14ac:dyDescent="0.25">
      <c r="A876" s="32"/>
      <c r="B876" s="32"/>
      <c r="C876" s="32"/>
      <c r="D876" s="32"/>
      <c r="E876" s="32"/>
      <c r="F876" s="32">
        <v>1</v>
      </c>
      <c r="G876" s="32"/>
      <c r="H876" s="66" t="str">
        <f>'BID III'!B674</f>
        <v>Belanja Barang Perlengkapan</v>
      </c>
      <c r="I876" s="32"/>
      <c r="J876" s="32"/>
      <c r="K876" s="470"/>
      <c r="L876" s="66"/>
    </row>
    <row r="877" spans="1:12" ht="45" x14ac:dyDescent="0.25">
      <c r="A877" s="32"/>
      <c r="B877" s="32"/>
      <c r="C877" s="32"/>
      <c r="D877" s="32"/>
      <c r="E877" s="32"/>
      <c r="F877" s="32"/>
      <c r="G877" s="1340" t="s">
        <v>2705</v>
      </c>
      <c r="H877" s="66" t="str">
        <f>'BID III'!B675</f>
        <v>Belanja Barang Perlengkapan Barang Konsumsi</v>
      </c>
      <c r="I877" s="32"/>
      <c r="J877" s="32"/>
      <c r="K877" s="470">
        <f>SUM('BID III'!F676:F677)</f>
        <v>525000</v>
      </c>
      <c r="L877" s="66" t="s">
        <v>2627</v>
      </c>
    </row>
    <row r="878" spans="1:12" ht="30" x14ac:dyDescent="0.25">
      <c r="A878" s="32"/>
      <c r="B878" s="32"/>
      <c r="C878" s="32"/>
      <c r="D878" s="32"/>
      <c r="E878" s="32"/>
      <c r="F878" s="32"/>
      <c r="G878" s="1340" t="s">
        <v>2708</v>
      </c>
      <c r="H878" s="66" t="str">
        <f>'BID III'!B678</f>
        <v>Belanja Bahan Material</v>
      </c>
      <c r="I878" s="32"/>
      <c r="J878" s="32"/>
      <c r="K878" s="470">
        <f>SUM('BID III'!F679:F688)</f>
        <v>3339940</v>
      </c>
      <c r="L878" s="66" t="s">
        <v>2627</v>
      </c>
    </row>
    <row r="879" spans="1:12" x14ac:dyDescent="0.25">
      <c r="A879" s="32"/>
      <c r="B879" s="32"/>
      <c r="C879" s="32"/>
      <c r="D879" s="32">
        <v>5</v>
      </c>
      <c r="E879" s="32">
        <v>2</v>
      </c>
      <c r="F879" s="32">
        <v>2</v>
      </c>
      <c r="G879" s="32"/>
      <c r="H879" s="66" t="str">
        <f>'BID III'!B689</f>
        <v>Belanja Honorarium</v>
      </c>
      <c r="I879" s="32"/>
      <c r="J879" s="32"/>
      <c r="K879" s="470"/>
      <c r="L879" s="66"/>
    </row>
    <row r="880" spans="1:12" ht="30" x14ac:dyDescent="0.25">
      <c r="A880" s="32"/>
      <c r="B880" s="32"/>
      <c r="C880" s="32"/>
      <c r="D880" s="32"/>
      <c r="E880" s="32"/>
      <c r="F880" s="32"/>
      <c r="G880" s="1340" t="s">
        <v>2704</v>
      </c>
      <c r="H880" s="66" t="str">
        <f>'BID III'!B690</f>
        <v>Belanja Honorarium Pelatih</v>
      </c>
      <c r="I880" s="32"/>
      <c r="J880" s="32"/>
      <c r="K880" s="470">
        <f>'BID III'!F691</f>
        <v>300000</v>
      </c>
      <c r="L880" s="66" t="s">
        <v>2627</v>
      </c>
    </row>
    <row r="881" spans="1:13" ht="45" x14ac:dyDescent="0.25">
      <c r="A881" s="32"/>
      <c r="B881" s="32"/>
      <c r="C881" s="32"/>
      <c r="D881" s="32"/>
      <c r="E881" s="32"/>
      <c r="F881" s="32"/>
      <c r="G881" s="1340" t="s">
        <v>2706</v>
      </c>
      <c r="H881" s="66" t="str">
        <f>'BID III'!B692</f>
        <v>Belanja Jasa Honor Tim yang Melaksanakan Kegiatan</v>
      </c>
      <c r="I881" s="32"/>
      <c r="J881" s="32"/>
      <c r="K881" s="470">
        <f>SUM('BID III'!F693:F694)</f>
        <v>700000</v>
      </c>
      <c r="L881" s="66" t="s">
        <v>2627</v>
      </c>
    </row>
    <row r="882" spans="1:13" ht="45" x14ac:dyDescent="0.25">
      <c r="A882" s="32"/>
      <c r="B882" s="32"/>
      <c r="C882" s="32"/>
      <c r="D882" s="32">
        <v>5</v>
      </c>
      <c r="E882" s="32">
        <v>2</v>
      </c>
      <c r="F882" s="32">
        <v>7</v>
      </c>
      <c r="G882" s="32"/>
      <c r="H882" s="66" t="str">
        <f>'BID III'!B695</f>
        <v>Belanja Barang dan Jasa yang Diserahkan Kepada Masyarakat</v>
      </c>
      <c r="I882" s="32"/>
      <c r="J882" s="32"/>
      <c r="K882" s="470"/>
      <c r="L882" s="66"/>
    </row>
    <row r="883" spans="1:13" ht="30" x14ac:dyDescent="0.25">
      <c r="A883" s="32"/>
      <c r="B883" s="32"/>
      <c r="C883" s="32"/>
      <c r="D883" s="32"/>
      <c r="E883" s="32"/>
      <c r="F883" s="32"/>
      <c r="G883" s="32">
        <v>90</v>
      </c>
      <c r="H883" s="66" t="str">
        <f>'BID III'!B696</f>
        <v>Belanja Uang Saku ( 4 or x 1 Kl )</v>
      </c>
      <c r="I883" s="32"/>
      <c r="J883" s="32"/>
      <c r="K883" s="470">
        <f>'BID III'!F696</f>
        <v>200000</v>
      </c>
      <c r="L883" s="66" t="s">
        <v>2627</v>
      </c>
    </row>
    <row r="884" spans="1:13" ht="150" x14ac:dyDescent="0.25">
      <c r="A884" s="32"/>
      <c r="B884" s="32"/>
      <c r="C884" s="32"/>
      <c r="D884" s="32"/>
      <c r="E884" s="32"/>
      <c r="F884" s="32"/>
      <c r="G884" s="32"/>
      <c r="H884" s="66" t="str">
        <f>'BID III'!B697</f>
        <v>Pengiriman Peserta Lomba Simulasi PKK ( 25 Orang), Lomba Menyanyikan Lagu Tembang Kenangan dan Kebangsaan Lansia  ( 1 Orang ), Lomba Pidato STT ( 1 Orang ) Ke Kota Denpasar Dalam Rangka Bulan Bung Karno</v>
      </c>
      <c r="I884" s="32"/>
      <c r="J884" s="32"/>
      <c r="K884" s="470"/>
      <c r="L884" s="66"/>
    </row>
    <row r="885" spans="1:13" x14ac:dyDescent="0.25">
      <c r="A885" s="32"/>
      <c r="B885" s="32"/>
      <c r="C885" s="32"/>
      <c r="D885" s="32">
        <v>5</v>
      </c>
      <c r="E885" s="32">
        <v>2</v>
      </c>
      <c r="F885" s="32"/>
      <c r="G885" s="32"/>
      <c r="H885" s="66" t="str">
        <f>'BID III'!B698</f>
        <v>Belanja Barang Jasa</v>
      </c>
      <c r="I885" s="32"/>
      <c r="J885" s="32"/>
      <c r="K885" s="470"/>
      <c r="L885" s="66"/>
    </row>
    <row r="886" spans="1:13" ht="30" x14ac:dyDescent="0.25">
      <c r="A886" s="32"/>
      <c r="B886" s="32"/>
      <c r="C886" s="32"/>
      <c r="D886" s="32"/>
      <c r="E886" s="32"/>
      <c r="F886" s="32">
        <v>1</v>
      </c>
      <c r="G886" s="32"/>
      <c r="H886" s="66" t="str">
        <f>'BID III'!B699</f>
        <v>Belanja Barang Perlengkapan</v>
      </c>
      <c r="I886" s="32"/>
      <c r="J886" s="32"/>
      <c r="K886" s="470"/>
      <c r="L886" s="66"/>
    </row>
    <row r="887" spans="1:13" ht="45" x14ac:dyDescent="0.25">
      <c r="A887" s="32"/>
      <c r="B887" s="32"/>
      <c r="C887" s="32"/>
      <c r="D887" s="32"/>
      <c r="E887" s="32"/>
      <c r="F887" s="32"/>
      <c r="G887" s="1340" t="s">
        <v>2705</v>
      </c>
      <c r="H887" s="66" t="str">
        <f>'BID III'!B700</f>
        <v>Belanja Barang Perlengkapan Barang Konsumsi</v>
      </c>
      <c r="I887" s="32"/>
      <c r="J887" s="32"/>
      <c r="K887" s="470">
        <f>SUM('BID III'!F701:F702)</f>
        <v>2250000</v>
      </c>
      <c r="L887" s="66" t="s">
        <v>2627</v>
      </c>
    </row>
    <row r="888" spans="1:13" ht="30" x14ac:dyDescent="0.25">
      <c r="A888" s="32"/>
      <c r="B888" s="32"/>
      <c r="C888" s="32"/>
      <c r="D888" s="32"/>
      <c r="E888" s="32"/>
      <c r="F888" s="32"/>
      <c r="G888" s="1340" t="s">
        <v>2708</v>
      </c>
      <c r="H888" s="66" t="str">
        <f>'BID III'!B703</f>
        <v>Belanja Bahan Material</v>
      </c>
      <c r="I888" s="32"/>
      <c r="J888" s="32"/>
      <c r="K888" s="470">
        <f>SUM('BID III'!F704:F705)</f>
        <v>12150000</v>
      </c>
      <c r="L888" s="66" t="s">
        <v>2627</v>
      </c>
    </row>
    <row r="889" spans="1:13" x14ac:dyDescent="0.25">
      <c r="A889" s="32"/>
      <c r="B889" s="32"/>
      <c r="C889" s="32"/>
      <c r="D889" s="32">
        <v>5</v>
      </c>
      <c r="E889" s="32">
        <v>2</v>
      </c>
      <c r="F889" s="32">
        <v>2</v>
      </c>
      <c r="G889" s="32"/>
      <c r="H889" s="66" t="str">
        <f>'BID III'!B706</f>
        <v>Belanja Honorarium</v>
      </c>
      <c r="I889" s="32"/>
      <c r="J889" s="32"/>
      <c r="K889" s="470"/>
      <c r="L889" s="66"/>
    </row>
    <row r="890" spans="1:13" ht="60" x14ac:dyDescent="0.25">
      <c r="A890" s="32"/>
      <c r="B890" s="32"/>
      <c r="C890" s="32"/>
      <c r="D890" s="32"/>
      <c r="E890" s="32"/>
      <c r="F890" s="32"/>
      <c r="G890" s="1340" t="s">
        <v>2704</v>
      </c>
      <c r="H890" s="66" t="str">
        <f>'BID III'!B707</f>
        <v>Belanja Jasa Honorarium Ahli Profesi/Konsultan/Narasumber</v>
      </c>
      <c r="I890" s="32"/>
      <c r="J890" s="32"/>
      <c r="K890" s="470">
        <f>SUM('BID III'!F708:F709)</f>
        <v>4950000</v>
      </c>
      <c r="L890" s="66" t="s">
        <v>2627</v>
      </c>
    </row>
    <row r="891" spans="1:13" ht="45" x14ac:dyDescent="0.25">
      <c r="A891" s="32"/>
      <c r="B891" s="32"/>
      <c r="C891" s="32"/>
      <c r="D891" s="32">
        <v>5</v>
      </c>
      <c r="E891" s="32">
        <v>2</v>
      </c>
      <c r="F891" s="32">
        <v>7</v>
      </c>
      <c r="G891" s="32"/>
      <c r="H891" s="66" t="str">
        <f>'BID III'!B710</f>
        <v>Belanja Barang dan Jasa yang Diserahkan Kepada Masyarakat</v>
      </c>
      <c r="I891" s="32"/>
      <c r="J891" s="32"/>
      <c r="K891" s="470"/>
      <c r="L891" s="66"/>
    </row>
    <row r="892" spans="1:13" ht="30" x14ac:dyDescent="0.25">
      <c r="A892" s="32"/>
      <c r="B892" s="32"/>
      <c r="C892" s="32"/>
      <c r="D892" s="32"/>
      <c r="E892" s="32"/>
      <c r="F892" s="32"/>
      <c r="G892" s="32">
        <v>90</v>
      </c>
      <c r="H892" s="66" t="str">
        <f>'BID III'!B711</f>
        <v>Belanja Uang Saku Peserta ( 27 or x 1 Kl )</v>
      </c>
      <c r="I892" s="32"/>
      <c r="J892" s="32"/>
      <c r="K892" s="470">
        <f>'BID III'!F711</f>
        <v>1350000</v>
      </c>
      <c r="L892" s="66" t="s">
        <v>2627</v>
      </c>
    </row>
    <row r="893" spans="1:13" ht="30" x14ac:dyDescent="0.25">
      <c r="A893" s="1344">
        <v>3</v>
      </c>
      <c r="B893" s="1344">
        <v>3</v>
      </c>
      <c r="C893" s="1346" t="s">
        <v>2705</v>
      </c>
      <c r="D893" s="1344"/>
      <c r="E893" s="1344"/>
      <c r="F893" s="1344"/>
      <c r="G893" s="1344"/>
      <c r="H893" s="1345" t="str">
        <f>'BID III'!B827</f>
        <v>: Pembinaan Karang Taruna</v>
      </c>
      <c r="I893" s="1344"/>
      <c r="J893" s="1344"/>
      <c r="K893" s="1347">
        <f>SUM(K894:K903)</f>
        <v>29662000</v>
      </c>
      <c r="L893" s="1345" t="s">
        <v>1682</v>
      </c>
      <c r="M893" s="175">
        <f>'BID III'!F852</f>
        <v>29662000</v>
      </c>
    </row>
    <row r="894" spans="1:13" x14ac:dyDescent="0.25">
      <c r="A894" s="32"/>
      <c r="B894" s="32"/>
      <c r="C894" s="32"/>
      <c r="D894" s="32">
        <v>5</v>
      </c>
      <c r="E894" s="32">
        <v>2</v>
      </c>
      <c r="F894" s="32"/>
      <c r="G894" s="32"/>
      <c r="H894" s="66" t="str">
        <f>'BID III'!B833</f>
        <v>Belanja Barang Jasa</v>
      </c>
      <c r="I894" s="32"/>
      <c r="J894" s="32"/>
      <c r="K894" s="470"/>
      <c r="L894" s="66"/>
    </row>
    <row r="895" spans="1:13" ht="30" x14ac:dyDescent="0.25">
      <c r="A895" s="32"/>
      <c r="B895" s="32"/>
      <c r="C895" s="32"/>
      <c r="D895" s="32"/>
      <c r="E895" s="32"/>
      <c r="F895" s="32">
        <v>1</v>
      </c>
      <c r="G895" s="32"/>
      <c r="H895" s="66" t="str">
        <f>'BID III'!B834</f>
        <v>Belanja Barang Perlengkapan</v>
      </c>
      <c r="I895" s="32"/>
      <c r="J895" s="32"/>
      <c r="K895" s="470"/>
      <c r="L895" s="66"/>
    </row>
    <row r="896" spans="1:13" ht="30" x14ac:dyDescent="0.25">
      <c r="A896" s="32"/>
      <c r="B896" s="32"/>
      <c r="C896" s="32"/>
      <c r="D896" s="32"/>
      <c r="E896" s="32"/>
      <c r="F896" s="32"/>
      <c r="G896" s="1340" t="s">
        <v>2688</v>
      </c>
      <c r="H896" s="66" t="str">
        <f>'BID III'!B835</f>
        <v>Belanja Alat Tulis Kantor dan Benda Pos</v>
      </c>
      <c r="I896" s="32"/>
      <c r="J896" s="32"/>
      <c r="K896" s="470">
        <f>SUM('BID III'!F836:F839)</f>
        <v>87000</v>
      </c>
      <c r="L896" s="66" t="s">
        <v>1682</v>
      </c>
    </row>
    <row r="897" spans="1:13" ht="30" x14ac:dyDescent="0.25">
      <c r="A897" s="32"/>
      <c r="B897" s="32"/>
      <c r="C897" s="32"/>
      <c r="D897" s="32"/>
      <c r="E897" s="32"/>
      <c r="F897" s="32"/>
      <c r="G897" s="1340" t="s">
        <v>2705</v>
      </c>
      <c r="H897" s="66" t="str">
        <f>'BID III'!B840</f>
        <v>Belanja Perlengkapan Barang Konsumsi</v>
      </c>
      <c r="I897" s="32"/>
      <c r="J897" s="32"/>
      <c r="K897" s="470">
        <f>'BID III'!F841</f>
        <v>675000</v>
      </c>
      <c r="L897" s="66" t="s">
        <v>1682</v>
      </c>
    </row>
    <row r="898" spans="1:13" ht="30" x14ac:dyDescent="0.25">
      <c r="A898" s="32"/>
      <c r="B898" s="32"/>
      <c r="C898" s="32"/>
      <c r="D898" s="32"/>
      <c r="E898" s="32"/>
      <c r="F898" s="32"/>
      <c r="G898" s="1340" t="s">
        <v>2707</v>
      </c>
      <c r="H898" s="66" t="str">
        <f>'BID III'!B842</f>
        <v>Belanja Bendera/ Umbul-umbul/ Spanduk</v>
      </c>
      <c r="I898" s="32"/>
      <c r="J898" s="32"/>
      <c r="K898" s="470">
        <f>'BID III'!F843</f>
        <v>200000</v>
      </c>
      <c r="L898" s="66" t="s">
        <v>1682</v>
      </c>
    </row>
    <row r="899" spans="1:13" x14ac:dyDescent="0.25">
      <c r="A899" s="32"/>
      <c r="B899" s="32"/>
      <c r="C899" s="32"/>
      <c r="D899" s="32"/>
      <c r="E899" s="32"/>
      <c r="F899" s="32"/>
      <c r="G899" s="32">
        <v>90</v>
      </c>
      <c r="H899" s="66" t="str">
        <f>'BID III'!B844</f>
        <v>Belanja Seragam</v>
      </c>
      <c r="I899" s="32"/>
      <c r="J899" s="32"/>
      <c r="K899" s="470">
        <f>'BID III'!F845</f>
        <v>8400000</v>
      </c>
      <c r="L899" s="66" t="s">
        <v>1682</v>
      </c>
    </row>
    <row r="900" spans="1:13" x14ac:dyDescent="0.25">
      <c r="A900" s="32"/>
      <c r="B900" s="32"/>
      <c r="C900" s="32"/>
      <c r="D900" s="32">
        <v>5</v>
      </c>
      <c r="E900" s="32">
        <v>2</v>
      </c>
      <c r="F900" s="32">
        <v>2</v>
      </c>
      <c r="G900" s="32"/>
      <c r="H900" s="66" t="str">
        <f>'BID III'!B846</f>
        <v>Belanja  Jasa Honorarium</v>
      </c>
      <c r="I900" s="32"/>
      <c r="J900" s="32"/>
      <c r="K900" s="470"/>
      <c r="L900" s="66"/>
    </row>
    <row r="901" spans="1:13" ht="30" x14ac:dyDescent="0.25">
      <c r="A901" s="32"/>
      <c r="B901" s="32"/>
      <c r="C901" s="32"/>
      <c r="D901" s="32"/>
      <c r="E901" s="32"/>
      <c r="F901" s="32"/>
      <c r="G901" s="1340" t="s">
        <v>2702</v>
      </c>
      <c r="H901" s="66" t="str">
        <f>'BID III'!B847</f>
        <v>Belanja Jasa Honorarium Ahli/Profesi/Narasumber</v>
      </c>
      <c r="I901" s="32"/>
      <c r="J901" s="32"/>
      <c r="K901" s="470">
        <f>'BID III'!F848</f>
        <v>300000</v>
      </c>
      <c r="L901" s="66" t="s">
        <v>1682</v>
      </c>
    </row>
    <row r="902" spans="1:13" x14ac:dyDescent="0.25">
      <c r="A902" s="32"/>
      <c r="B902" s="32"/>
      <c r="C902" s="32"/>
      <c r="D902" s="32">
        <v>5</v>
      </c>
      <c r="E902" s="32">
        <v>2</v>
      </c>
      <c r="F902" s="32">
        <v>4</v>
      </c>
      <c r="G902" s="32"/>
      <c r="H902" s="66" t="str">
        <f>'BID III'!B849</f>
        <v>Belanja Jasa Sewa</v>
      </c>
      <c r="I902" s="32"/>
      <c r="J902" s="32"/>
      <c r="K902" s="470"/>
      <c r="L902" s="66"/>
    </row>
    <row r="903" spans="1:13" ht="30" x14ac:dyDescent="0.25">
      <c r="A903" s="32"/>
      <c r="B903" s="32"/>
      <c r="C903" s="32"/>
      <c r="D903" s="32"/>
      <c r="E903" s="32"/>
      <c r="F903" s="32"/>
      <c r="G903" s="1340" t="s">
        <v>2703</v>
      </c>
      <c r="H903" s="66" t="str">
        <f>'BID III'!B850</f>
        <v>Sewa Tranportasi/Outbone</v>
      </c>
      <c r="I903" s="32"/>
      <c r="J903" s="32"/>
      <c r="K903" s="470">
        <f>'BID III'!F850</f>
        <v>20000000</v>
      </c>
      <c r="L903" s="66" t="s">
        <v>1682</v>
      </c>
    </row>
    <row r="904" spans="1:13" ht="45" x14ac:dyDescent="0.25">
      <c r="A904" s="1344">
        <v>3</v>
      </c>
      <c r="B904" s="1344">
        <v>3</v>
      </c>
      <c r="C904" s="1344">
        <v>90</v>
      </c>
      <c r="D904" s="1344"/>
      <c r="E904" s="1344"/>
      <c r="F904" s="1344"/>
      <c r="G904" s="1344"/>
      <c r="H904" s="1345" t="str">
        <f>'BID III'!B864</f>
        <v>: Penunjang Kegiatan Ekonomi Produktif untuk Sekeha Teruna (BKK Kota)</v>
      </c>
      <c r="I904" s="1344"/>
      <c r="J904" s="1344"/>
      <c r="K904" s="1347">
        <f>K907</f>
        <v>210000000</v>
      </c>
      <c r="L904" s="1345" t="s">
        <v>2159</v>
      </c>
    </row>
    <row r="905" spans="1:13" x14ac:dyDescent="0.25">
      <c r="A905" s="32"/>
      <c r="B905" s="32"/>
      <c r="C905" s="32"/>
      <c r="D905" s="32">
        <v>5</v>
      </c>
      <c r="E905" s="32">
        <v>2</v>
      </c>
      <c r="F905" s="32"/>
      <c r="G905" s="32"/>
      <c r="H905" s="66" t="str">
        <f>'BID III'!B869</f>
        <v>Belanja Barang Jasa</v>
      </c>
      <c r="I905" s="32"/>
      <c r="J905" s="32"/>
      <c r="K905" s="32"/>
      <c r="L905" s="66"/>
    </row>
    <row r="906" spans="1:13" ht="45" x14ac:dyDescent="0.25">
      <c r="A906" s="32"/>
      <c r="B906" s="32"/>
      <c r="C906" s="32"/>
      <c r="D906" s="32"/>
      <c r="E906" s="32"/>
      <c r="F906" s="32">
        <v>7</v>
      </c>
      <c r="G906" s="32"/>
      <c r="H906" s="66" t="str">
        <f>'BID III'!B870</f>
        <v>Belanja Barang dan Jasa yang Diserahkan Kepada Masyarakat</v>
      </c>
      <c r="I906" s="32"/>
      <c r="J906" s="32"/>
      <c r="K906" s="32"/>
      <c r="L906" s="66"/>
    </row>
    <row r="907" spans="1:13" ht="30" x14ac:dyDescent="0.25">
      <c r="A907" s="32"/>
      <c r="B907" s="32"/>
      <c r="C907" s="32"/>
      <c r="D907" s="32"/>
      <c r="E907" s="32"/>
      <c r="F907" s="32"/>
      <c r="G907" s="1340" t="s">
        <v>2688</v>
      </c>
      <c r="H907" s="66" t="str">
        <f>'BID III'!B871</f>
        <v>Belanaja Barang  Yang Diserahkan</v>
      </c>
      <c r="I907" s="32"/>
      <c r="J907" s="32"/>
      <c r="K907" s="470">
        <f>'BID III'!F872</f>
        <v>210000000</v>
      </c>
      <c r="L907" s="66" t="s">
        <v>2159</v>
      </c>
    </row>
    <row r="908" spans="1:13" ht="60" x14ac:dyDescent="0.25">
      <c r="A908" s="1344">
        <v>3</v>
      </c>
      <c r="B908" s="1344">
        <v>4</v>
      </c>
      <c r="C908" s="1346" t="s">
        <v>2702</v>
      </c>
      <c r="D908" s="1344"/>
      <c r="E908" s="1344"/>
      <c r="F908" s="1344"/>
      <c r="G908" s="1344"/>
      <c r="H908" s="1345" t="str">
        <f>'BID III'!B887</f>
        <v>: Pelatihan Pembinaan Lembaga Kemasyarakatan (Bulan bakti Gotong royong LPM)</v>
      </c>
      <c r="I908" s="1344"/>
      <c r="J908" s="1344"/>
      <c r="K908" s="1347">
        <f>SUM(K909:K933)</f>
        <v>49987120</v>
      </c>
      <c r="L908" s="1345"/>
      <c r="M908" s="175">
        <f>'BID III'!F946</f>
        <v>49987120</v>
      </c>
    </row>
    <row r="909" spans="1:13" x14ac:dyDescent="0.25">
      <c r="A909" s="32"/>
      <c r="B909" s="32"/>
      <c r="C909" s="32"/>
      <c r="D909" s="32">
        <v>5</v>
      </c>
      <c r="E909" s="32">
        <v>2</v>
      </c>
      <c r="F909" s="32"/>
      <c r="G909" s="32"/>
      <c r="H909" s="66" t="str">
        <f>'BID III'!B893</f>
        <v>Belanja Barang  Dan Jasa</v>
      </c>
      <c r="I909" s="32"/>
      <c r="J909" s="32"/>
      <c r="K909" s="32"/>
      <c r="L909" s="66"/>
      <c r="M909" s="175">
        <f>K908-M908</f>
        <v>0</v>
      </c>
    </row>
    <row r="910" spans="1:13" ht="30" x14ac:dyDescent="0.25">
      <c r="A910" s="32"/>
      <c r="B910" s="32"/>
      <c r="C910" s="32"/>
      <c r="D910" s="32"/>
      <c r="E910" s="32"/>
      <c r="F910" s="32">
        <v>1</v>
      </c>
      <c r="G910" s="32"/>
      <c r="H910" s="66" t="str">
        <f>'BID III'!B894</f>
        <v>Belanja Barang Perlengkapan</v>
      </c>
      <c r="I910" s="32"/>
      <c r="J910" s="32"/>
      <c r="K910" s="32"/>
      <c r="L910" s="66"/>
    </row>
    <row r="911" spans="1:13" ht="30" x14ac:dyDescent="0.25">
      <c r="A911" s="32"/>
      <c r="B911" s="32"/>
      <c r="C911" s="32"/>
      <c r="D911" s="32"/>
      <c r="E911" s="32"/>
      <c r="F911" s="32"/>
      <c r="G911" s="1340" t="s">
        <v>2705</v>
      </c>
      <c r="H911" s="66" t="str">
        <f>'BID III'!B895</f>
        <v>Belanja Perlengkapan Barang Konsumsi</v>
      </c>
      <c r="I911" s="32"/>
      <c r="J911" s="32"/>
      <c r="K911" s="174">
        <f>SUM('BID III'!F896:F897)</f>
        <v>2250000</v>
      </c>
      <c r="L911" s="66" t="s">
        <v>2620</v>
      </c>
    </row>
    <row r="912" spans="1:13" ht="30" x14ac:dyDescent="0.25">
      <c r="A912" s="32"/>
      <c r="B912" s="32"/>
      <c r="C912" s="32"/>
      <c r="D912" s="32"/>
      <c r="E912" s="32"/>
      <c r="F912" s="32"/>
      <c r="G912" s="1340" t="s">
        <v>2707</v>
      </c>
      <c r="H912" s="66" t="str">
        <f>'BID III'!B898</f>
        <v>Belanja Bendera/ Umbul-umbul/ Spanduk</v>
      </c>
      <c r="I912" s="32"/>
      <c r="J912" s="32"/>
      <c r="K912" s="174">
        <f>SUM('BID III'!F899)</f>
        <v>90000</v>
      </c>
      <c r="L912" s="66" t="s">
        <v>2620</v>
      </c>
    </row>
    <row r="913" spans="1:12" ht="30" x14ac:dyDescent="0.25">
      <c r="A913" s="32"/>
      <c r="B913" s="32"/>
      <c r="C913" s="32"/>
      <c r="D913" s="32"/>
      <c r="E913" s="32"/>
      <c r="F913" s="32"/>
      <c r="G913" s="1340" t="s">
        <v>2709</v>
      </c>
      <c r="H913" s="66" t="str">
        <f>'BID III'!B900</f>
        <v>Belanja Pakaian Dinas Seragam Dan Atribut</v>
      </c>
      <c r="I913" s="32"/>
      <c r="J913" s="32"/>
      <c r="K913" s="174">
        <f>SUM('BID III'!F901)</f>
        <v>11900000</v>
      </c>
      <c r="L913" s="66" t="s">
        <v>2620</v>
      </c>
    </row>
    <row r="914" spans="1:12" ht="30" x14ac:dyDescent="0.25">
      <c r="A914" s="32"/>
      <c r="B914" s="32"/>
      <c r="C914" s="32"/>
      <c r="D914" s="32"/>
      <c r="E914" s="32"/>
      <c r="F914" s="32"/>
      <c r="G914" s="32">
        <v>90</v>
      </c>
      <c r="H914" s="66" t="str">
        <f>'BID III'!B902</f>
        <v>Belanja Upakara, Upacara Dan Aci</v>
      </c>
      <c r="I914" s="32"/>
      <c r="J914" s="32"/>
      <c r="K914" s="174">
        <f>SUM('BID III'!F903:F905)</f>
        <v>325000</v>
      </c>
      <c r="L914" s="66" t="s">
        <v>2620</v>
      </c>
    </row>
    <row r="915" spans="1:12" ht="60" x14ac:dyDescent="0.25">
      <c r="A915" s="32"/>
      <c r="B915" s="32"/>
      <c r="C915" s="32"/>
      <c r="D915" s="32">
        <v>5</v>
      </c>
      <c r="E915" s="32">
        <v>2</v>
      </c>
      <c r="F915" s="32">
        <v>7</v>
      </c>
      <c r="G915" s="32"/>
      <c r="H915" s="66" t="str">
        <f>'BID III'!B906</f>
        <v>Belanja Bahan Perlengkapan Yang Diserahkan Ke Masyarakat</v>
      </c>
      <c r="I915" s="32"/>
      <c r="J915" s="32"/>
      <c r="K915" s="32"/>
      <c r="L915" s="66"/>
    </row>
    <row r="916" spans="1:12" ht="60" x14ac:dyDescent="0.25">
      <c r="A916" s="32"/>
      <c r="B916" s="32"/>
      <c r="C916" s="32"/>
      <c r="D916" s="32"/>
      <c r="E916" s="32"/>
      <c r="F916" s="32"/>
      <c r="G916" s="1340" t="s">
        <v>2688</v>
      </c>
      <c r="H916" s="66" t="str">
        <f>'BID III'!B907</f>
        <v>Belanja Bahan Perlengkapan Yang Diserahkan Ke Masyarakat</v>
      </c>
      <c r="I916" s="32"/>
      <c r="J916" s="32"/>
      <c r="K916" s="174">
        <f>SUM('BID III'!F908)</f>
        <v>12950000</v>
      </c>
      <c r="L916" s="66" t="s">
        <v>2620</v>
      </c>
    </row>
    <row r="917" spans="1:12" x14ac:dyDescent="0.25">
      <c r="A917" s="32"/>
      <c r="B917" s="32"/>
      <c r="C917" s="32"/>
      <c r="D917" s="32"/>
      <c r="E917" s="32"/>
      <c r="F917" s="32"/>
      <c r="G917" s="1340"/>
      <c r="H917" s="66" t="str">
        <f>'BID III'!B909</f>
        <v>Donor Darah</v>
      </c>
      <c r="I917" s="32"/>
      <c r="J917" s="32"/>
      <c r="K917" s="174"/>
      <c r="L917" s="66"/>
    </row>
    <row r="918" spans="1:12" ht="30" x14ac:dyDescent="0.25">
      <c r="A918" s="32"/>
      <c r="B918" s="32"/>
      <c r="C918" s="32"/>
      <c r="D918" s="32">
        <v>5</v>
      </c>
      <c r="E918" s="32">
        <v>2</v>
      </c>
      <c r="F918" s="32">
        <v>1</v>
      </c>
      <c r="G918" s="1340" t="s">
        <v>2705</v>
      </c>
      <c r="H918" s="66" t="str">
        <f>'BID III'!B910</f>
        <v>Belanja Perlengkapan Barang Konsumsi</v>
      </c>
      <c r="I918" s="32"/>
      <c r="J918" s="32"/>
      <c r="K918" s="174">
        <f>'BID III'!F911</f>
        <v>1500000</v>
      </c>
      <c r="L918" s="66" t="s">
        <v>2620</v>
      </c>
    </row>
    <row r="919" spans="1:12" ht="30" x14ac:dyDescent="0.25">
      <c r="A919" s="32"/>
      <c r="B919" s="32"/>
      <c r="C919" s="32"/>
      <c r="D919" s="32"/>
      <c r="E919" s="32"/>
      <c r="F919" s="32"/>
      <c r="G919" s="1340" t="s">
        <v>2707</v>
      </c>
      <c r="H919" s="66" t="str">
        <f>'BID III'!B912</f>
        <v>Belanja Bendera/ Umbul-umbul/ Spanduk</v>
      </c>
      <c r="I919" s="32"/>
      <c r="J919" s="32"/>
      <c r="K919" s="174">
        <f>'BID III'!F913</f>
        <v>90000</v>
      </c>
      <c r="L919" s="66" t="s">
        <v>2620</v>
      </c>
    </row>
    <row r="920" spans="1:12" ht="45" x14ac:dyDescent="0.25">
      <c r="A920" s="32"/>
      <c r="B920" s="32"/>
      <c r="C920" s="32"/>
      <c r="D920" s="32">
        <v>5</v>
      </c>
      <c r="E920" s="32">
        <v>2</v>
      </c>
      <c r="F920" s="32">
        <v>7</v>
      </c>
      <c r="G920" s="1340"/>
      <c r="H920" s="66" t="str">
        <f>'BID III'!B914</f>
        <v>Belanja Barang dan Jasa yang Diserahkan kepada Masyarakat</v>
      </c>
      <c r="I920" s="32"/>
      <c r="J920" s="32"/>
      <c r="K920" s="174"/>
      <c r="L920" s="66"/>
    </row>
    <row r="921" spans="1:12" ht="45" x14ac:dyDescent="0.25">
      <c r="A921" s="32"/>
      <c r="B921" s="32"/>
      <c r="C921" s="32"/>
      <c r="D921" s="32"/>
      <c r="E921" s="32"/>
      <c r="F921" s="32"/>
      <c r="G921" s="1340">
        <v>90</v>
      </c>
      <c r="H921" s="66" t="str">
        <f>'BID III'!B915</f>
        <v>Belanja Barang dan Jasa yang Diserahkan kepada Masyarakat Lainnya</v>
      </c>
      <c r="I921" s="32"/>
      <c r="J921" s="32"/>
      <c r="K921" s="174">
        <f>SUM('BID III'!F916)</f>
        <v>3000000</v>
      </c>
      <c r="L921" s="66" t="s">
        <v>2620</v>
      </c>
    </row>
    <row r="922" spans="1:12" x14ac:dyDescent="0.25">
      <c r="A922" s="32"/>
      <c r="B922" s="32"/>
      <c r="C922" s="32"/>
      <c r="D922" s="32"/>
      <c r="E922" s="32"/>
      <c r="F922" s="32"/>
      <c r="G922" s="1340"/>
      <c r="H922" s="66" t="str">
        <f>'BID III'!B917</f>
        <v>Jalan Santai</v>
      </c>
      <c r="I922" s="32"/>
      <c r="J922" s="32"/>
      <c r="K922" s="174"/>
      <c r="L922" s="66"/>
    </row>
    <row r="923" spans="1:12" ht="29.25" customHeight="1" x14ac:dyDescent="0.25">
      <c r="A923" s="32"/>
      <c r="B923" s="32"/>
      <c r="C923" s="32"/>
      <c r="D923" s="32">
        <v>5</v>
      </c>
      <c r="E923" s="32">
        <v>2</v>
      </c>
      <c r="F923" s="32">
        <v>1</v>
      </c>
      <c r="G923" s="1340" t="s">
        <v>2705</v>
      </c>
      <c r="H923" s="66" t="str">
        <f>'BID III'!B918</f>
        <v>Belanja Perlengkapan Barang Konsumsi</v>
      </c>
      <c r="I923" s="32"/>
      <c r="J923" s="32"/>
      <c r="K923" s="174">
        <f>'BID III'!F919</f>
        <v>2250000</v>
      </c>
      <c r="L923" s="66" t="s">
        <v>2620</v>
      </c>
    </row>
    <row r="924" spans="1:12" ht="29.25" customHeight="1" x14ac:dyDescent="0.25">
      <c r="A924" s="32"/>
      <c r="B924" s="32"/>
      <c r="C924" s="32"/>
      <c r="D924" s="32"/>
      <c r="E924" s="32"/>
      <c r="F924" s="32"/>
      <c r="G924" s="1340" t="s">
        <v>2707</v>
      </c>
      <c r="H924" s="66" t="str">
        <f>'BID III'!B920</f>
        <v>Belanja Bendera/ Umbul-umbul/ Spanduk</v>
      </c>
      <c r="I924" s="32"/>
      <c r="J924" s="32"/>
      <c r="K924" s="174">
        <f>'BID III'!F921+'BID III'!F922</f>
        <v>650000</v>
      </c>
      <c r="L924" s="66" t="s">
        <v>2620</v>
      </c>
    </row>
    <row r="925" spans="1:12" ht="30" x14ac:dyDescent="0.25">
      <c r="A925" s="32"/>
      <c r="B925" s="32"/>
      <c r="C925" s="32"/>
      <c r="D925" s="32"/>
      <c r="E925" s="32"/>
      <c r="F925" s="32"/>
      <c r="G925" s="1340">
        <v>90</v>
      </c>
      <c r="H925" s="66" t="str">
        <f>'BID III'!B923</f>
        <v>Belanja Upakara, Upacara Dan Aci</v>
      </c>
      <c r="I925" s="32"/>
      <c r="J925" s="32"/>
      <c r="K925" s="174">
        <f>SUM('BID III'!F924:F926)</f>
        <v>325000</v>
      </c>
      <c r="L925" s="66" t="s">
        <v>2620</v>
      </c>
    </row>
    <row r="926" spans="1:12" x14ac:dyDescent="0.25">
      <c r="A926" s="32"/>
      <c r="B926" s="32"/>
      <c r="C926" s="32"/>
      <c r="D926" s="32">
        <v>5</v>
      </c>
      <c r="E926" s="32">
        <v>2</v>
      </c>
      <c r="F926" s="32">
        <v>2</v>
      </c>
      <c r="G926" s="1340"/>
      <c r="H926" s="66" t="str">
        <f>'BID III'!B927</f>
        <v>Belanja Honrarium</v>
      </c>
      <c r="I926" s="32"/>
      <c r="J926" s="32"/>
      <c r="K926" s="174"/>
      <c r="L926" s="66"/>
    </row>
    <row r="927" spans="1:12" ht="45" x14ac:dyDescent="0.25">
      <c r="A927" s="32"/>
      <c r="B927" s="32"/>
      <c r="C927" s="32"/>
      <c r="D927" s="32"/>
      <c r="E927" s="32"/>
      <c r="F927" s="32"/>
      <c r="G927" s="1340" t="s">
        <v>2688</v>
      </c>
      <c r="H927" s="66" t="str">
        <f>'BID III'!B928</f>
        <v>Belanja Honrarium Tim Yang Melaksanakan Kegiatan</v>
      </c>
      <c r="I927" s="32"/>
      <c r="J927" s="32"/>
      <c r="K927" s="174">
        <f>SUM('BID III'!F929:F931)</f>
        <v>1150000</v>
      </c>
      <c r="L927" s="66" t="s">
        <v>2620</v>
      </c>
    </row>
    <row r="928" spans="1:12" ht="30" x14ac:dyDescent="0.25">
      <c r="A928" s="32"/>
      <c r="B928" s="32"/>
      <c r="C928" s="32"/>
      <c r="D928" s="32"/>
      <c r="E928" s="32"/>
      <c r="F928" s="32"/>
      <c r="G928" s="1340" t="s">
        <v>2706</v>
      </c>
      <c r="H928" s="66" t="str">
        <f>'BID III'!B932</f>
        <v>Belanja Honrarium Petugas</v>
      </c>
      <c r="I928" s="32"/>
      <c r="J928" s="32"/>
      <c r="K928" s="174">
        <f>SUM('BID III'!F933:F934)</f>
        <v>1600000</v>
      </c>
      <c r="L928" s="66" t="s">
        <v>2620</v>
      </c>
    </row>
    <row r="929" spans="1:13" x14ac:dyDescent="0.25">
      <c r="A929" s="32"/>
      <c r="B929" s="32"/>
      <c r="C929" s="32"/>
      <c r="D929" s="32">
        <v>5</v>
      </c>
      <c r="E929" s="32">
        <v>2</v>
      </c>
      <c r="F929" s="32">
        <v>4</v>
      </c>
      <c r="G929" s="1340"/>
      <c r="H929" s="32" t="str">
        <f>'BID III'!B935</f>
        <v>Belanja Jasa Sewa</v>
      </c>
      <c r="I929" s="32"/>
      <c r="J929" s="32"/>
      <c r="K929" s="174"/>
      <c r="L929" s="66"/>
    </row>
    <row r="930" spans="1:13" ht="30" x14ac:dyDescent="0.25">
      <c r="A930" s="32"/>
      <c r="B930" s="32"/>
      <c r="C930" s="32"/>
      <c r="D930" s="32"/>
      <c r="E930" s="32"/>
      <c r="F930" s="32"/>
      <c r="G930" s="1340" t="s">
        <v>2688</v>
      </c>
      <c r="H930" s="32" t="str">
        <f>'BID III'!B936</f>
        <v>Sewa Gedung</v>
      </c>
      <c r="I930" s="32"/>
      <c r="J930" s="32"/>
      <c r="K930" s="174">
        <f>'BID III'!F937</f>
        <v>1000000</v>
      </c>
      <c r="L930" s="66" t="s">
        <v>2627</v>
      </c>
    </row>
    <row r="931" spans="1:13" ht="30" x14ac:dyDescent="0.25">
      <c r="A931" s="32"/>
      <c r="B931" s="32"/>
      <c r="C931" s="32"/>
      <c r="D931" s="32"/>
      <c r="E931" s="32"/>
      <c r="F931" s="32"/>
      <c r="G931" s="1340" t="s">
        <v>2702</v>
      </c>
      <c r="H931" s="66" t="str">
        <f>'BID III'!B938</f>
        <v>Belanja Jasa Sewa Perlengkapan</v>
      </c>
      <c r="I931" s="32"/>
      <c r="J931" s="32"/>
      <c r="K931" s="174">
        <f>'BID III'!F939</f>
        <v>1826060</v>
      </c>
      <c r="L931" s="66" t="s">
        <v>2627</v>
      </c>
    </row>
    <row r="932" spans="1:13" ht="45" x14ac:dyDescent="0.25">
      <c r="A932" s="32"/>
      <c r="B932" s="32"/>
      <c r="C932" s="32"/>
      <c r="D932" s="32">
        <v>5</v>
      </c>
      <c r="E932" s="32">
        <v>2</v>
      </c>
      <c r="F932" s="32">
        <v>7</v>
      </c>
      <c r="G932" s="1340"/>
      <c r="H932" s="66" t="str">
        <f>'BID III'!B940</f>
        <v>Belanja Barang dan Jasa yang Diserahkan kepada Masyarakat</v>
      </c>
      <c r="I932" s="32"/>
      <c r="J932" s="32"/>
      <c r="K932" s="174"/>
      <c r="L932" s="66"/>
    </row>
    <row r="933" spans="1:13" ht="30" x14ac:dyDescent="0.25">
      <c r="A933" s="32"/>
      <c r="B933" s="32"/>
      <c r="C933" s="32"/>
      <c r="D933" s="32"/>
      <c r="E933" s="32"/>
      <c r="F933" s="32"/>
      <c r="G933" s="1340">
        <v>90</v>
      </c>
      <c r="H933" s="66" t="str">
        <f>'BID III'!B941</f>
        <v>Belanja Jasa Atlit dan Seniman Berprestasi</v>
      </c>
      <c r="I933" s="32"/>
      <c r="J933" s="32"/>
      <c r="K933" s="174">
        <f>SUM('BID III'!F942:F944)</f>
        <v>9081060</v>
      </c>
      <c r="L933" s="66" t="s">
        <v>2627</v>
      </c>
    </row>
    <row r="934" spans="1:13" x14ac:dyDescent="0.25">
      <c r="A934" s="32"/>
      <c r="B934" s="32"/>
      <c r="C934" s="32"/>
      <c r="D934" s="32"/>
      <c r="E934" s="32"/>
      <c r="F934" s="32"/>
      <c r="G934" s="1340"/>
      <c r="H934" s="66"/>
      <c r="I934" s="32"/>
      <c r="J934" s="32"/>
      <c r="K934" s="174"/>
      <c r="L934" s="66"/>
    </row>
    <row r="935" spans="1:13" ht="30" x14ac:dyDescent="0.25">
      <c r="A935" s="1344">
        <v>3</v>
      </c>
      <c r="B935" s="1344">
        <v>4</v>
      </c>
      <c r="C935" s="1346" t="s">
        <v>2702</v>
      </c>
      <c r="D935" s="1344"/>
      <c r="E935" s="1344"/>
      <c r="F935" s="1344"/>
      <c r="G935" s="1344"/>
      <c r="H935" s="1345" t="str">
        <f>'BID III'!B959</f>
        <v>: Pembinaan LKMD / LPM / LPMD (Pelatihan LPM)</v>
      </c>
      <c r="I935" s="1344"/>
      <c r="J935" s="1344"/>
      <c r="K935" s="1347">
        <f>SUM(K936:K942)</f>
        <v>1205000</v>
      </c>
      <c r="L935" s="1345" t="s">
        <v>1682</v>
      </c>
      <c r="M935" s="175">
        <f>'BID III'!F979</f>
        <v>1205000</v>
      </c>
    </row>
    <row r="936" spans="1:13" x14ac:dyDescent="0.25">
      <c r="A936" s="32"/>
      <c r="B936" s="32"/>
      <c r="C936" s="32"/>
      <c r="D936" s="32">
        <v>5</v>
      </c>
      <c r="E936" s="32">
        <v>2</v>
      </c>
      <c r="F936" s="32"/>
      <c r="G936" s="32"/>
      <c r="H936" s="66" t="str">
        <f>'BID III'!B965</f>
        <v>Belanja Barang Dan Jasa</v>
      </c>
      <c r="I936" s="32"/>
      <c r="J936" s="32"/>
      <c r="K936" s="32"/>
      <c r="L936" s="66"/>
    </row>
    <row r="937" spans="1:13" ht="30" x14ac:dyDescent="0.25">
      <c r="A937" s="32"/>
      <c r="B937" s="32"/>
      <c r="C937" s="32"/>
      <c r="D937" s="32"/>
      <c r="E937" s="32"/>
      <c r="F937" s="32">
        <v>1</v>
      </c>
      <c r="G937" s="32"/>
      <c r="H937" s="66" t="str">
        <f>'BID III'!B966</f>
        <v>Belanja Barang Perlengkapan</v>
      </c>
      <c r="I937" s="32"/>
      <c r="J937" s="32"/>
      <c r="K937" s="32"/>
      <c r="L937" s="66"/>
    </row>
    <row r="938" spans="1:13" ht="30" x14ac:dyDescent="0.25">
      <c r="A938" s="32"/>
      <c r="B938" s="32"/>
      <c r="C938" s="32"/>
      <c r="D938" s="32"/>
      <c r="E938" s="32"/>
      <c r="F938" s="32"/>
      <c r="G938" s="1340" t="s">
        <v>2705</v>
      </c>
      <c r="H938" s="66" t="str">
        <f>'BID III'!B967</f>
        <v>Belanja Perlengkapan Barang Konsumsi</v>
      </c>
      <c r="I938" s="32"/>
      <c r="J938" s="32"/>
      <c r="K938" s="174">
        <f>SUM('BID III'!F968)</f>
        <v>450000</v>
      </c>
      <c r="L938" s="66" t="s">
        <v>1682</v>
      </c>
    </row>
    <row r="939" spans="1:13" ht="30" x14ac:dyDescent="0.25">
      <c r="A939" s="32"/>
      <c r="B939" s="32"/>
      <c r="C939" s="32"/>
      <c r="D939" s="32"/>
      <c r="E939" s="32"/>
      <c r="F939" s="32"/>
      <c r="G939" s="1340" t="s">
        <v>2707</v>
      </c>
      <c r="H939" s="66" t="str">
        <f>'BID III'!B969</f>
        <v>Belanja Bendera/ Umbul-umbul/ Spanduk</v>
      </c>
      <c r="I939" s="32"/>
      <c r="J939" s="32"/>
      <c r="K939" s="174">
        <f>'BID III'!F970</f>
        <v>90000</v>
      </c>
      <c r="L939" s="66" t="s">
        <v>1682</v>
      </c>
    </row>
    <row r="940" spans="1:13" ht="30" x14ac:dyDescent="0.25">
      <c r="A940" s="32"/>
      <c r="B940" s="32"/>
      <c r="C940" s="32"/>
      <c r="D940" s="32"/>
      <c r="E940" s="32"/>
      <c r="F940" s="32"/>
      <c r="G940" s="32">
        <v>90</v>
      </c>
      <c r="H940" s="66" t="str">
        <f>'BID III'!B971</f>
        <v>Belanja Upakara, Upacara Dan Aci</v>
      </c>
      <c r="I940" s="32"/>
      <c r="J940" s="32"/>
      <c r="K940" s="174">
        <f>'BID III'!F972+'BID III'!F973+'BID III'!F974</f>
        <v>65000</v>
      </c>
      <c r="L940" s="66" t="s">
        <v>1682</v>
      </c>
    </row>
    <row r="941" spans="1:13" x14ac:dyDescent="0.25">
      <c r="A941" s="32"/>
      <c r="B941" s="32"/>
      <c r="C941" s="32"/>
      <c r="D941" s="32">
        <v>5</v>
      </c>
      <c r="E941" s="32">
        <v>2</v>
      </c>
      <c r="F941" s="32">
        <v>2</v>
      </c>
      <c r="G941" s="32"/>
      <c r="H941" s="66" t="str">
        <f>'BID III'!B975</f>
        <v>Belanja Honorarium</v>
      </c>
      <c r="I941" s="32"/>
      <c r="J941" s="32"/>
      <c r="K941" s="32"/>
      <c r="L941" s="66"/>
    </row>
    <row r="942" spans="1:13" ht="45" x14ac:dyDescent="0.25">
      <c r="A942" s="32"/>
      <c r="B942" s="32"/>
      <c r="C942" s="32"/>
      <c r="D942" s="32"/>
      <c r="E942" s="32"/>
      <c r="F942" s="32"/>
      <c r="G942" s="1340" t="s">
        <v>2704</v>
      </c>
      <c r="H942" s="66" t="str">
        <f>'BID III'!B976</f>
        <v>Belanja Jasa Honorarium Ahli/Profesi/Konsultan/ Narasumber</v>
      </c>
      <c r="I942" s="32"/>
      <c r="J942" s="32"/>
      <c r="K942" s="174">
        <f>'BID III'!F977</f>
        <v>600000</v>
      </c>
      <c r="L942" s="66" t="s">
        <v>1682</v>
      </c>
    </row>
    <row r="943" spans="1:13" ht="30" x14ac:dyDescent="0.25">
      <c r="A943" s="1344">
        <v>3</v>
      </c>
      <c r="B943" s="1344">
        <v>4</v>
      </c>
      <c r="C943" s="1346" t="s">
        <v>2703</v>
      </c>
      <c r="D943" s="1344"/>
      <c r="E943" s="1344"/>
      <c r="F943" s="1344"/>
      <c r="G943" s="1344"/>
      <c r="H943" s="1345" t="str">
        <f>'BID III'!B992</f>
        <v>: Pembinaan PKK  ( Pembinaan administrasi )</v>
      </c>
      <c r="I943" s="1344"/>
      <c r="J943" s="1344"/>
      <c r="K943" s="1347">
        <f>SUM(K944:K951)</f>
        <v>11877000</v>
      </c>
      <c r="L943" s="1345" t="s">
        <v>1682</v>
      </c>
    </row>
    <row r="944" spans="1:13" x14ac:dyDescent="0.25">
      <c r="A944" s="32"/>
      <c r="B944" s="32"/>
      <c r="C944" s="32"/>
      <c r="D944" s="32">
        <v>5</v>
      </c>
      <c r="E944" s="32">
        <v>2</v>
      </c>
      <c r="F944" s="32"/>
      <c r="G944" s="32"/>
      <c r="H944" s="66" t="str">
        <f>'BID III'!B997</f>
        <v>Belanja Barang Jasa</v>
      </c>
      <c r="I944" s="32"/>
      <c r="J944" s="32"/>
      <c r="K944" s="32"/>
      <c r="L944" s="66"/>
    </row>
    <row r="945" spans="1:14" ht="30" x14ac:dyDescent="0.25">
      <c r="A945" s="32"/>
      <c r="B945" s="32"/>
      <c r="C945" s="32"/>
      <c r="D945" s="32"/>
      <c r="E945" s="32"/>
      <c r="F945" s="32">
        <v>1</v>
      </c>
      <c r="G945" s="32"/>
      <c r="H945" s="66" t="str">
        <f>'BID III'!B998</f>
        <v>Belanja Barang Perlengkapan</v>
      </c>
      <c r="I945" s="32"/>
      <c r="J945" s="32"/>
      <c r="K945" s="32"/>
      <c r="L945" s="66"/>
    </row>
    <row r="946" spans="1:14" ht="30" x14ac:dyDescent="0.25">
      <c r="A946" s="32"/>
      <c r="B946" s="32"/>
      <c r="C946" s="32"/>
      <c r="D946" s="32"/>
      <c r="E946" s="32"/>
      <c r="F946" s="32"/>
      <c r="G946" s="1340" t="s">
        <v>2688</v>
      </c>
      <c r="H946" s="66" t="str">
        <f>'BID III'!B999</f>
        <v>Belanja Alat Tulis Kantor dan Benda Pos</v>
      </c>
      <c r="I946" s="32"/>
      <c r="J946" s="32"/>
      <c r="K946" s="1354">
        <f>SUM('BID III'!F1000:F1003)</f>
        <v>87000</v>
      </c>
      <c r="L946" s="66" t="s">
        <v>1682</v>
      </c>
    </row>
    <row r="947" spans="1:14" ht="30" x14ac:dyDescent="0.25">
      <c r="A947" s="32"/>
      <c r="B947" s="32"/>
      <c r="C947" s="32"/>
      <c r="D947" s="32"/>
      <c r="E947" s="32"/>
      <c r="F947" s="32"/>
      <c r="G947" s="1340" t="s">
        <v>2705</v>
      </c>
      <c r="H947" s="66" t="str">
        <f>'BID III'!B1004</f>
        <v>Belanja Perlengkapan Barang Konsumsi</v>
      </c>
      <c r="I947" s="32"/>
      <c r="J947" s="32"/>
      <c r="K947" s="1354">
        <f>'BID III'!F1005</f>
        <v>600000</v>
      </c>
      <c r="L947" s="66" t="s">
        <v>1682</v>
      </c>
    </row>
    <row r="948" spans="1:14" ht="30" x14ac:dyDescent="0.25">
      <c r="A948" s="32"/>
      <c r="B948" s="32"/>
      <c r="C948" s="32"/>
      <c r="D948" s="32"/>
      <c r="E948" s="32"/>
      <c r="F948" s="32"/>
      <c r="G948" s="1340" t="s">
        <v>2707</v>
      </c>
      <c r="H948" s="66" t="str">
        <f>'BID III'!B1006</f>
        <v>Belanja Bendera/ Umbul-umbul/ Spanduk</v>
      </c>
      <c r="I948" s="32"/>
      <c r="J948" s="32"/>
      <c r="K948" s="1354">
        <f>'BID III'!F1007</f>
        <v>90000</v>
      </c>
      <c r="L948" s="66" t="s">
        <v>1682</v>
      </c>
    </row>
    <row r="949" spans="1:14" ht="30" x14ac:dyDescent="0.25">
      <c r="A949" s="32"/>
      <c r="B949" s="32"/>
      <c r="C949" s="32"/>
      <c r="D949" s="32"/>
      <c r="E949" s="32"/>
      <c r="F949" s="32"/>
      <c r="G949" s="1340" t="s">
        <v>2709</v>
      </c>
      <c r="H949" s="66" t="str">
        <f>'BID III'!B1008</f>
        <v>Belanja Pakaian Dinas / Seragam/ Atribut</v>
      </c>
      <c r="I949" s="32"/>
      <c r="J949" s="32"/>
      <c r="K949" s="1354">
        <f>'BID III'!F1009</f>
        <v>10500000</v>
      </c>
      <c r="L949" s="66" t="s">
        <v>1682</v>
      </c>
    </row>
    <row r="950" spans="1:14" x14ac:dyDescent="0.25">
      <c r="A950" s="32"/>
      <c r="B950" s="32"/>
      <c r="C950" s="32"/>
      <c r="D950" s="32">
        <v>5</v>
      </c>
      <c r="E950" s="32">
        <v>2</v>
      </c>
      <c r="F950" s="32">
        <v>2</v>
      </c>
      <c r="G950" s="32"/>
      <c r="H950" s="66" t="str">
        <f>'BID III'!B1010</f>
        <v>Belanja  Jasa Honorarium</v>
      </c>
      <c r="I950" s="32"/>
      <c r="J950" s="32"/>
      <c r="K950" s="32"/>
      <c r="L950" s="66"/>
    </row>
    <row r="951" spans="1:14" ht="60" x14ac:dyDescent="0.25">
      <c r="A951" s="32"/>
      <c r="B951" s="32"/>
      <c r="C951" s="32"/>
      <c r="D951" s="32"/>
      <c r="E951" s="32"/>
      <c r="F951" s="32"/>
      <c r="G951" s="1340" t="s">
        <v>2704</v>
      </c>
      <c r="H951" s="66" t="str">
        <f>'BID III'!B1011</f>
        <v>Belanja Jasa Honorarium Ahli/ Profesi/Konsultan/Narasumber</v>
      </c>
      <c r="I951" s="32"/>
      <c r="J951" s="32"/>
      <c r="K951" s="1354">
        <f>'BID III'!F1012</f>
        <v>600000</v>
      </c>
      <c r="L951" s="66" t="s">
        <v>1682</v>
      </c>
    </row>
    <row r="952" spans="1:14" ht="45" x14ac:dyDescent="0.25">
      <c r="A952" s="1344">
        <v>3</v>
      </c>
      <c r="B952" s="1344">
        <v>4</v>
      </c>
      <c r="C952" s="1346" t="s">
        <v>2704</v>
      </c>
      <c r="D952" s="1344"/>
      <c r="E952" s="1344"/>
      <c r="F952" s="1344"/>
      <c r="G952" s="1344"/>
      <c r="H952" s="1345" t="str">
        <f>'BID III'!B1027</f>
        <v>:Pelatihan Pembinaan Lembaga Kemasyarakatan (Input data  Dasawisma)</v>
      </c>
      <c r="I952" s="1344"/>
      <c r="J952" s="1344"/>
      <c r="K952" s="1347">
        <f>SUM(K953:K959)</f>
        <v>15190000</v>
      </c>
      <c r="L952" s="1345" t="s">
        <v>1682</v>
      </c>
    </row>
    <row r="953" spans="1:14" x14ac:dyDescent="0.25">
      <c r="A953" s="32"/>
      <c r="B953" s="32"/>
      <c r="C953" s="32"/>
      <c r="D953" s="32">
        <v>5</v>
      </c>
      <c r="E953" s="32">
        <v>2</v>
      </c>
      <c r="F953" s="32"/>
      <c r="G953" s="32"/>
      <c r="H953" s="66" t="str">
        <f>'BID III'!B1032</f>
        <v>Belanja Barang Jasa</v>
      </c>
      <c r="I953" s="32"/>
      <c r="J953" s="32"/>
      <c r="K953" s="470"/>
      <c r="L953" s="66"/>
    </row>
    <row r="954" spans="1:14" ht="30" x14ac:dyDescent="0.25">
      <c r="A954" s="32"/>
      <c r="B954" s="32"/>
      <c r="C954" s="32"/>
      <c r="D954" s="32"/>
      <c r="E954" s="32"/>
      <c r="F954" s="32">
        <v>1</v>
      </c>
      <c r="G954" s="32"/>
      <c r="H954" s="66" t="str">
        <f>'BID III'!B1033</f>
        <v>Belanja Barang Perlengkapan</v>
      </c>
      <c r="I954" s="32"/>
      <c r="J954" s="32"/>
      <c r="K954" s="470"/>
      <c r="L954" s="66"/>
    </row>
    <row r="955" spans="1:14" ht="45" x14ac:dyDescent="0.25">
      <c r="A955" s="32"/>
      <c r="B955" s="32"/>
      <c r="C955" s="32"/>
      <c r="D955" s="32"/>
      <c r="E955" s="32"/>
      <c r="F955" s="32"/>
      <c r="G955" s="1340" t="s">
        <v>2688</v>
      </c>
      <c r="H955" s="66" t="str">
        <f>'BID III'!B1034</f>
        <v>Belanja Perlengkapan Alat Tulis Kantor dan Benda Pos</v>
      </c>
      <c r="I955" s="32"/>
      <c r="J955" s="32"/>
      <c r="K955" s="470">
        <f>SUM('BID III'!F1035:F1035)</f>
        <v>5000000</v>
      </c>
      <c r="L955" s="66" t="s">
        <v>1682</v>
      </c>
    </row>
    <row r="956" spans="1:14" ht="30" x14ac:dyDescent="0.25">
      <c r="A956" s="32"/>
      <c r="B956" s="32"/>
      <c r="C956" s="32"/>
      <c r="D956" s="32"/>
      <c r="E956" s="32"/>
      <c r="F956" s="32"/>
      <c r="G956" s="1340" t="s">
        <v>2705</v>
      </c>
      <c r="H956" s="66" t="str">
        <f>'BID III'!B1036</f>
        <v>Belanja Perlengkapan Barang Konsumsi</v>
      </c>
      <c r="I956" s="32"/>
      <c r="J956" s="32"/>
      <c r="K956" s="470">
        <f>'BID III'!F1037</f>
        <v>300000</v>
      </c>
      <c r="L956" s="66" t="s">
        <v>1682</v>
      </c>
    </row>
    <row r="957" spans="1:14" ht="30" x14ac:dyDescent="0.25">
      <c r="A957" s="32"/>
      <c r="B957" s="32"/>
      <c r="C957" s="32"/>
      <c r="D957" s="32"/>
      <c r="E957" s="32"/>
      <c r="F957" s="32"/>
      <c r="G957" s="32">
        <v>90</v>
      </c>
      <c r="H957" s="66" t="str">
        <f>'BID III'!B1039</f>
        <v>Belanja Upakara, Upacara Dan Aci</v>
      </c>
      <c r="I957" s="32"/>
      <c r="J957" s="32"/>
      <c r="K957" s="470">
        <f>'BID III'!F1040</f>
        <v>50000</v>
      </c>
      <c r="L957" s="66" t="s">
        <v>1682</v>
      </c>
    </row>
    <row r="958" spans="1:14" ht="45" x14ac:dyDescent="0.25">
      <c r="A958" s="32"/>
      <c r="B958" s="32"/>
      <c r="C958" s="32"/>
      <c r="D958" s="32"/>
      <c r="E958" s="32"/>
      <c r="F958" s="32"/>
      <c r="G958" s="1340" t="s">
        <v>2704</v>
      </c>
      <c r="H958" s="66" t="str">
        <f>'BID III'!B1043</f>
        <v>Belanja Jasa Honorarium Ahli/Profesi/Konsultan/Narasumber</v>
      </c>
      <c r="I958" s="32"/>
      <c r="J958" s="32"/>
      <c r="K958" s="470">
        <f>SUM('BID III'!F1043:F1044)</f>
        <v>300000</v>
      </c>
      <c r="L958" s="66" t="s">
        <v>1682</v>
      </c>
    </row>
    <row r="959" spans="1:14" ht="30" x14ac:dyDescent="0.25">
      <c r="A959" s="32"/>
      <c r="B959" s="32"/>
      <c r="C959" s="32"/>
      <c r="D959" s="32"/>
      <c r="E959" s="32"/>
      <c r="F959" s="32"/>
      <c r="G959" s="1340" t="s">
        <v>2706</v>
      </c>
      <c r="H959" s="66" t="str">
        <f>'BID III'!B1046</f>
        <v>Belanja Jasa Honorarium Petugas</v>
      </c>
      <c r="I959" s="32"/>
      <c r="J959" s="32"/>
      <c r="K959" s="470">
        <f>SUM('BID III'!F1047:F1047)</f>
        <v>9540000</v>
      </c>
      <c r="L959" s="66" t="s">
        <v>1682</v>
      </c>
    </row>
    <row r="960" spans="1:14" ht="37.5" customHeight="1" x14ac:dyDescent="0.25">
      <c r="A960" s="1342">
        <v>4</v>
      </c>
      <c r="B960" s="1342"/>
      <c r="C960" s="1342"/>
      <c r="D960" s="1342"/>
      <c r="E960" s="1342"/>
      <c r="F960" s="1342"/>
      <c r="G960" s="1342"/>
      <c r="H960" s="1343" t="str">
        <f>'BID IV'!B7</f>
        <v>: Pemberdayaan Masyarakat Desa</v>
      </c>
      <c r="I960" s="1342"/>
      <c r="J960" s="1342"/>
      <c r="K960" s="1351">
        <f>K961+K972+K983+K991+K1008+K999+K1018+K1026+K1035+K1043</f>
        <v>200240296</v>
      </c>
      <c r="L960" s="1343"/>
      <c r="M960">
        <f>Hitungan!X8</f>
        <v>200240296</v>
      </c>
      <c r="N960" s="175">
        <f>M960-K960</f>
        <v>0</v>
      </c>
    </row>
    <row r="961" spans="1:13" ht="30" x14ac:dyDescent="0.25">
      <c r="A961" s="1344">
        <v>4</v>
      </c>
      <c r="B961" s="1344">
        <v>2</v>
      </c>
      <c r="C961" s="1346" t="s">
        <v>2688</v>
      </c>
      <c r="D961" s="1344"/>
      <c r="E961" s="1344"/>
      <c r="F961" s="1344"/>
      <c r="G961" s="1344"/>
      <c r="H961" s="1345" t="str">
        <f>'BID IV'!B9</f>
        <v>: (Ketahanan Pangan) Pelatihan Budidaya Jamur</v>
      </c>
      <c r="I961" s="1344"/>
      <c r="J961" s="1344"/>
      <c r="K961" s="1347">
        <f>SUM(K962:K971)</f>
        <v>12945000</v>
      </c>
      <c r="L961" s="1345" t="s">
        <v>2387</v>
      </c>
      <c r="M961" s="175">
        <f>K960-M960</f>
        <v>0</v>
      </c>
    </row>
    <row r="962" spans="1:13" x14ac:dyDescent="0.25">
      <c r="A962" s="32"/>
      <c r="B962" s="32"/>
      <c r="C962" s="32"/>
      <c r="D962" s="32">
        <v>5</v>
      </c>
      <c r="E962" s="32">
        <v>2</v>
      </c>
      <c r="F962" s="32"/>
      <c r="G962" s="32"/>
      <c r="H962" s="66" t="str">
        <f>'BID IV'!B14</f>
        <v>Belanja Barang Dan Jasa</v>
      </c>
      <c r="I962" s="32"/>
      <c r="J962" s="32"/>
      <c r="K962" s="32"/>
      <c r="L962" s="66"/>
    </row>
    <row r="963" spans="1:13" ht="30" x14ac:dyDescent="0.25">
      <c r="A963" s="32"/>
      <c r="B963" s="32"/>
      <c r="C963" s="32"/>
      <c r="D963" s="32"/>
      <c r="E963" s="32"/>
      <c r="F963" s="32">
        <v>1</v>
      </c>
      <c r="G963" s="32"/>
      <c r="H963" s="66" t="str">
        <f>'BID IV'!B15</f>
        <v>Belanja Barang Perlengkapan</v>
      </c>
      <c r="I963" s="32"/>
      <c r="J963" s="32"/>
      <c r="K963" s="32"/>
      <c r="L963" s="66"/>
    </row>
    <row r="964" spans="1:13" ht="30" x14ac:dyDescent="0.25">
      <c r="A964" s="32"/>
      <c r="B964" s="32"/>
      <c r="C964" s="32"/>
      <c r="D964" s="32"/>
      <c r="E964" s="32"/>
      <c r="F964" s="32"/>
      <c r="G964" s="1340" t="s">
        <v>2705</v>
      </c>
      <c r="H964" s="66" t="str">
        <f>'BID IV'!B16</f>
        <v>Belanja Perlengkapan Barang Konsumsi</v>
      </c>
      <c r="I964" s="32"/>
      <c r="J964" s="32"/>
      <c r="K964" s="174">
        <f>SUM('BID IV'!F17)</f>
        <v>900000</v>
      </c>
      <c r="L964" s="66" t="s">
        <v>2387</v>
      </c>
    </row>
    <row r="965" spans="1:13" ht="30" x14ac:dyDescent="0.25">
      <c r="A965" s="32"/>
      <c r="B965" s="32"/>
      <c r="C965" s="32"/>
      <c r="D965" s="32"/>
      <c r="E965" s="32"/>
      <c r="F965" s="32"/>
      <c r="G965" s="1340" t="s">
        <v>2707</v>
      </c>
      <c r="H965" s="66" t="str">
        <f>'BID IV'!B19</f>
        <v>Belanja Bendera/ Umbul-umbul/ Spanduk</v>
      </c>
      <c r="I965" s="32"/>
      <c r="J965" s="32"/>
      <c r="K965" s="174">
        <f>'BID IV'!F20</f>
        <v>90000</v>
      </c>
      <c r="L965" s="66" t="s">
        <v>2387</v>
      </c>
    </row>
    <row r="966" spans="1:13" ht="30" x14ac:dyDescent="0.25">
      <c r="A966" s="32"/>
      <c r="B966" s="32"/>
      <c r="C966" s="32"/>
      <c r="D966" s="32"/>
      <c r="E966" s="32"/>
      <c r="F966" s="32"/>
      <c r="G966" s="32">
        <v>90</v>
      </c>
      <c r="H966" s="66" t="str">
        <f>'BID IV'!B22</f>
        <v>Belanja Upakara, Upacara dan Aci</v>
      </c>
      <c r="I966" s="32"/>
      <c r="J966" s="32"/>
      <c r="K966" s="174">
        <f>SUM('BID IV'!F23:F25)</f>
        <v>75000</v>
      </c>
      <c r="L966" s="66" t="s">
        <v>2387</v>
      </c>
    </row>
    <row r="967" spans="1:13" x14ac:dyDescent="0.25">
      <c r="A967" s="32"/>
      <c r="B967" s="32"/>
      <c r="C967" s="32"/>
      <c r="D967" s="32">
        <v>5</v>
      </c>
      <c r="E967" s="32">
        <v>2</v>
      </c>
      <c r="F967" s="32">
        <v>2</v>
      </c>
      <c r="G967" s="32"/>
      <c r="H967" s="66" t="str">
        <f>'BID IV'!B27</f>
        <v>Belanja Jasa Honorarium</v>
      </c>
      <c r="I967" s="32"/>
      <c r="J967" s="32"/>
      <c r="K967" s="32"/>
      <c r="L967" s="66"/>
    </row>
    <row r="968" spans="1:13" ht="45" x14ac:dyDescent="0.25">
      <c r="A968" s="32"/>
      <c r="B968" s="32"/>
      <c r="C968" s="32"/>
      <c r="D968" s="32"/>
      <c r="E968" s="32"/>
      <c r="F968" s="32"/>
      <c r="G968" s="1340" t="s">
        <v>2688</v>
      </c>
      <c r="H968" s="66" t="str">
        <f>'BID IV'!B28</f>
        <v>Belanja Jasa Honorarium Tim Yang Melaksanakan Kegiatan</v>
      </c>
      <c r="I968" s="32"/>
      <c r="J968" s="32"/>
      <c r="K968" s="174">
        <f>'BID IV'!F29+'BID IV'!F30+'BID IV'!F31</f>
        <v>1150000</v>
      </c>
      <c r="L968" s="66" t="s">
        <v>2387</v>
      </c>
    </row>
    <row r="969" spans="1:13" ht="45" x14ac:dyDescent="0.25">
      <c r="A969" s="32"/>
      <c r="B969" s="32"/>
      <c r="C969" s="32"/>
      <c r="D969" s="32"/>
      <c r="E969" s="32"/>
      <c r="F969" s="32"/>
      <c r="G969" s="1340" t="s">
        <v>2704</v>
      </c>
      <c r="H969" s="66" t="str">
        <f>'BID IV'!B33</f>
        <v>Belanja Jasa Honorarium Ahli/Profesi/Konsultan/Narasumber</v>
      </c>
      <c r="I969" s="32"/>
      <c r="J969" s="32"/>
      <c r="K969" s="174">
        <f>'BID IV'!F34</f>
        <v>1200000</v>
      </c>
      <c r="L969" s="66" t="s">
        <v>2387</v>
      </c>
    </row>
    <row r="970" spans="1:13" ht="45" x14ac:dyDescent="0.25">
      <c r="A970" s="32"/>
      <c r="B970" s="32"/>
      <c r="C970" s="32"/>
      <c r="D970" s="32">
        <v>5</v>
      </c>
      <c r="E970" s="32">
        <v>2</v>
      </c>
      <c r="F970" s="32">
        <v>7</v>
      </c>
      <c r="G970" s="32"/>
      <c r="H970" s="66" t="str">
        <f>'BID IV'!B36</f>
        <v>Belanja Barang Dan jasa Yang Diserahkan Kepada Masyarakat</v>
      </c>
      <c r="I970" s="32"/>
      <c r="J970" s="32"/>
      <c r="K970" s="32"/>
      <c r="L970" s="66"/>
    </row>
    <row r="971" spans="1:13" ht="60" x14ac:dyDescent="0.25">
      <c r="A971" s="32"/>
      <c r="B971" s="32"/>
      <c r="C971" s="32"/>
      <c r="D971" s="32"/>
      <c r="E971" s="32"/>
      <c r="F971" s="32"/>
      <c r="G971" s="1340" t="s">
        <v>2688</v>
      </c>
      <c r="H971" s="66" t="str">
        <f>'BID IV'!B37</f>
        <v>Belanja Bahan Perlengkapan Yang Diserahkan Ke Masyarakat</v>
      </c>
      <c r="I971" s="32"/>
      <c r="J971" s="32"/>
      <c r="K971" s="174">
        <f>SUM('BID IV'!F38:F39)</f>
        <v>9530000</v>
      </c>
      <c r="L971" s="66" t="s">
        <v>2387</v>
      </c>
    </row>
    <row r="972" spans="1:13" ht="60" x14ac:dyDescent="0.25">
      <c r="A972" s="1344">
        <v>4</v>
      </c>
      <c r="B972" s="1344">
        <v>2</v>
      </c>
      <c r="C972" s="1346" t="s">
        <v>2688</v>
      </c>
      <c r="D972" s="1344"/>
      <c r="E972" s="1344"/>
      <c r="F972" s="1344"/>
      <c r="G972" s="1344"/>
      <c r="H972" s="1345" t="str">
        <f>'BID IV'!B56</f>
        <v>: Ketahanan Pangan ( Holti Kultural Budidaya Bawang Merah Dari Benih)</v>
      </c>
      <c r="I972" s="1344"/>
      <c r="J972" s="1344"/>
      <c r="K972" s="1347">
        <f>SUM(K973:K982)</f>
        <v>50037000</v>
      </c>
      <c r="L972" s="1345" t="s">
        <v>2387</v>
      </c>
      <c r="M972" s="175">
        <f>'BID IV'!F103</f>
        <v>50037000</v>
      </c>
    </row>
    <row r="973" spans="1:13" x14ac:dyDescent="0.25">
      <c r="A973" s="32"/>
      <c r="B973" s="32"/>
      <c r="C973" s="32"/>
      <c r="D973" s="32">
        <v>5</v>
      </c>
      <c r="E973" s="32">
        <v>2</v>
      </c>
      <c r="F973" s="32"/>
      <c r="G973" s="32"/>
      <c r="H973" s="66" t="str">
        <f>'BID IV'!B61</f>
        <v>Belanja Barang Dan Jasa</v>
      </c>
      <c r="I973" s="32"/>
      <c r="J973" s="32"/>
      <c r="K973" s="32"/>
      <c r="L973" s="66"/>
    </row>
    <row r="974" spans="1:13" ht="30" x14ac:dyDescent="0.25">
      <c r="A974" s="32"/>
      <c r="B974" s="32"/>
      <c r="C974" s="32"/>
      <c r="D974" s="32"/>
      <c r="E974" s="32"/>
      <c r="F974" s="32">
        <v>1</v>
      </c>
      <c r="G974" s="32"/>
      <c r="H974" s="66" t="str">
        <f>'BID IV'!B62</f>
        <v>Belanja Barang Perlengkapan</v>
      </c>
      <c r="I974" s="32"/>
      <c r="J974" s="32"/>
      <c r="K974" s="32"/>
      <c r="L974" s="66"/>
    </row>
    <row r="975" spans="1:13" ht="30" x14ac:dyDescent="0.25">
      <c r="A975" s="32"/>
      <c r="B975" s="32"/>
      <c r="C975" s="32"/>
      <c r="D975" s="32"/>
      <c r="E975" s="32"/>
      <c r="F975" s="32"/>
      <c r="G975" s="1340" t="s">
        <v>2705</v>
      </c>
      <c r="H975" s="66" t="str">
        <f>'BID IV'!B63</f>
        <v>Belanja Perlengkapan Barang Konsumsi</v>
      </c>
      <c r="I975" s="32"/>
      <c r="J975" s="32"/>
      <c r="K975" s="174">
        <f>SUM('BID IV'!F64)</f>
        <v>900000</v>
      </c>
      <c r="L975" s="66" t="s">
        <v>2387</v>
      </c>
    </row>
    <row r="976" spans="1:13" ht="30" x14ac:dyDescent="0.25">
      <c r="A976" s="32"/>
      <c r="B976" s="32"/>
      <c r="C976" s="32"/>
      <c r="D976" s="32"/>
      <c r="E976" s="32"/>
      <c r="F976" s="32"/>
      <c r="G976" s="1340" t="s">
        <v>2707</v>
      </c>
      <c r="H976" s="66" t="str">
        <f>'BID IV'!B66</f>
        <v>Belanja Bendera/ Umbul-umbul/ Spanduk</v>
      </c>
      <c r="I976" s="32"/>
      <c r="J976" s="32"/>
      <c r="K976" s="174">
        <f>'BID IV'!F67</f>
        <v>90000</v>
      </c>
      <c r="L976" s="66" t="s">
        <v>2387</v>
      </c>
    </row>
    <row r="977" spans="1:12" ht="30" x14ac:dyDescent="0.25">
      <c r="A977" s="32"/>
      <c r="B977" s="32"/>
      <c r="C977" s="32"/>
      <c r="D977" s="32"/>
      <c r="E977" s="32"/>
      <c r="F977" s="32"/>
      <c r="G977" s="32">
        <v>90</v>
      </c>
      <c r="H977" s="66" t="str">
        <f>'BID IV'!B69</f>
        <v>Belanja Upakara, Upacara dan Aci</v>
      </c>
      <c r="I977" s="32"/>
      <c r="J977" s="32"/>
      <c r="K977" s="174">
        <f>SUM('BID IV'!F70:F72)</f>
        <v>75000</v>
      </c>
      <c r="L977" s="66" t="s">
        <v>2387</v>
      </c>
    </row>
    <row r="978" spans="1:12" x14ac:dyDescent="0.25">
      <c r="A978" s="32"/>
      <c r="B978" s="32"/>
      <c r="C978" s="32"/>
      <c r="D978" s="32">
        <v>5</v>
      </c>
      <c r="E978" s="32">
        <v>2</v>
      </c>
      <c r="F978" s="32">
        <v>2</v>
      </c>
      <c r="G978" s="32"/>
      <c r="H978" s="66" t="str">
        <f>'BID IV'!B74</f>
        <v>Belanja Jasa Honorarium</v>
      </c>
      <c r="I978" s="32"/>
      <c r="J978" s="32"/>
      <c r="K978" s="32"/>
      <c r="L978" s="66"/>
    </row>
    <row r="979" spans="1:12" ht="45" x14ac:dyDescent="0.25">
      <c r="A979" s="32"/>
      <c r="B979" s="32"/>
      <c r="C979" s="32"/>
      <c r="D979" s="32"/>
      <c r="E979" s="32"/>
      <c r="F979" s="32"/>
      <c r="G979" s="1340" t="s">
        <v>2688</v>
      </c>
      <c r="H979" s="66" t="str">
        <f>'BID IV'!B75</f>
        <v>Belanja Jasa Honorarium Tim Yang Melaksanakan Kegiatan</v>
      </c>
      <c r="I979" s="32"/>
      <c r="J979" s="32"/>
      <c r="K979" s="174">
        <f>SUM('BID IV'!F76:F78)</f>
        <v>1150000</v>
      </c>
      <c r="L979" s="66" t="s">
        <v>2387</v>
      </c>
    </row>
    <row r="980" spans="1:12" ht="45" x14ac:dyDescent="0.25">
      <c r="A980" s="32"/>
      <c r="B980" s="32"/>
      <c r="C980" s="32"/>
      <c r="D980" s="32"/>
      <c r="E980" s="32"/>
      <c r="F980" s="32"/>
      <c r="G980" s="1340" t="s">
        <v>2704</v>
      </c>
      <c r="H980" s="66" t="str">
        <f>'BID IV'!B80</f>
        <v>Belanja Jasa Honorarium Ahli/Profesi/Konsultan/Narasumber</v>
      </c>
      <c r="I980" s="32"/>
      <c r="J980" s="32"/>
      <c r="K980" s="174">
        <f>'BID IV'!F81</f>
        <v>1200000</v>
      </c>
      <c r="L980" s="66" t="s">
        <v>2387</v>
      </c>
    </row>
    <row r="981" spans="1:12" ht="45" x14ac:dyDescent="0.25">
      <c r="A981" s="32"/>
      <c r="B981" s="32"/>
      <c r="C981" s="32"/>
      <c r="D981" s="32">
        <v>5</v>
      </c>
      <c r="E981" s="32">
        <v>2</v>
      </c>
      <c r="F981" s="32">
        <v>7</v>
      </c>
      <c r="G981" s="32"/>
      <c r="H981" s="66" t="str">
        <f>'BID IV'!B83</f>
        <v>Belanja Barang Dan jasa Yang Diserahkan Kepada Masyarakat</v>
      </c>
      <c r="I981" s="32"/>
      <c r="J981" s="32"/>
      <c r="K981" s="32"/>
      <c r="L981" s="66"/>
    </row>
    <row r="982" spans="1:12" ht="60" x14ac:dyDescent="0.25">
      <c r="A982" s="32"/>
      <c r="B982" s="32"/>
      <c r="C982" s="32"/>
      <c r="D982" s="32"/>
      <c r="E982" s="32"/>
      <c r="F982" s="32"/>
      <c r="G982" s="1340" t="s">
        <v>2688</v>
      </c>
      <c r="H982" s="66" t="str">
        <f>'BID IV'!B84</f>
        <v>Belanja Bahan Perlengkapan Yang Diserahkan Ke Masyarakat</v>
      </c>
      <c r="I982" s="32"/>
      <c r="J982" s="32"/>
      <c r="K982" s="174">
        <f>SUM('BID IV'!F86:F101)</f>
        <v>46622000</v>
      </c>
      <c r="L982" s="66" t="s">
        <v>2387</v>
      </c>
    </row>
    <row r="983" spans="1:12" ht="75" x14ac:dyDescent="0.25">
      <c r="A983" s="1344">
        <v>4</v>
      </c>
      <c r="B983" s="1344">
        <v>2</v>
      </c>
      <c r="C983" s="1346" t="s">
        <v>2703</v>
      </c>
      <c r="D983" s="1344"/>
      <c r="E983" s="1344"/>
      <c r="F983" s="1344"/>
      <c r="G983" s="1344"/>
      <c r="H983" s="1345" t="str">
        <f>'BID IV'!B117</f>
        <v>: Penguatan Ketahanan Pangan Tingkat Desa ( Peningkatan ketersediaan Bibit/benih tanaman pangan)</v>
      </c>
      <c r="I983" s="1344"/>
      <c r="J983" s="1344"/>
      <c r="K983" s="1347">
        <f>SUM(K984:K990)</f>
        <v>23430000</v>
      </c>
      <c r="L983" s="1345" t="s">
        <v>2387</v>
      </c>
    </row>
    <row r="984" spans="1:12" x14ac:dyDescent="0.25">
      <c r="A984" s="32"/>
      <c r="B984" s="32"/>
      <c r="C984" s="32"/>
      <c r="D984" s="32">
        <v>5</v>
      </c>
      <c r="E984" s="32">
        <v>2</v>
      </c>
      <c r="F984" s="32"/>
      <c r="G984" s="32"/>
      <c r="H984" s="66" t="str">
        <f>'BID IV'!B124</f>
        <v>Belanja Barang Dan Jasa</v>
      </c>
      <c r="I984" s="32"/>
      <c r="J984" s="32"/>
      <c r="K984" s="32"/>
      <c r="L984" s="66"/>
    </row>
    <row r="985" spans="1:12" ht="30" x14ac:dyDescent="0.25">
      <c r="A985" s="32"/>
      <c r="B985" s="32"/>
      <c r="C985" s="32"/>
      <c r="D985" s="32"/>
      <c r="E985" s="32"/>
      <c r="F985" s="32">
        <v>1</v>
      </c>
      <c r="G985" s="32"/>
      <c r="H985" s="66" t="str">
        <f>'BID IV'!B125</f>
        <v>Belanja Barang Perlengkapan</v>
      </c>
      <c r="I985" s="32"/>
      <c r="J985" s="32"/>
      <c r="K985" s="32"/>
      <c r="L985" s="66"/>
    </row>
    <row r="986" spans="1:12" ht="30" x14ac:dyDescent="0.25">
      <c r="A986" s="32"/>
      <c r="B986" s="32"/>
      <c r="C986" s="32"/>
      <c r="D986" s="32"/>
      <c r="E986" s="32"/>
      <c r="F986" s="32"/>
      <c r="G986" s="1340" t="s">
        <v>2705</v>
      </c>
      <c r="H986" s="66" t="str">
        <f>'BID IV'!B126</f>
        <v>Belanja Perlengkapan Barang Konsumsi</v>
      </c>
      <c r="I986" s="32"/>
      <c r="J986" s="32"/>
      <c r="K986" s="174">
        <f>SUM('BID IV'!F127)</f>
        <v>525000</v>
      </c>
      <c r="L986" s="66" t="s">
        <v>2387</v>
      </c>
    </row>
    <row r="987" spans="1:12" ht="30" x14ac:dyDescent="0.25">
      <c r="A987" s="32"/>
      <c r="B987" s="32"/>
      <c r="C987" s="32"/>
      <c r="D987" s="32"/>
      <c r="E987" s="32"/>
      <c r="F987" s="32"/>
      <c r="G987" s="1340" t="s">
        <v>2707</v>
      </c>
      <c r="H987" s="66" t="str">
        <f>'BID IV'!B129</f>
        <v>Belanja Bendera/ Umbul-umbul/ Spanduk</v>
      </c>
      <c r="I987" s="32"/>
      <c r="J987" s="32"/>
      <c r="K987" s="174">
        <f>'BID IV'!F130</f>
        <v>90000</v>
      </c>
      <c r="L987" s="66" t="s">
        <v>2387</v>
      </c>
    </row>
    <row r="988" spans="1:12" ht="26.25" customHeight="1" x14ac:dyDescent="0.25">
      <c r="A988" s="32"/>
      <c r="B988" s="32"/>
      <c r="C988" s="32"/>
      <c r="D988" s="32"/>
      <c r="E988" s="32"/>
      <c r="F988" s="32"/>
      <c r="G988" s="1340" t="s">
        <v>2708</v>
      </c>
      <c r="H988" s="66" t="str">
        <f>'BID IV'!B132</f>
        <v>Belanja Bahan/Material</v>
      </c>
      <c r="I988" s="32"/>
      <c r="J988" s="32"/>
      <c r="K988" s="174">
        <f>SUM('BID IV'!F133:F135)</f>
        <v>65000</v>
      </c>
      <c r="L988" s="66" t="s">
        <v>2387</v>
      </c>
    </row>
    <row r="989" spans="1:12" ht="45" x14ac:dyDescent="0.25">
      <c r="A989" s="32"/>
      <c r="B989" s="32"/>
      <c r="C989" s="32"/>
      <c r="D989" s="32">
        <v>5</v>
      </c>
      <c r="E989" s="32">
        <v>2</v>
      </c>
      <c r="F989" s="32">
        <v>7</v>
      </c>
      <c r="G989" s="32"/>
      <c r="H989" s="66" t="str">
        <f>'BID IV'!B138</f>
        <v>Belanja Barang Perlengkapan diserahkan Kepada Masyarakat</v>
      </c>
      <c r="I989" s="32"/>
      <c r="J989" s="32"/>
      <c r="K989" s="32"/>
      <c r="L989" s="66"/>
    </row>
    <row r="990" spans="1:12" ht="60" x14ac:dyDescent="0.25">
      <c r="A990" s="32"/>
      <c r="B990" s="32"/>
      <c r="C990" s="32"/>
      <c r="D990" s="32"/>
      <c r="E990" s="32"/>
      <c r="F990" s="32"/>
      <c r="G990" s="1340" t="s">
        <v>2688</v>
      </c>
      <c r="H990" s="66" t="str">
        <f>'BID IV'!B139</f>
        <v>Belanja Bahan Perlengkapan Yang Diserahkan Ke Masyarakat</v>
      </c>
      <c r="I990" s="32"/>
      <c r="J990" s="32"/>
      <c r="K990" s="174">
        <f>SUM('BID IV'!F140:F145)</f>
        <v>22750000</v>
      </c>
      <c r="L990" s="66" t="s">
        <v>2387</v>
      </c>
    </row>
    <row r="991" spans="1:12" ht="60" x14ac:dyDescent="0.25">
      <c r="A991" s="1344">
        <v>4</v>
      </c>
      <c r="B991" s="1344">
        <v>3</v>
      </c>
      <c r="C991" s="1346" t="s">
        <v>2702</v>
      </c>
      <c r="D991" s="1344"/>
      <c r="E991" s="1344"/>
      <c r="F991" s="1344"/>
      <c r="G991" s="1344"/>
      <c r="H991" s="1345" t="str">
        <f>'BID IV'!B187</f>
        <v>: Pelatihan Tim Verifikasi dan penyusunan RKP ( Pelatihan Penysunan RKPDes)</v>
      </c>
      <c r="I991" s="1344"/>
      <c r="J991" s="1344"/>
      <c r="K991" s="1347">
        <f>SUM(K992:K998)</f>
        <v>1235000</v>
      </c>
      <c r="L991" s="1345" t="s">
        <v>1682</v>
      </c>
    </row>
    <row r="992" spans="1:12" x14ac:dyDescent="0.25">
      <c r="A992" s="32"/>
      <c r="B992" s="32"/>
      <c r="C992" s="32"/>
      <c r="D992" s="32">
        <v>5</v>
      </c>
      <c r="E992" s="32">
        <v>2</v>
      </c>
      <c r="F992" s="32"/>
      <c r="G992" s="32"/>
      <c r="H992" s="66" t="str">
        <f>'BID IV'!B193</f>
        <v>Belanja Barang dan Jasa</v>
      </c>
      <c r="I992" s="32"/>
      <c r="J992" s="32"/>
      <c r="K992" s="32"/>
      <c r="L992" s="66"/>
    </row>
    <row r="993" spans="1:12" ht="30" x14ac:dyDescent="0.25">
      <c r="A993" s="32"/>
      <c r="B993" s="32"/>
      <c r="C993" s="32"/>
      <c r="D993" s="32"/>
      <c r="E993" s="32"/>
      <c r="F993" s="32">
        <v>1</v>
      </c>
      <c r="G993" s="32"/>
      <c r="H993" s="66" t="str">
        <f>'BID IV'!B194</f>
        <v>Belanja Barang Perlengkapan</v>
      </c>
      <c r="I993" s="32"/>
      <c r="J993" s="32"/>
      <c r="K993" s="32"/>
      <c r="L993" s="66"/>
    </row>
    <row r="994" spans="1:12" ht="30" x14ac:dyDescent="0.25">
      <c r="A994" s="32"/>
      <c r="B994" s="32"/>
      <c r="C994" s="32"/>
      <c r="D994" s="32"/>
      <c r="E994" s="32"/>
      <c r="F994" s="32"/>
      <c r="G994" s="1340" t="s">
        <v>2705</v>
      </c>
      <c r="H994" s="66" t="str">
        <f>'BID IV'!B195</f>
        <v>Belanja Perlengkapan Barang Konsumsi</v>
      </c>
      <c r="I994" s="32"/>
      <c r="J994" s="32"/>
      <c r="K994" s="174">
        <f>SUM('BID IV'!F196)</f>
        <v>480000</v>
      </c>
      <c r="L994" s="66" t="s">
        <v>1682</v>
      </c>
    </row>
    <row r="995" spans="1:12" ht="30" x14ac:dyDescent="0.25">
      <c r="A995" s="32"/>
      <c r="B995" s="32"/>
      <c r="C995" s="32"/>
      <c r="D995" s="32"/>
      <c r="E995" s="32"/>
      <c r="F995" s="32"/>
      <c r="G995" s="1340" t="s">
        <v>2707</v>
      </c>
      <c r="H995" s="66" t="str">
        <f>'BID IV'!B198</f>
        <v>Belanja Bendera/ Umbul-umbul/ Spanduk</v>
      </c>
      <c r="I995" s="32"/>
      <c r="J995" s="32"/>
      <c r="K995" s="174">
        <f>'BID IV'!F199</f>
        <v>90000</v>
      </c>
      <c r="L995" s="66" t="s">
        <v>1682</v>
      </c>
    </row>
    <row r="996" spans="1:12" ht="30" x14ac:dyDescent="0.25">
      <c r="A996" s="32"/>
      <c r="B996" s="32"/>
      <c r="C996" s="32"/>
      <c r="D996" s="32"/>
      <c r="E996" s="32"/>
      <c r="F996" s="32"/>
      <c r="G996" s="32">
        <v>90</v>
      </c>
      <c r="H996" s="66" t="str">
        <f>'BID IV'!B201</f>
        <v>Belanja Upakara, Upacara dan Aci</v>
      </c>
      <c r="I996" s="32"/>
      <c r="J996" s="32"/>
      <c r="K996" s="174">
        <f>SUM('BID IV'!F202:F204)</f>
        <v>65000</v>
      </c>
      <c r="L996" s="66" t="s">
        <v>1682</v>
      </c>
    </row>
    <row r="997" spans="1:12" x14ac:dyDescent="0.25">
      <c r="A997" s="32"/>
      <c r="B997" s="32"/>
      <c r="C997" s="32"/>
      <c r="D997" s="32">
        <v>5</v>
      </c>
      <c r="E997" s="32">
        <v>2</v>
      </c>
      <c r="F997" s="32">
        <v>2</v>
      </c>
      <c r="G997" s="32"/>
      <c r="H997" s="66" t="str">
        <f>'BID IV'!B206</f>
        <v>Belanja  Jasa Honorarium</v>
      </c>
      <c r="I997" s="32"/>
      <c r="J997" s="32"/>
      <c r="K997" s="32"/>
      <c r="L997" s="66"/>
    </row>
    <row r="998" spans="1:12" ht="45" x14ac:dyDescent="0.25">
      <c r="A998" s="32"/>
      <c r="B998" s="32"/>
      <c r="C998" s="32"/>
      <c r="D998" s="32"/>
      <c r="E998" s="32"/>
      <c r="F998" s="32"/>
      <c r="G998" s="1340" t="s">
        <v>2704</v>
      </c>
      <c r="H998" s="66" t="str">
        <f>'BID IV'!B207</f>
        <v>Belanja Jasa Honorarium Ahli/Profesi/Konsultan/Narasumber</v>
      </c>
      <c r="I998" s="32"/>
      <c r="J998" s="32"/>
      <c r="K998" s="174">
        <f>SUM('BID IV'!F208)</f>
        <v>600000</v>
      </c>
      <c r="L998" s="66" t="s">
        <v>1682</v>
      </c>
    </row>
    <row r="999" spans="1:12" x14ac:dyDescent="0.25">
      <c r="A999" s="1344">
        <v>4</v>
      </c>
      <c r="B999" s="1344">
        <v>3</v>
      </c>
      <c r="C999" s="1346" t="s">
        <v>2702</v>
      </c>
      <c r="D999" s="1344"/>
      <c r="E999" s="1344"/>
      <c r="F999" s="1344"/>
      <c r="G999" s="1344"/>
      <c r="H999" s="1344" t="str">
        <f>'BID IV'!B226</f>
        <v>: Pelatihan Perangkat Desa</v>
      </c>
      <c r="I999" s="1344"/>
      <c r="J999" s="1344"/>
      <c r="K999" s="1347">
        <f>SUM(K1000:K1007)</f>
        <v>43110000</v>
      </c>
      <c r="L999" s="1345" t="s">
        <v>1690</v>
      </c>
    </row>
    <row r="1000" spans="1:12" x14ac:dyDescent="0.25">
      <c r="A1000" s="32"/>
      <c r="B1000" s="32"/>
      <c r="C1000" s="32"/>
      <c r="D1000" s="32">
        <v>5</v>
      </c>
      <c r="E1000" s="32">
        <v>2</v>
      </c>
      <c r="F1000" s="32"/>
      <c r="G1000" s="32"/>
      <c r="H1000" s="66" t="str">
        <f>'BID IV'!B231</f>
        <v>Belanja Barang Dan Jasa</v>
      </c>
      <c r="I1000" s="32"/>
      <c r="J1000" s="32"/>
      <c r="K1000" s="32"/>
      <c r="L1000" s="66"/>
    </row>
    <row r="1001" spans="1:12" ht="30" x14ac:dyDescent="0.25">
      <c r="A1001" s="32"/>
      <c r="B1001" s="32"/>
      <c r="C1001" s="32"/>
      <c r="D1001" s="32"/>
      <c r="E1001" s="32"/>
      <c r="F1001" s="32">
        <v>1</v>
      </c>
      <c r="G1001" s="32"/>
      <c r="H1001" s="66" t="str">
        <f>'BID IV'!B232</f>
        <v>Belanja Barang Perlengkapan</v>
      </c>
      <c r="I1001" s="32"/>
      <c r="J1001" s="32"/>
      <c r="K1001" s="32"/>
      <c r="L1001" s="66"/>
    </row>
    <row r="1002" spans="1:12" ht="30" x14ac:dyDescent="0.25">
      <c r="A1002" s="32"/>
      <c r="B1002" s="32"/>
      <c r="C1002" s="32"/>
      <c r="D1002" s="32"/>
      <c r="E1002" s="32"/>
      <c r="F1002" s="32"/>
      <c r="G1002" s="1340" t="s">
        <v>2705</v>
      </c>
      <c r="H1002" s="66" t="str">
        <f>'BID IV'!B233</f>
        <v>Belanja Perlengkapan Barang Konsumsi</v>
      </c>
      <c r="I1002" s="32"/>
      <c r="J1002" s="32"/>
      <c r="K1002" s="174">
        <f>'BID IV'!F234</f>
        <v>420000</v>
      </c>
      <c r="L1002" s="66" t="s">
        <v>1690</v>
      </c>
    </row>
    <row r="1003" spans="1:12" ht="30" x14ac:dyDescent="0.25">
      <c r="A1003" s="32"/>
      <c r="B1003" s="32"/>
      <c r="C1003" s="32"/>
      <c r="D1003" s="32"/>
      <c r="E1003" s="32"/>
      <c r="F1003" s="32"/>
      <c r="G1003" s="1340" t="s">
        <v>2707</v>
      </c>
      <c r="H1003" s="66" t="str">
        <f>'BID IV'!B236</f>
        <v>Belanja Bendera/ Umbul-umbul/ Spanduk</v>
      </c>
      <c r="I1003" s="32"/>
      <c r="J1003" s="32"/>
      <c r="K1003" s="174">
        <f>'BID IV'!F237</f>
        <v>90000</v>
      </c>
      <c r="L1003" s="66" t="s">
        <v>1690</v>
      </c>
    </row>
    <row r="1004" spans="1:12" x14ac:dyDescent="0.25">
      <c r="A1004" s="32"/>
      <c r="B1004" s="32"/>
      <c r="C1004" s="32"/>
      <c r="D1004" s="32">
        <v>5</v>
      </c>
      <c r="E1004" s="32">
        <v>2</v>
      </c>
      <c r="F1004" s="32">
        <v>2</v>
      </c>
      <c r="G1004" s="32"/>
      <c r="H1004" s="66" t="str">
        <f>'BID IV'!B239</f>
        <v>Belanja Jasa Honorarium</v>
      </c>
      <c r="I1004" s="32"/>
      <c r="J1004" s="32"/>
      <c r="K1004" s="32"/>
      <c r="L1004" s="66"/>
    </row>
    <row r="1005" spans="1:12" ht="45" x14ac:dyDescent="0.25">
      <c r="A1005" s="32"/>
      <c r="B1005" s="32"/>
      <c r="C1005" s="32"/>
      <c r="D1005" s="32"/>
      <c r="E1005" s="32"/>
      <c r="F1005" s="32"/>
      <c r="G1005" s="1340" t="s">
        <v>2704</v>
      </c>
      <c r="H1005" s="66" t="str">
        <f>'BID IV'!B240</f>
        <v>Belanja Jasa Honorarium Ahli/Profesi/Konsultan/Narasumber</v>
      </c>
      <c r="I1005" s="32"/>
      <c r="J1005" s="32"/>
      <c r="K1005" s="174">
        <f>'BID IV'!F241</f>
        <v>600000</v>
      </c>
      <c r="L1005" s="66" t="s">
        <v>1690</v>
      </c>
    </row>
    <row r="1006" spans="1:12" x14ac:dyDescent="0.25">
      <c r="A1006" s="32"/>
      <c r="B1006" s="32"/>
      <c r="C1006" s="32"/>
      <c r="D1006" s="32">
        <v>5</v>
      </c>
      <c r="E1006" s="32">
        <v>2</v>
      </c>
      <c r="F1006" s="32">
        <v>4</v>
      </c>
      <c r="G1006" s="32"/>
      <c r="H1006" s="66" t="str">
        <f>'BID IV'!B243</f>
        <v>Belanja Jasa Sewa</v>
      </c>
      <c r="I1006" s="32"/>
      <c r="J1006" s="32"/>
      <c r="K1006" s="32"/>
      <c r="L1006" s="66"/>
    </row>
    <row r="1007" spans="1:12" ht="30" x14ac:dyDescent="0.25">
      <c r="A1007" s="32"/>
      <c r="B1007" s="32"/>
      <c r="C1007" s="32"/>
      <c r="D1007" s="32"/>
      <c r="E1007" s="32"/>
      <c r="F1007" s="32"/>
      <c r="G1007" s="1340" t="s">
        <v>2688</v>
      </c>
      <c r="H1007" s="66" t="str">
        <f>'BID IV'!B244</f>
        <v>Belanja Jasa Sewa bangunan/gedung/ruang</v>
      </c>
      <c r="I1007" s="32"/>
      <c r="J1007" s="32"/>
      <c r="K1007" s="174">
        <f>SUM('BID IV'!F245)</f>
        <v>42000000</v>
      </c>
      <c r="L1007" s="66" t="s">
        <v>1690</v>
      </c>
    </row>
    <row r="1008" spans="1:12" ht="30" x14ac:dyDescent="0.25">
      <c r="A1008" s="1344">
        <v>2</v>
      </c>
      <c r="B1008" s="1344">
        <v>3</v>
      </c>
      <c r="C1008" s="1346" t="s">
        <v>2703</v>
      </c>
      <c r="D1008" s="1344"/>
      <c r="E1008" s="1344"/>
      <c r="F1008" s="1344"/>
      <c r="G1008" s="1344"/>
      <c r="H1008" s="1345" t="str">
        <f>'BID IV'!B266</f>
        <v>: Peningkatan Kapasitas BPD</v>
      </c>
      <c r="I1008" s="1344"/>
      <c r="J1008" s="1344"/>
      <c r="K1008" s="1347">
        <f>SUM(K1009:K1017)</f>
        <v>19120000</v>
      </c>
      <c r="L1008" s="1345" t="s">
        <v>1690</v>
      </c>
    </row>
    <row r="1009" spans="1:12" x14ac:dyDescent="0.25">
      <c r="A1009" s="32"/>
      <c r="B1009" s="32"/>
      <c r="C1009" s="32"/>
      <c r="D1009" s="32">
        <v>5</v>
      </c>
      <c r="E1009" s="32">
        <v>2</v>
      </c>
      <c r="F1009" s="32"/>
      <c r="G1009" s="32"/>
      <c r="H1009" s="66" t="str">
        <f>'BID IV'!B271</f>
        <v>Belanja Barang dan Jasa</v>
      </c>
      <c r="I1009" s="32"/>
      <c r="J1009" s="32"/>
      <c r="K1009" s="32"/>
      <c r="L1009" s="66"/>
    </row>
    <row r="1010" spans="1:12" ht="30" x14ac:dyDescent="0.25">
      <c r="A1010" s="32"/>
      <c r="B1010" s="32"/>
      <c r="C1010" s="32"/>
      <c r="D1010" s="32"/>
      <c r="E1010" s="32"/>
      <c r="F1010" s="32">
        <v>1</v>
      </c>
      <c r="G1010" s="32"/>
      <c r="H1010" s="66" t="str">
        <f>'BID IV'!B272</f>
        <v>Belanja Barang Perlengkapan</v>
      </c>
      <c r="I1010" s="32"/>
      <c r="J1010" s="32"/>
      <c r="K1010" s="32"/>
      <c r="L1010" s="66"/>
    </row>
    <row r="1011" spans="1:12" ht="30" x14ac:dyDescent="0.25">
      <c r="A1011" s="32"/>
      <c r="B1011" s="32"/>
      <c r="C1011" s="32"/>
      <c r="D1011" s="32"/>
      <c r="E1011" s="32"/>
      <c r="F1011" s="32"/>
      <c r="G1011" s="1340" t="s">
        <v>2705</v>
      </c>
      <c r="H1011" s="66" t="str">
        <f>'BID IV'!B273</f>
        <v>Belanja Perlengkapan Barang Konsumsi</v>
      </c>
      <c r="I1011" s="32"/>
      <c r="J1011" s="32"/>
      <c r="K1011" s="174">
        <f>'BID IV'!F274</f>
        <v>300000</v>
      </c>
      <c r="L1011" s="66" t="s">
        <v>1690</v>
      </c>
    </row>
    <row r="1012" spans="1:12" ht="30" x14ac:dyDescent="0.25">
      <c r="A1012" s="32"/>
      <c r="B1012" s="32"/>
      <c r="C1012" s="32"/>
      <c r="D1012" s="32"/>
      <c r="E1012" s="32"/>
      <c r="F1012" s="32"/>
      <c r="G1012" s="1340" t="s">
        <v>2707</v>
      </c>
      <c r="H1012" s="66" t="str">
        <f>'BID IV'!B276</f>
        <v>Belanja Bendera/ Umbul-umbul/ Spanduk</v>
      </c>
      <c r="I1012" s="32"/>
      <c r="J1012" s="32"/>
      <c r="K1012" s="174">
        <f>'BID IV'!F277</f>
        <v>90000</v>
      </c>
      <c r="L1012" s="66" t="s">
        <v>1690</v>
      </c>
    </row>
    <row r="1013" spans="1:12" ht="30" x14ac:dyDescent="0.25">
      <c r="A1013" s="32"/>
      <c r="B1013" s="32"/>
      <c r="C1013" s="32"/>
      <c r="D1013" s="32"/>
      <c r="E1013" s="32"/>
      <c r="F1013" s="32"/>
      <c r="G1013" s="32">
        <v>90</v>
      </c>
      <c r="H1013" s="66" t="str">
        <f>'BID IV'!B279</f>
        <v>Belanja Upakara, Upacara dan Aci</v>
      </c>
      <c r="I1013" s="32"/>
      <c r="J1013" s="32"/>
      <c r="K1013" s="174">
        <f>SUM('BID IV'!F280:F282)</f>
        <v>130000</v>
      </c>
      <c r="L1013" s="66" t="s">
        <v>1690</v>
      </c>
    </row>
    <row r="1014" spans="1:12" x14ac:dyDescent="0.25">
      <c r="A1014" s="32"/>
      <c r="B1014" s="32"/>
      <c r="C1014" s="32"/>
      <c r="D1014" s="32">
        <v>5</v>
      </c>
      <c r="E1014" s="32">
        <v>2</v>
      </c>
      <c r="F1014" s="32">
        <v>2</v>
      </c>
      <c r="G1014" s="32"/>
      <c r="H1014" s="66" t="str">
        <f>'BID IV'!B284</f>
        <v>Belanja  Jasa Honorarium</v>
      </c>
      <c r="I1014" s="32"/>
      <c r="J1014" s="32"/>
      <c r="K1014" s="32"/>
      <c r="L1014" s="66"/>
    </row>
    <row r="1015" spans="1:12" ht="45" x14ac:dyDescent="0.25">
      <c r="A1015" s="32"/>
      <c r="B1015" s="32"/>
      <c r="C1015" s="32"/>
      <c r="D1015" s="32"/>
      <c r="E1015" s="32"/>
      <c r="F1015" s="32"/>
      <c r="G1015" s="1340" t="s">
        <v>2704</v>
      </c>
      <c r="H1015" s="66" t="str">
        <f>'BID IV'!B285</f>
        <v>Belanja Jasa Honorarium Ahli/Profesi/Konsultan/Narasumber</v>
      </c>
      <c r="I1015" s="32"/>
      <c r="J1015" s="32"/>
      <c r="K1015" s="174">
        <f>'BID IV'!F286</f>
        <v>600000</v>
      </c>
      <c r="L1015" s="66" t="s">
        <v>1690</v>
      </c>
    </row>
    <row r="1016" spans="1:12" x14ac:dyDescent="0.25">
      <c r="A1016" s="32"/>
      <c r="B1016" s="32"/>
      <c r="C1016" s="32"/>
      <c r="D1016" s="32">
        <v>5</v>
      </c>
      <c r="E1016" s="32">
        <v>2</v>
      </c>
      <c r="F1016" s="32">
        <v>4</v>
      </c>
      <c r="G1016" s="32"/>
      <c r="H1016" s="66" t="str">
        <f>'BID IV'!B287</f>
        <v>Belanja Jasa Sewa</v>
      </c>
      <c r="I1016" s="32"/>
      <c r="J1016" s="32"/>
      <c r="K1016" s="32"/>
      <c r="L1016" s="66"/>
    </row>
    <row r="1017" spans="1:12" ht="30" x14ac:dyDescent="0.25">
      <c r="A1017" s="32"/>
      <c r="B1017" s="32"/>
      <c r="C1017" s="32"/>
      <c r="D1017" s="32"/>
      <c r="E1017" s="32"/>
      <c r="F1017" s="32"/>
      <c r="G1017" s="1340" t="s">
        <v>2703</v>
      </c>
      <c r="H1017" s="66" t="str">
        <f>'BID IV'!B288</f>
        <v>Belanja Jasa Sewa bangunan/gedung/ruang</v>
      </c>
      <c r="I1017" s="32"/>
      <c r="J1017" s="32"/>
      <c r="K1017" s="174">
        <f>SUM('BID IV'!F289)</f>
        <v>18000000</v>
      </c>
      <c r="L1017" s="66" t="s">
        <v>1690</v>
      </c>
    </row>
    <row r="1018" spans="1:12" ht="30" x14ac:dyDescent="0.25">
      <c r="A1018" s="1344">
        <v>4</v>
      </c>
      <c r="B1018" s="1344">
        <v>3</v>
      </c>
      <c r="C1018" s="1346" t="s">
        <v>2702</v>
      </c>
      <c r="D1018" s="1344"/>
      <c r="E1018" s="1344"/>
      <c r="F1018" s="1344"/>
      <c r="G1018" s="1344"/>
      <c r="H1018" s="1345" t="str">
        <f>'BID IV'!B306</f>
        <v>: Pelatihan PKPKD, PPKD dan TPK</v>
      </c>
      <c r="I1018" s="1344"/>
      <c r="J1018" s="1344"/>
      <c r="K1018" s="1347">
        <f>SUM(K1019:K1025)</f>
        <v>1655000</v>
      </c>
      <c r="L1018" s="1345" t="s">
        <v>2627</v>
      </c>
    </row>
    <row r="1019" spans="1:12" x14ac:dyDescent="0.25">
      <c r="A1019" s="32"/>
      <c r="B1019" s="32"/>
      <c r="C1019" s="32"/>
      <c r="D1019" s="32">
        <v>5</v>
      </c>
      <c r="E1019" s="32">
        <v>2</v>
      </c>
      <c r="F1019" s="32"/>
      <c r="G1019" s="32"/>
      <c r="H1019" s="66" t="str">
        <f>'BID IV'!B312</f>
        <v>Belanja Barang dan Jasa</v>
      </c>
      <c r="I1019" s="32"/>
      <c r="J1019" s="32"/>
      <c r="K1019" s="32"/>
      <c r="L1019" s="66"/>
    </row>
    <row r="1020" spans="1:12" ht="30" x14ac:dyDescent="0.25">
      <c r="A1020" s="32"/>
      <c r="B1020" s="32"/>
      <c r="C1020" s="32"/>
      <c r="D1020" s="32"/>
      <c r="E1020" s="32"/>
      <c r="F1020" s="32">
        <v>1</v>
      </c>
      <c r="G1020" s="32"/>
      <c r="H1020" s="66" t="str">
        <f>'BID IV'!B313</f>
        <v>Belanja Barang Perlengkapan</v>
      </c>
      <c r="I1020" s="32"/>
      <c r="J1020" s="32"/>
      <c r="K1020" s="32"/>
      <c r="L1020" s="66"/>
    </row>
    <row r="1021" spans="1:12" ht="30" x14ac:dyDescent="0.25">
      <c r="A1021" s="32"/>
      <c r="B1021" s="32"/>
      <c r="C1021" s="32"/>
      <c r="D1021" s="32"/>
      <c r="E1021" s="32"/>
      <c r="F1021" s="32"/>
      <c r="G1021" s="1340" t="s">
        <v>2705</v>
      </c>
      <c r="H1021" s="66" t="str">
        <f>'BID IV'!B314</f>
        <v>Belanja Perlengkapan Barang Konsumsi</v>
      </c>
      <c r="I1021" s="32"/>
      <c r="J1021" s="32"/>
      <c r="K1021" s="174">
        <f>SUM('BID IV'!F315)</f>
        <v>900000</v>
      </c>
      <c r="L1021" s="66" t="s">
        <v>2627</v>
      </c>
    </row>
    <row r="1022" spans="1:12" ht="30" x14ac:dyDescent="0.25">
      <c r="A1022" s="32"/>
      <c r="B1022" s="32"/>
      <c r="C1022" s="32"/>
      <c r="D1022" s="32"/>
      <c r="E1022" s="32"/>
      <c r="F1022" s="32"/>
      <c r="G1022" s="1340" t="s">
        <v>2707</v>
      </c>
      <c r="H1022" s="66" t="str">
        <f>'BID IV'!B317</f>
        <v>Belanja Bendera/ Umbul-umbul/ Spanduk</v>
      </c>
      <c r="I1022" s="32"/>
      <c r="J1022" s="32"/>
      <c r="K1022" s="174">
        <f>'BID IV'!F318</f>
        <v>90000</v>
      </c>
      <c r="L1022" s="66" t="s">
        <v>2627</v>
      </c>
    </row>
    <row r="1023" spans="1:12" ht="30" x14ac:dyDescent="0.25">
      <c r="A1023" s="32"/>
      <c r="B1023" s="32"/>
      <c r="C1023" s="32"/>
      <c r="D1023" s="32"/>
      <c r="E1023" s="32"/>
      <c r="F1023" s="32"/>
      <c r="G1023" s="32">
        <v>90</v>
      </c>
      <c r="H1023" s="66" t="str">
        <f>'BID IV'!B320</f>
        <v>Belanja Upakara, Upacara dan Aci</v>
      </c>
      <c r="I1023" s="32"/>
      <c r="J1023" s="32"/>
      <c r="K1023" s="174">
        <f>SUM('BID IV'!F321:F323)</f>
        <v>65000</v>
      </c>
      <c r="L1023" s="66" t="s">
        <v>2627</v>
      </c>
    </row>
    <row r="1024" spans="1:12" x14ac:dyDescent="0.25">
      <c r="A1024" s="32"/>
      <c r="B1024" s="32"/>
      <c r="C1024" s="32"/>
      <c r="D1024" s="32">
        <v>5</v>
      </c>
      <c r="E1024" s="32">
        <v>2</v>
      </c>
      <c r="F1024" s="32">
        <v>2</v>
      </c>
      <c r="G1024" s="32"/>
      <c r="H1024" s="66" t="str">
        <f>'BID IV'!B325</f>
        <v>Belanja  Jasa Honorarium</v>
      </c>
      <c r="I1024" s="32"/>
      <c r="J1024" s="32"/>
      <c r="K1024" s="32"/>
      <c r="L1024" s="66"/>
    </row>
    <row r="1025" spans="1:14" ht="45" x14ac:dyDescent="0.25">
      <c r="A1025" s="32"/>
      <c r="B1025" s="32"/>
      <c r="C1025" s="32"/>
      <c r="D1025" s="32"/>
      <c r="E1025" s="32"/>
      <c r="F1025" s="32"/>
      <c r="G1025" s="1340" t="s">
        <v>2704</v>
      </c>
      <c r="H1025" s="66" t="str">
        <f>'BID IV'!B326</f>
        <v>Belanja Jasa Honorarium Ahli/Profesi/Konsultan/Narasumber</v>
      </c>
      <c r="I1025" s="32"/>
      <c r="J1025" s="32"/>
      <c r="K1025" s="174">
        <f>'BID IV'!F327</f>
        <v>600000</v>
      </c>
      <c r="L1025" s="66" t="s">
        <v>2627</v>
      </c>
    </row>
    <row r="1026" spans="1:14" ht="60" x14ac:dyDescent="0.25">
      <c r="A1026" s="1344">
        <v>4</v>
      </c>
      <c r="B1026" s="1344">
        <v>4</v>
      </c>
      <c r="C1026" s="1346" t="s">
        <v>2688</v>
      </c>
      <c r="D1026" s="1344"/>
      <c r="E1026" s="1344"/>
      <c r="F1026" s="1344"/>
      <c r="G1026" s="1344"/>
      <c r="H1026" s="1345" t="str">
        <f>'BID IV'!B344</f>
        <v>:Pelatihan/Penyuluhan Pemberdayaan Perempuan (Pembinaan Kelompok P2WKSS)</v>
      </c>
      <c r="I1026" s="1344"/>
      <c r="J1026" s="1344"/>
      <c r="K1026" s="1347">
        <f>SUM(K1027:K1034)</f>
        <v>1227000</v>
      </c>
      <c r="L1026" s="1345" t="s">
        <v>2620</v>
      </c>
      <c r="M1026" s="451">
        <v>1227000</v>
      </c>
      <c r="N1026" s="175">
        <f>M1026-K1026</f>
        <v>0</v>
      </c>
    </row>
    <row r="1027" spans="1:14" x14ac:dyDescent="0.25">
      <c r="A1027" s="32"/>
      <c r="B1027" s="32"/>
      <c r="C1027" s="32"/>
      <c r="D1027" s="32">
        <v>5</v>
      </c>
      <c r="E1027" s="32">
        <v>2</v>
      </c>
      <c r="F1027" s="32"/>
      <c r="G1027" s="32"/>
      <c r="H1027" s="66" t="str">
        <f>'BID IV'!B350</f>
        <v>Belanja Barang Jasa</v>
      </c>
      <c r="I1027" s="32"/>
      <c r="J1027" s="32"/>
      <c r="K1027" s="32"/>
      <c r="L1027" s="66"/>
    </row>
    <row r="1028" spans="1:14" ht="30" x14ac:dyDescent="0.25">
      <c r="A1028" s="32"/>
      <c r="B1028" s="32"/>
      <c r="C1028" s="32"/>
      <c r="D1028" s="32"/>
      <c r="E1028" s="32"/>
      <c r="F1028" s="32">
        <v>1</v>
      </c>
      <c r="G1028" s="32"/>
      <c r="H1028" s="66" t="str">
        <f>'BID IV'!B351</f>
        <v>Belanja Barang Perlengkapan</v>
      </c>
      <c r="I1028" s="32"/>
      <c r="J1028" s="32"/>
      <c r="K1028" s="32"/>
      <c r="L1028" s="66"/>
    </row>
    <row r="1029" spans="1:14" ht="30" x14ac:dyDescent="0.25">
      <c r="A1029" s="32"/>
      <c r="B1029" s="32"/>
      <c r="C1029" s="32"/>
      <c r="D1029" s="32"/>
      <c r="E1029" s="32"/>
      <c r="F1029" s="32"/>
      <c r="G1029" s="1340" t="s">
        <v>2688</v>
      </c>
      <c r="H1029" s="66" t="str">
        <f>'BID IV'!B352</f>
        <v>Belanja Alat Tulis Kantor dan Benda Pos</v>
      </c>
      <c r="I1029" s="32"/>
      <c r="J1029" s="32"/>
      <c r="K1029" s="174">
        <f>SUM('BID IV'!F353:F356)</f>
        <v>87000</v>
      </c>
      <c r="L1029" s="66" t="s">
        <v>2620</v>
      </c>
    </row>
    <row r="1030" spans="1:14" ht="30" x14ac:dyDescent="0.25">
      <c r="A1030" s="32"/>
      <c r="B1030" s="32"/>
      <c r="C1030" s="32"/>
      <c r="D1030" s="32"/>
      <c r="E1030" s="32"/>
      <c r="F1030" s="32"/>
      <c r="G1030" s="1340" t="s">
        <v>2705</v>
      </c>
      <c r="H1030" s="66" t="str">
        <f>'BID IV'!B357</f>
        <v>Belanja Perlengkapan Barang Konsumsi</v>
      </c>
      <c r="I1030" s="32"/>
      <c r="J1030" s="32"/>
      <c r="K1030" s="513">
        <f>SUM('BID IV'!F358)</f>
        <v>450000</v>
      </c>
      <c r="L1030" s="66" t="s">
        <v>2620</v>
      </c>
    </row>
    <row r="1031" spans="1:14" x14ac:dyDescent="0.25">
      <c r="A1031" s="32"/>
      <c r="B1031" s="32"/>
      <c r="C1031" s="32"/>
      <c r="D1031" s="32"/>
      <c r="E1031" s="32"/>
      <c r="F1031" s="32"/>
      <c r="G1031" s="1340" t="s">
        <v>2708</v>
      </c>
      <c r="H1031" s="66" t="str">
        <f>'BID IV'!B359</f>
        <v>Belanaja Bahan/Material</v>
      </c>
      <c r="I1031" s="32"/>
      <c r="J1031" s="32"/>
      <c r="K1031" s="32"/>
      <c r="L1031" s="66"/>
    </row>
    <row r="1032" spans="1:14" ht="30" x14ac:dyDescent="0.25">
      <c r="A1032" s="32"/>
      <c r="B1032" s="32"/>
      <c r="C1032" s="32"/>
      <c r="D1032" s="32"/>
      <c r="E1032" s="32"/>
      <c r="F1032" s="32"/>
      <c r="G1032" s="1340" t="s">
        <v>2707</v>
      </c>
      <c r="H1032" s="66" t="str">
        <f>'BID IV'!B360</f>
        <v>Belanja Bendera/ Umbul-umbul/ Spanduk</v>
      </c>
      <c r="I1032" s="32"/>
      <c r="J1032" s="32"/>
      <c r="K1032" s="513">
        <f>'BID IV'!F361</f>
        <v>90000</v>
      </c>
      <c r="L1032" s="66" t="s">
        <v>2620</v>
      </c>
    </row>
    <row r="1033" spans="1:14" x14ac:dyDescent="0.25">
      <c r="A1033" s="32"/>
      <c r="B1033" s="32"/>
      <c r="C1033" s="32"/>
      <c r="D1033" s="32">
        <v>5</v>
      </c>
      <c r="E1033" s="32">
        <v>2</v>
      </c>
      <c r="F1033" s="32">
        <v>2</v>
      </c>
      <c r="G1033" s="32"/>
      <c r="H1033" s="32" t="str">
        <f>'BID IV'!B362</f>
        <v>Belanja Jasa Honorarium</v>
      </c>
      <c r="I1033" s="32"/>
      <c r="J1033" s="32"/>
      <c r="K1033" s="32"/>
      <c r="L1033" s="66"/>
    </row>
    <row r="1034" spans="1:14" ht="60" x14ac:dyDescent="0.25">
      <c r="A1034" s="32"/>
      <c r="B1034" s="32"/>
      <c r="C1034" s="32"/>
      <c r="D1034" s="32"/>
      <c r="E1034" s="32"/>
      <c r="F1034" s="32"/>
      <c r="G1034" s="1340" t="s">
        <v>2704</v>
      </c>
      <c r="H1034" s="66" t="str">
        <f>'BID IV'!B363</f>
        <v>Belanja Jasa Honorarium Ahli/ Profesi/Konsultan/Narasumber</v>
      </c>
      <c r="I1034" s="32"/>
      <c r="J1034" s="32"/>
      <c r="K1034" s="513">
        <f>SUM('BID IV'!F364)</f>
        <v>600000</v>
      </c>
      <c r="L1034" s="66" t="s">
        <v>2620</v>
      </c>
    </row>
    <row r="1035" spans="1:14" ht="90" x14ac:dyDescent="0.25">
      <c r="A1035" s="1344">
        <v>4</v>
      </c>
      <c r="B1035" s="1344">
        <v>6</v>
      </c>
      <c r="C1035" s="1346" t="s">
        <v>2702</v>
      </c>
      <c r="D1035" s="1344"/>
      <c r="E1035" s="1344"/>
      <c r="F1035" s="1344"/>
      <c r="G1035" s="1344"/>
      <c r="H1035" s="1345" t="str">
        <f>'BID IV'!B381</f>
        <v>: Pengembangan sarana dan prasarana usaha mikro, kecil dan menengah serta koprasi  (Pelatihan Management BUMDes)</v>
      </c>
      <c r="I1035" s="1344"/>
      <c r="J1035" s="1344"/>
      <c r="K1035" s="1347">
        <f>SUM(K1036:K1042)</f>
        <v>1205000</v>
      </c>
      <c r="L1035" s="1345" t="s">
        <v>1682</v>
      </c>
      <c r="M1035">
        <v>1205000</v>
      </c>
    </row>
    <row r="1036" spans="1:14" x14ac:dyDescent="0.25">
      <c r="A1036" s="32"/>
      <c r="B1036" s="32"/>
      <c r="C1036" s="32"/>
      <c r="D1036" s="32">
        <v>5</v>
      </c>
      <c r="E1036" s="32">
        <v>2</v>
      </c>
      <c r="F1036" s="32"/>
      <c r="G1036" s="32"/>
      <c r="H1036" s="66" t="str">
        <f>'BID IV'!B387</f>
        <v>Belanja Barang Dan Jasa</v>
      </c>
      <c r="I1036" s="32"/>
      <c r="J1036" s="32"/>
      <c r="K1036" s="32"/>
      <c r="L1036" s="66"/>
      <c r="M1036" s="175">
        <f>K1035-M1035</f>
        <v>0</v>
      </c>
    </row>
    <row r="1037" spans="1:14" ht="30" x14ac:dyDescent="0.25">
      <c r="A1037" s="32"/>
      <c r="B1037" s="32"/>
      <c r="C1037" s="32"/>
      <c r="D1037" s="32"/>
      <c r="E1037" s="32"/>
      <c r="F1037" s="32">
        <v>1</v>
      </c>
      <c r="G1037" s="32"/>
      <c r="H1037" s="66" t="str">
        <f>'BID IV'!B388</f>
        <v>Belanja Barang Perlengkapan</v>
      </c>
      <c r="I1037" s="32"/>
      <c r="J1037" s="32"/>
      <c r="K1037" s="32"/>
      <c r="L1037" s="66"/>
    </row>
    <row r="1038" spans="1:14" ht="30" x14ac:dyDescent="0.25">
      <c r="A1038" s="32"/>
      <c r="B1038" s="32"/>
      <c r="C1038" s="32"/>
      <c r="D1038" s="32"/>
      <c r="E1038" s="32"/>
      <c r="F1038" s="32"/>
      <c r="G1038" s="1340" t="s">
        <v>2705</v>
      </c>
      <c r="H1038" s="66" t="str">
        <f>'BID IV'!B389</f>
        <v>Belanja Perlengkapan Barang Konsumsi</v>
      </c>
      <c r="I1038" s="32"/>
      <c r="J1038" s="32"/>
      <c r="K1038" s="174">
        <f>SUM('BID IV'!F390)</f>
        <v>450000</v>
      </c>
      <c r="L1038" s="66" t="s">
        <v>1682</v>
      </c>
    </row>
    <row r="1039" spans="1:14" ht="30" x14ac:dyDescent="0.25">
      <c r="A1039" s="32"/>
      <c r="B1039" s="32"/>
      <c r="C1039" s="32"/>
      <c r="D1039" s="32"/>
      <c r="E1039" s="32"/>
      <c r="F1039" s="32"/>
      <c r="G1039" s="1340" t="s">
        <v>2707</v>
      </c>
      <c r="H1039" s="66" t="str">
        <f>'BID IV'!B392</f>
        <v>Belanja Bendera/ Umbul-umbul/ Spanduk</v>
      </c>
      <c r="I1039" s="32"/>
      <c r="J1039" s="32"/>
      <c r="K1039" s="174">
        <f>'BID IV'!F393</f>
        <v>90000</v>
      </c>
      <c r="L1039" s="66" t="s">
        <v>1682</v>
      </c>
    </row>
    <row r="1040" spans="1:14" ht="30" x14ac:dyDescent="0.25">
      <c r="A1040" s="32"/>
      <c r="B1040" s="32"/>
      <c r="C1040" s="32"/>
      <c r="D1040" s="32"/>
      <c r="E1040" s="32"/>
      <c r="F1040" s="32"/>
      <c r="G1040" s="32">
        <v>90</v>
      </c>
      <c r="H1040" s="66" t="str">
        <f>'BID IV'!B395</f>
        <v>Belanja Upakara, Upacara dan Aci</v>
      </c>
      <c r="I1040" s="32"/>
      <c r="J1040" s="32"/>
      <c r="K1040" s="174">
        <f>SUM('BID IV'!F396:F397)</f>
        <v>65000</v>
      </c>
      <c r="L1040" s="66" t="s">
        <v>1682</v>
      </c>
    </row>
    <row r="1041" spans="1:13" x14ac:dyDescent="0.25">
      <c r="A1041" s="32"/>
      <c r="B1041" s="32"/>
      <c r="C1041" s="32"/>
      <c r="D1041" s="32">
        <v>5</v>
      </c>
      <c r="E1041" s="32">
        <v>2</v>
      </c>
      <c r="F1041" s="32">
        <v>2</v>
      </c>
      <c r="G1041" s="32"/>
      <c r="H1041" s="66" t="str">
        <f>'BID IV'!B399</f>
        <v>Belanja Honorarium</v>
      </c>
      <c r="I1041" s="32"/>
      <c r="J1041" s="32"/>
      <c r="K1041" s="32"/>
      <c r="L1041" s="66"/>
    </row>
    <row r="1042" spans="1:13" ht="45" x14ac:dyDescent="0.25">
      <c r="A1042" s="32"/>
      <c r="B1042" s="32"/>
      <c r="C1042" s="32"/>
      <c r="D1042" s="32"/>
      <c r="E1042" s="32"/>
      <c r="F1042" s="32"/>
      <c r="G1042" s="1340" t="s">
        <v>2704</v>
      </c>
      <c r="H1042" s="66" t="str">
        <f>'BID IV'!B400</f>
        <v>Belanja Jasa Honorarium Ahli/Profesi/Konsultan/Narasumber</v>
      </c>
      <c r="I1042" s="32"/>
      <c r="J1042" s="32"/>
      <c r="K1042" s="174">
        <f>SUM('BID IV'!F401)</f>
        <v>600000</v>
      </c>
      <c r="L1042" s="66" t="s">
        <v>1682</v>
      </c>
    </row>
    <row r="1043" spans="1:13" ht="90" x14ac:dyDescent="0.25">
      <c r="A1043" s="1344">
        <v>4</v>
      </c>
      <c r="B1043" s="1344">
        <v>7</v>
      </c>
      <c r="C1043" s="1346" t="s">
        <v>2704</v>
      </c>
      <c r="D1043" s="1344"/>
      <c r="E1043" s="1344"/>
      <c r="F1043" s="1344"/>
      <c r="G1043" s="1344"/>
      <c r="H1043" s="1345" t="str">
        <f>'BID IV'!B417</f>
        <v>: Pelatihan Kelompok Usahan Ekonomi Produktif (Kelompok Pengerajin Lampion "Dewata Janur Desa Penatih Dangin Puri)</v>
      </c>
      <c r="I1043" s="1344"/>
      <c r="J1043" s="1344"/>
      <c r="K1043" s="1347">
        <f>SUM(K1044:K1052)</f>
        <v>46276296</v>
      </c>
      <c r="L1043" s="1345" t="s">
        <v>2620</v>
      </c>
    </row>
    <row r="1044" spans="1:13" x14ac:dyDescent="0.25">
      <c r="A1044" s="32"/>
      <c r="B1044" s="32"/>
      <c r="C1044" s="32"/>
      <c r="D1044" s="32">
        <v>5</v>
      </c>
      <c r="E1044" s="32">
        <v>2</v>
      </c>
      <c r="F1044" s="32"/>
      <c r="G1044" s="32"/>
      <c r="H1044" s="66" t="str">
        <f>'BID IV'!B423</f>
        <v>Belanja Barang Dan Jasa</v>
      </c>
      <c r="I1044" s="32"/>
      <c r="J1044" s="32"/>
      <c r="K1044" s="32"/>
      <c r="L1044" s="66"/>
    </row>
    <row r="1045" spans="1:13" ht="30" x14ac:dyDescent="0.25">
      <c r="A1045" s="32"/>
      <c r="B1045" s="32"/>
      <c r="C1045" s="32"/>
      <c r="D1045" s="32"/>
      <c r="E1045" s="32"/>
      <c r="F1045" s="32">
        <v>1</v>
      </c>
      <c r="G1045" s="32"/>
      <c r="H1045" s="66" t="str">
        <f>'BID IV'!B424</f>
        <v>Belanja Barang Perlengkapan</v>
      </c>
      <c r="I1045" s="32"/>
      <c r="J1045" s="32"/>
      <c r="K1045" s="32"/>
      <c r="L1045" s="66"/>
    </row>
    <row r="1046" spans="1:13" ht="30" x14ac:dyDescent="0.25">
      <c r="A1046" s="32"/>
      <c r="B1046" s="32"/>
      <c r="C1046" s="32"/>
      <c r="D1046" s="32"/>
      <c r="E1046" s="32"/>
      <c r="F1046" s="32"/>
      <c r="G1046" s="1340" t="s">
        <v>2705</v>
      </c>
      <c r="H1046" s="66" t="str">
        <f>'BID IV'!B425</f>
        <v>Belanja Perlengkapan Barang Konsumsi</v>
      </c>
      <c r="I1046" s="32"/>
      <c r="J1046" s="32"/>
      <c r="K1046" s="174">
        <f>SUM('BID IV'!F426)</f>
        <v>300000</v>
      </c>
      <c r="L1046" s="66" t="s">
        <v>2620</v>
      </c>
    </row>
    <row r="1047" spans="1:13" ht="30" x14ac:dyDescent="0.25">
      <c r="A1047" s="32"/>
      <c r="B1047" s="32"/>
      <c r="C1047" s="32"/>
      <c r="D1047" s="32"/>
      <c r="E1047" s="32"/>
      <c r="F1047" s="32"/>
      <c r="G1047" s="1340" t="s">
        <v>2707</v>
      </c>
      <c r="H1047" s="66" t="str">
        <f>'BID IV'!B429</f>
        <v>Belanja Bendera/ Umbul-umbul/ Spanduk</v>
      </c>
      <c r="I1047" s="32"/>
      <c r="J1047" s="32"/>
      <c r="K1047" s="174">
        <f>'BID IV'!F430</f>
        <v>90000</v>
      </c>
      <c r="L1047" s="66" t="s">
        <v>2620</v>
      </c>
    </row>
    <row r="1048" spans="1:13" x14ac:dyDescent="0.25">
      <c r="A1048" s="32"/>
      <c r="B1048" s="32"/>
      <c r="C1048" s="32"/>
      <c r="D1048" s="32">
        <v>5</v>
      </c>
      <c r="E1048" s="32">
        <v>2</v>
      </c>
      <c r="F1048" s="32">
        <v>2</v>
      </c>
      <c r="G1048" s="32"/>
      <c r="H1048" s="66" t="str">
        <f>'BID IV'!B432</f>
        <v>Belanja Jasa Honorarium</v>
      </c>
      <c r="I1048" s="32"/>
      <c r="J1048" s="32"/>
      <c r="K1048" s="32"/>
      <c r="L1048" s="66"/>
    </row>
    <row r="1049" spans="1:13" ht="45" x14ac:dyDescent="0.25">
      <c r="A1049" s="32"/>
      <c r="B1049" s="32"/>
      <c r="C1049" s="32"/>
      <c r="D1049" s="32"/>
      <c r="E1049" s="32"/>
      <c r="F1049" s="32"/>
      <c r="G1049" s="1340" t="s">
        <v>2688</v>
      </c>
      <c r="H1049" s="66" t="str">
        <f>'BID IV'!B433</f>
        <v>Belanja Jasa Honorarium Tim Yang Melaksanakan Kegiatan</v>
      </c>
      <c r="I1049" s="32"/>
      <c r="J1049" s="32"/>
      <c r="K1049" s="174">
        <f>SUM('BID IV'!F434:F436)</f>
        <v>1150000</v>
      </c>
      <c r="L1049" s="66" t="s">
        <v>2620</v>
      </c>
    </row>
    <row r="1050" spans="1:13" ht="30" x14ac:dyDescent="0.25">
      <c r="A1050" s="32"/>
      <c r="B1050" s="32"/>
      <c r="C1050" s="32"/>
      <c r="D1050" s="32"/>
      <c r="E1050" s="32"/>
      <c r="F1050" s="32"/>
      <c r="G1050" s="1340" t="s">
        <v>2704</v>
      </c>
      <c r="H1050" s="66" t="str">
        <f>'BID IV'!B438</f>
        <v>Honorium Narasumber / intruktur 2 or x 1kali</v>
      </c>
      <c r="I1050" s="32"/>
      <c r="J1050" s="32"/>
      <c r="K1050" s="174">
        <f>'BID IV'!F438</f>
        <v>600000</v>
      </c>
      <c r="L1050" s="66" t="s">
        <v>2620</v>
      </c>
    </row>
    <row r="1051" spans="1:13" ht="45" x14ac:dyDescent="0.25">
      <c r="A1051" s="32"/>
      <c r="B1051" s="32"/>
      <c r="C1051" s="32"/>
      <c r="D1051" s="32">
        <v>5</v>
      </c>
      <c r="E1051" s="32">
        <v>2</v>
      </c>
      <c r="F1051" s="32">
        <v>7</v>
      </c>
      <c r="G1051" s="32"/>
      <c r="H1051" s="66" t="str">
        <f>'BID IV'!B440</f>
        <v>Belanja Barang Dan jasa Yang Diserahkan Kepada Masyarakat</v>
      </c>
      <c r="I1051" s="32"/>
      <c r="J1051" s="32"/>
      <c r="K1051" s="32"/>
      <c r="L1051" s="66"/>
    </row>
    <row r="1052" spans="1:13" ht="60" x14ac:dyDescent="0.25">
      <c r="A1052" s="32"/>
      <c r="B1052" s="32"/>
      <c r="C1052" s="32"/>
      <c r="D1052" s="32"/>
      <c r="E1052" s="32"/>
      <c r="F1052" s="32"/>
      <c r="G1052" s="1340" t="s">
        <v>2688</v>
      </c>
      <c r="H1052" s="66" t="str">
        <f>'BID IV'!B441</f>
        <v>Belanja Bahan Perlengkapan Yang Diserahkan Ke Masyarakat</v>
      </c>
      <c r="I1052" s="32"/>
      <c r="J1052" s="32"/>
      <c r="K1052" s="174">
        <f>SUM('BID IV'!F442:F461)</f>
        <v>44136296</v>
      </c>
      <c r="L1052" s="66" t="s">
        <v>2620</v>
      </c>
    </row>
    <row r="1053" spans="1:13" x14ac:dyDescent="0.25">
      <c r="A1053" s="1342">
        <v>5</v>
      </c>
      <c r="B1053" s="1342"/>
      <c r="C1053" s="1342"/>
      <c r="D1053" s="1342"/>
      <c r="E1053" s="1342"/>
      <c r="F1053" s="1342"/>
      <c r="G1053" s="1342"/>
      <c r="H1053" s="1342" t="str">
        <f>'BID V'!B5</f>
        <v>: Tanggap Darurat Bencana</v>
      </c>
      <c r="I1053" s="1342"/>
      <c r="J1053" s="1342"/>
      <c r="K1053" s="1351">
        <f>K1055</f>
        <v>151200000</v>
      </c>
      <c r="L1053" s="1343"/>
      <c r="M1053">
        <f>Hitungan!X9</f>
        <v>151200000</v>
      </c>
    </row>
    <row r="1054" spans="1:13" x14ac:dyDescent="0.25">
      <c r="A1054" s="1344">
        <v>5</v>
      </c>
      <c r="B1054" s="1344">
        <v>3</v>
      </c>
      <c r="C1054" s="1344"/>
      <c r="D1054" s="1344"/>
      <c r="E1054" s="1344"/>
      <c r="F1054" s="1344"/>
      <c r="G1054" s="1344"/>
      <c r="H1054" s="1345" t="str">
        <f>'BID V'!B6</f>
        <v>: Keadaan Mendesak</v>
      </c>
      <c r="I1054" s="1344"/>
      <c r="J1054" s="1344"/>
      <c r="K1054" s="1344"/>
      <c r="L1054" s="1345"/>
    </row>
    <row r="1055" spans="1:13" ht="45" x14ac:dyDescent="0.25">
      <c r="A1055" s="1344">
        <v>5</v>
      </c>
      <c r="B1055" s="1344">
        <v>3</v>
      </c>
      <c r="C1055" s="1346" t="s">
        <v>2721</v>
      </c>
      <c r="D1055" s="1344"/>
      <c r="E1055" s="1344"/>
      <c r="F1055" s="1344"/>
      <c r="G1055" s="1344"/>
      <c r="H1055" s="1345" t="str">
        <f>'BID V'!B7</f>
        <v xml:space="preserve"> Penanggulangan Keadaan Mendesak Pemberian BLT</v>
      </c>
      <c r="I1055" s="1344"/>
      <c r="J1055" s="1344"/>
      <c r="K1055" s="1349">
        <f>K1058</f>
        <v>151200000</v>
      </c>
      <c r="L1055" s="1345" t="s">
        <v>2387</v>
      </c>
    </row>
    <row r="1056" spans="1:13" x14ac:dyDescent="0.25">
      <c r="A1056" s="32"/>
      <c r="B1056" s="32"/>
      <c r="C1056" s="32"/>
      <c r="D1056" s="32">
        <v>5</v>
      </c>
      <c r="E1056" s="32">
        <v>4</v>
      </c>
      <c r="F1056" s="32"/>
      <c r="G1056" s="32"/>
      <c r="H1056" s="32" t="str">
        <f>'BID V'!B13</f>
        <v>Belanja Tak Terduga</v>
      </c>
      <c r="I1056" s="32"/>
      <c r="J1056" s="32"/>
      <c r="K1056" s="32"/>
      <c r="L1056" s="66"/>
    </row>
    <row r="1057" spans="1:14" x14ac:dyDescent="0.25">
      <c r="A1057" s="32"/>
      <c r="B1057" s="32"/>
      <c r="C1057" s="32"/>
      <c r="D1057" s="32"/>
      <c r="E1057" s="32"/>
      <c r="F1057" s="32">
        <v>1</v>
      </c>
      <c r="G1057" s="32"/>
      <c r="H1057" s="32" t="str">
        <f>'BID V'!B14</f>
        <v>Belanja Tak Terduga</v>
      </c>
      <c r="I1057" s="32"/>
      <c r="J1057" s="32"/>
      <c r="K1057" s="32"/>
      <c r="L1057" s="66"/>
    </row>
    <row r="1058" spans="1:14" x14ac:dyDescent="0.25">
      <c r="A1058" s="32"/>
      <c r="B1058" s="32"/>
      <c r="C1058" s="32"/>
      <c r="D1058" s="32"/>
      <c r="E1058" s="32"/>
      <c r="F1058" s="32"/>
      <c r="G1058" s="1340" t="s">
        <v>2688</v>
      </c>
      <c r="H1058" s="32" t="str">
        <f>'BID V'!B15</f>
        <v>Belanja Tak Terduga</v>
      </c>
      <c r="I1058" s="32"/>
      <c r="J1058" s="32"/>
      <c r="K1058" s="174">
        <f>'BID V'!F16</f>
        <v>151200000</v>
      </c>
      <c r="L1058" s="66" t="s">
        <v>2387</v>
      </c>
    </row>
    <row r="1059" spans="1:14" x14ac:dyDescent="0.25">
      <c r="A1059" s="32"/>
      <c r="B1059" s="32"/>
      <c r="C1059" s="32"/>
      <c r="D1059" s="32"/>
      <c r="E1059" s="32"/>
      <c r="F1059" s="32"/>
      <c r="G1059" s="32"/>
      <c r="H1059" s="32"/>
      <c r="I1059" s="32"/>
      <c r="J1059" s="32"/>
      <c r="K1059" s="32"/>
      <c r="L1059" s="66"/>
    </row>
    <row r="1060" spans="1:14" x14ac:dyDescent="0.25">
      <c r="A1060" s="32"/>
      <c r="B1060" s="32"/>
      <c r="C1060" s="32"/>
      <c r="D1060" s="32"/>
      <c r="E1060" s="32"/>
      <c r="F1060" s="32"/>
      <c r="G1060" s="32"/>
      <c r="H1060" s="32"/>
      <c r="I1060" s="32"/>
      <c r="J1060" s="32"/>
      <c r="K1060" s="32"/>
      <c r="L1060" s="66"/>
    </row>
    <row r="1061" spans="1:14" x14ac:dyDescent="0.25">
      <c r="A1061" s="32"/>
      <c r="B1061" s="32"/>
      <c r="C1061" s="32"/>
      <c r="D1061" s="32"/>
      <c r="E1061" s="32"/>
      <c r="F1061" s="32"/>
      <c r="G1061" s="32"/>
      <c r="H1061" s="32"/>
      <c r="I1061" s="32"/>
      <c r="J1061" s="32"/>
      <c r="K1061" s="32"/>
      <c r="L1061" s="66"/>
    </row>
    <row r="1062" spans="1:14" x14ac:dyDescent="0.25">
      <c r="A1062" s="1342"/>
      <c r="B1062" s="1342"/>
      <c r="C1062" s="1342"/>
      <c r="D1062" s="1342"/>
      <c r="E1062" s="1342"/>
      <c r="F1062" s="1342"/>
      <c r="G1062" s="1641"/>
      <c r="H1062" s="1342" t="s">
        <v>2722</v>
      </c>
      <c r="I1062" s="1342"/>
      <c r="J1062" s="1342"/>
      <c r="K1062" s="1351">
        <f>K1053+K960+K747+K292+K46</f>
        <v>8952901364.9300003</v>
      </c>
      <c r="L1062" s="1343"/>
      <c r="M1062" s="451">
        <f>Hitungan!X10</f>
        <v>8952901364.9300003</v>
      </c>
      <c r="N1062" s="175">
        <f>M1062-K1062</f>
        <v>0</v>
      </c>
    </row>
    <row r="1063" spans="1:14" x14ac:dyDescent="0.25">
      <c r="A1063" s="1342"/>
      <c r="B1063" s="1342"/>
      <c r="C1063" s="1342"/>
      <c r="D1063" s="1342"/>
      <c r="E1063" s="1342"/>
      <c r="F1063" s="1342"/>
      <c r="G1063" s="1641"/>
      <c r="H1063" s="1342" t="s">
        <v>2723</v>
      </c>
      <c r="I1063" s="1342"/>
      <c r="J1063" s="1342"/>
      <c r="K1063" s="1351">
        <f>K43-K1062</f>
        <v>-1519256532.9300003</v>
      </c>
      <c r="L1063" s="1343"/>
    </row>
    <row r="1064" spans="1:14" x14ac:dyDescent="0.25">
      <c r="A1064" s="32"/>
      <c r="B1064" s="32"/>
      <c r="C1064" s="32"/>
      <c r="D1064" s="32"/>
      <c r="E1064" s="32"/>
      <c r="F1064" s="32"/>
      <c r="G1064" s="32"/>
      <c r="H1064" s="850"/>
      <c r="I1064" s="32"/>
      <c r="J1064" s="32"/>
      <c r="K1064" s="32"/>
      <c r="L1064" s="66"/>
    </row>
    <row r="1065" spans="1:14" x14ac:dyDescent="0.25">
      <c r="A1065" s="32"/>
      <c r="B1065" s="32"/>
      <c r="C1065" s="32"/>
      <c r="D1065" s="32"/>
      <c r="E1065" s="32"/>
      <c r="F1065" s="32"/>
      <c r="G1065" s="916"/>
      <c r="H1065" s="66"/>
      <c r="I1065" s="32"/>
      <c r="J1065" s="32"/>
      <c r="K1065" s="32"/>
      <c r="L1065" s="66"/>
    </row>
    <row r="1066" spans="1:14" x14ac:dyDescent="0.25">
      <c r="A1066" s="32"/>
      <c r="B1066" s="32"/>
      <c r="C1066" s="32"/>
      <c r="D1066" s="32">
        <v>6</v>
      </c>
      <c r="E1066" s="32"/>
      <c r="F1066" s="32"/>
      <c r="G1066" s="916"/>
      <c r="H1066" s="66" t="s">
        <v>2724</v>
      </c>
      <c r="I1066" s="32"/>
      <c r="J1066" s="32"/>
      <c r="K1066" s="32"/>
      <c r="L1066" s="66"/>
    </row>
    <row r="1067" spans="1:14" x14ac:dyDescent="0.25">
      <c r="A1067" s="32"/>
      <c r="B1067" s="32"/>
      <c r="C1067" s="32"/>
      <c r="D1067" s="32">
        <v>6</v>
      </c>
      <c r="E1067" s="32">
        <v>1</v>
      </c>
      <c r="F1067" s="32"/>
      <c r="G1067" s="916"/>
      <c r="H1067" s="66" t="s">
        <v>2725</v>
      </c>
      <c r="I1067" s="32"/>
      <c r="J1067" s="32"/>
      <c r="K1067" s="32"/>
      <c r="L1067" s="66"/>
    </row>
    <row r="1068" spans="1:14" x14ac:dyDescent="0.25">
      <c r="A1068" s="32"/>
      <c r="B1068" s="32"/>
      <c r="C1068" s="32"/>
      <c r="D1068" s="32">
        <v>6</v>
      </c>
      <c r="E1068" s="32">
        <v>1</v>
      </c>
      <c r="F1068" s="32">
        <v>1</v>
      </c>
      <c r="G1068" s="916"/>
      <c r="H1068" s="66" t="s">
        <v>2726</v>
      </c>
      <c r="I1068" s="32"/>
      <c r="J1068" s="32"/>
      <c r="K1068" s="32"/>
      <c r="L1068" s="66"/>
    </row>
    <row r="1069" spans="1:14" x14ac:dyDescent="0.25">
      <c r="A1069" s="1342"/>
      <c r="B1069" s="1342"/>
      <c r="C1069" s="1342"/>
      <c r="D1069" s="1342">
        <v>6</v>
      </c>
      <c r="E1069" s="1342">
        <v>1</v>
      </c>
      <c r="F1069" s="1342">
        <v>1</v>
      </c>
      <c r="G1069" s="1641">
        <v>1</v>
      </c>
      <c r="H1069" s="1343" t="s">
        <v>2726</v>
      </c>
      <c r="I1069" s="1342"/>
      <c r="J1069" s="1342"/>
      <c r="K1069" s="1356">
        <f>Hitungan!N3+Hitungan!O3+Hitungan!P3+Hitungan!Q3+Hitungan!R3+Hitungan!S3+Hitungan!T3</f>
        <v>1519256532.9300001</v>
      </c>
      <c r="L1069" s="1343"/>
      <c r="M1069" s="451">
        <v>1519256532.9300001</v>
      </c>
    </row>
    <row r="1070" spans="1:14" x14ac:dyDescent="0.25">
      <c r="A1070" s="32"/>
      <c r="B1070" s="32"/>
      <c r="C1070" s="32"/>
      <c r="D1070" s="32"/>
      <c r="E1070" s="32"/>
      <c r="F1070" s="32"/>
      <c r="G1070" s="916"/>
      <c r="H1070" s="66"/>
      <c r="I1070" s="32"/>
      <c r="J1070" s="32"/>
      <c r="K1070" s="32"/>
      <c r="L1070" s="66"/>
      <c r="M1070" s="175">
        <f>K1069-M1069</f>
        <v>0</v>
      </c>
    </row>
    <row r="1071" spans="1:14" x14ac:dyDescent="0.25">
      <c r="A1071" s="32"/>
      <c r="B1071" s="32"/>
      <c r="C1071" s="32"/>
      <c r="D1071" s="32">
        <v>6</v>
      </c>
      <c r="E1071" s="32">
        <v>2</v>
      </c>
      <c r="F1071" s="32"/>
      <c r="G1071" s="916"/>
      <c r="H1071" s="66" t="s">
        <v>2727</v>
      </c>
      <c r="I1071" s="32"/>
      <c r="J1071" s="32"/>
      <c r="K1071" s="32"/>
      <c r="L1071" s="66"/>
    </row>
    <row r="1072" spans="1:14" x14ac:dyDescent="0.25">
      <c r="A1072" s="32"/>
      <c r="B1072" s="32"/>
      <c r="C1072" s="32"/>
      <c r="D1072" s="32">
        <v>6</v>
      </c>
      <c r="E1072" s="32">
        <v>2</v>
      </c>
      <c r="F1072" s="32">
        <v>2</v>
      </c>
      <c r="G1072" s="916"/>
      <c r="H1072" s="66" t="s">
        <v>2728</v>
      </c>
      <c r="I1072" s="32"/>
      <c r="J1072" s="32"/>
      <c r="K1072" s="32"/>
      <c r="L1072" s="66"/>
    </row>
    <row r="1073" spans="1:13" x14ac:dyDescent="0.25">
      <c r="A1073" s="32"/>
      <c r="B1073" s="32"/>
      <c r="C1073" s="32"/>
      <c r="D1073" s="32">
        <v>6</v>
      </c>
      <c r="E1073" s="32">
        <v>2</v>
      </c>
      <c r="F1073" s="32">
        <v>2</v>
      </c>
      <c r="G1073" s="916">
        <v>1</v>
      </c>
      <c r="H1073" s="66" t="s">
        <v>2728</v>
      </c>
      <c r="I1073" s="32"/>
      <c r="J1073" s="32"/>
      <c r="K1073" s="174">
        <f>'[1]BID IV'!F708</f>
        <v>0</v>
      </c>
      <c r="L1073" s="66"/>
    </row>
    <row r="1074" spans="1:13" x14ac:dyDescent="0.25">
      <c r="A1074" s="32"/>
      <c r="B1074" s="32"/>
      <c r="C1074" s="32"/>
      <c r="D1074" s="32"/>
      <c r="E1074" s="32"/>
      <c r="F1074" s="32"/>
      <c r="G1074" s="916"/>
      <c r="H1074" s="66"/>
      <c r="I1074" s="32"/>
      <c r="J1074" s="32"/>
      <c r="K1074" s="32"/>
      <c r="L1074" s="66"/>
    </row>
    <row r="1075" spans="1:13" ht="15.75" thickBot="1" x14ac:dyDescent="0.3">
      <c r="A1075" s="32"/>
      <c r="B1075" s="32"/>
      <c r="C1075" s="32" t="s">
        <v>2729</v>
      </c>
      <c r="D1075" s="32"/>
      <c r="E1075" s="32"/>
      <c r="F1075" s="32"/>
      <c r="G1075" s="916"/>
      <c r="H1075" s="848"/>
      <c r="I1075" s="32"/>
      <c r="J1075" s="32"/>
      <c r="K1075" s="32"/>
      <c r="L1075" s="66"/>
    </row>
    <row r="1076" spans="1:13" ht="15.75" thickBot="1" x14ac:dyDescent="0.3">
      <c r="A1076" s="1342"/>
      <c r="B1076" s="1342"/>
      <c r="C1076" s="1342"/>
      <c r="D1076" s="1342"/>
      <c r="E1076" s="1342"/>
      <c r="F1076" s="1342"/>
      <c r="G1076" s="1641"/>
      <c r="H1076" s="1642" t="s">
        <v>2730</v>
      </c>
      <c r="I1076" s="1342"/>
      <c r="J1076" s="1342"/>
      <c r="K1076" s="1351">
        <f>K1069-K1073</f>
        <v>1519256532.9300001</v>
      </c>
      <c r="L1076" s="1343"/>
    </row>
    <row r="1077" spans="1:13" x14ac:dyDescent="0.25">
      <c r="A1077" s="32"/>
      <c r="B1077" s="32"/>
      <c r="C1077" s="32"/>
      <c r="D1077" s="32"/>
      <c r="E1077" s="32"/>
      <c r="F1077" s="32"/>
      <c r="G1077" s="32"/>
      <c r="H1077" s="66"/>
      <c r="I1077" s="32"/>
      <c r="J1077" s="32"/>
      <c r="K1077" s="174">
        <f>K1076+K1063</f>
        <v>0</v>
      </c>
      <c r="L1077" s="66"/>
      <c r="M1077" s="175">
        <f>K1076-K1069</f>
        <v>0</v>
      </c>
    </row>
    <row r="1078" spans="1:13" x14ac:dyDescent="0.25">
      <c r="A1078" s="32"/>
      <c r="B1078" s="32"/>
      <c r="C1078" s="32"/>
      <c r="D1078" s="32"/>
      <c r="E1078" s="32"/>
      <c r="F1078" s="32"/>
      <c r="G1078" s="32"/>
      <c r="H1078" s="32"/>
      <c r="I1078" s="32"/>
      <c r="J1078" s="32"/>
      <c r="K1078" s="32"/>
      <c r="L1078" s="66"/>
    </row>
    <row r="1079" spans="1:13" x14ac:dyDescent="0.25">
      <c r="A1079" s="32"/>
      <c r="B1079" s="32"/>
      <c r="C1079" s="32"/>
      <c r="D1079" s="32"/>
      <c r="E1079" s="32"/>
      <c r="F1079" s="32"/>
      <c r="G1079" s="32"/>
      <c r="H1079" s="32"/>
      <c r="I1079" s="32"/>
      <c r="J1079" s="32"/>
      <c r="K1079" s="32"/>
      <c r="L1079" s="66"/>
    </row>
    <row r="1080" spans="1:13" x14ac:dyDescent="0.25">
      <c r="A1080" s="32"/>
      <c r="B1080" s="32"/>
      <c r="C1080" s="32"/>
      <c r="D1080" s="32"/>
      <c r="E1080" s="32"/>
      <c r="F1080" s="32"/>
      <c r="G1080" s="32"/>
      <c r="H1080" s="32"/>
      <c r="I1080" s="32"/>
      <c r="J1080" s="32"/>
      <c r="K1080" s="32"/>
      <c r="L1080" s="66"/>
    </row>
    <row r="1081" spans="1:13" x14ac:dyDescent="0.25">
      <c r="A1081" s="32"/>
      <c r="B1081" s="32"/>
      <c r="C1081" s="32"/>
      <c r="D1081" s="32"/>
      <c r="E1081" s="32"/>
      <c r="F1081" s="32"/>
      <c r="G1081" s="32"/>
      <c r="H1081" s="32"/>
      <c r="I1081" s="32"/>
      <c r="J1081" s="32"/>
      <c r="K1081" s="32"/>
      <c r="L1081" s="66"/>
    </row>
    <row r="1082" spans="1:13" x14ac:dyDescent="0.25">
      <c r="A1082" s="32"/>
      <c r="B1082" s="32"/>
      <c r="C1082" s="32"/>
      <c r="D1082" s="32"/>
      <c r="E1082" s="32"/>
      <c r="F1082" s="32"/>
      <c r="G1082" s="32"/>
      <c r="H1082" s="32"/>
      <c r="I1082" s="32"/>
      <c r="J1082" s="32"/>
      <c r="K1082" s="32"/>
      <c r="L1082" s="66"/>
    </row>
    <row r="1083" spans="1:13" x14ac:dyDescent="0.25">
      <c r="A1083" s="32"/>
      <c r="B1083" s="32"/>
      <c r="C1083" s="32"/>
      <c r="D1083" s="32"/>
      <c r="E1083" s="32"/>
      <c r="F1083" s="32"/>
      <c r="G1083" s="32"/>
      <c r="H1083" s="32"/>
      <c r="I1083" s="32"/>
      <c r="J1083" s="32"/>
      <c r="K1083" s="32"/>
      <c r="L1083" s="66"/>
    </row>
    <row r="1084" spans="1:13" x14ac:dyDescent="0.25">
      <c r="A1084" s="32"/>
      <c r="B1084" s="32"/>
      <c r="C1084" s="32"/>
      <c r="D1084" s="32"/>
      <c r="E1084" s="32"/>
      <c r="F1084" s="32"/>
      <c r="G1084" s="32"/>
      <c r="H1084" s="32"/>
      <c r="I1084" s="32"/>
      <c r="J1084" s="32"/>
      <c r="K1084" s="32"/>
      <c r="L1084" s="66"/>
    </row>
    <row r="1085" spans="1:13" x14ac:dyDescent="0.25">
      <c r="A1085" s="32"/>
      <c r="B1085" s="32"/>
      <c r="C1085" s="32"/>
      <c r="D1085" s="32"/>
      <c r="E1085" s="32"/>
      <c r="F1085" s="32"/>
      <c r="G1085" s="32"/>
      <c r="H1085" s="32"/>
      <c r="I1085" s="32"/>
      <c r="J1085" s="32"/>
      <c r="K1085" s="32"/>
      <c r="L1085" s="66"/>
    </row>
    <row r="1086" spans="1:13" x14ac:dyDescent="0.25">
      <c r="A1086" s="32"/>
      <c r="B1086" s="32"/>
      <c r="C1086" s="32"/>
      <c r="D1086" s="32"/>
      <c r="E1086" s="32"/>
      <c r="F1086" s="32"/>
      <c r="G1086" s="32"/>
      <c r="H1086" s="32"/>
      <c r="I1086" s="32"/>
      <c r="J1086" s="32"/>
      <c r="K1086" s="32"/>
      <c r="L1086" s="66"/>
    </row>
    <row r="1087" spans="1:13" x14ac:dyDescent="0.25">
      <c r="A1087" s="32"/>
      <c r="B1087" s="32"/>
      <c r="C1087" s="32"/>
      <c r="D1087" s="32"/>
      <c r="E1087" s="32"/>
      <c r="F1087" s="32"/>
      <c r="G1087" s="32"/>
      <c r="H1087" s="32"/>
      <c r="I1087" s="32"/>
      <c r="J1087" s="32"/>
      <c r="K1087" s="32"/>
      <c r="L1087" s="66"/>
    </row>
    <row r="1088" spans="1:13" x14ac:dyDescent="0.25">
      <c r="A1088" s="32"/>
      <c r="B1088" s="32"/>
      <c r="C1088" s="32"/>
      <c r="D1088" s="32"/>
      <c r="E1088" s="32"/>
      <c r="F1088" s="32"/>
      <c r="G1088" s="32"/>
      <c r="H1088" s="32"/>
      <c r="I1088" s="32"/>
      <c r="J1088" s="32"/>
      <c r="K1088" s="32"/>
      <c r="L1088" s="66"/>
    </row>
    <row r="1089" spans="1:12" x14ac:dyDescent="0.25">
      <c r="A1089" s="32"/>
      <c r="B1089" s="32"/>
      <c r="C1089" s="32"/>
      <c r="D1089" s="32"/>
      <c r="E1089" s="32"/>
      <c r="F1089" s="32"/>
      <c r="G1089" s="32"/>
      <c r="H1089" s="32"/>
      <c r="I1089" s="32"/>
      <c r="J1089" s="32"/>
      <c r="K1089" s="32"/>
      <c r="L1089" s="66"/>
    </row>
    <row r="1090" spans="1:12" x14ac:dyDescent="0.25">
      <c r="A1090" s="32"/>
      <c r="B1090" s="32"/>
      <c r="C1090" s="32"/>
      <c r="D1090" s="32"/>
      <c r="E1090" s="32"/>
      <c r="F1090" s="32"/>
      <c r="G1090" s="32"/>
      <c r="H1090" s="32"/>
      <c r="I1090" s="32"/>
      <c r="J1090" s="32"/>
      <c r="K1090" s="32"/>
      <c r="L1090" s="66"/>
    </row>
    <row r="1091" spans="1:12" x14ac:dyDescent="0.25">
      <c r="A1091" s="32"/>
      <c r="B1091" s="32"/>
      <c r="C1091" s="32"/>
      <c r="D1091" s="32"/>
      <c r="E1091" s="32"/>
      <c r="F1091" s="32"/>
      <c r="G1091" s="32"/>
      <c r="H1091" s="32"/>
      <c r="I1091" s="32"/>
      <c r="J1091" s="32"/>
      <c r="K1091" s="32"/>
      <c r="L1091" s="66"/>
    </row>
    <row r="1092" spans="1:12" x14ac:dyDescent="0.25">
      <c r="A1092" s="32"/>
      <c r="B1092" s="32"/>
      <c r="C1092" s="32"/>
      <c r="D1092" s="32"/>
      <c r="E1092" s="32"/>
      <c r="F1092" s="32"/>
      <c r="G1092" s="32"/>
      <c r="H1092" s="32"/>
      <c r="I1092" s="32"/>
      <c r="J1092" s="32"/>
      <c r="K1092" s="32"/>
      <c r="L1092" s="66"/>
    </row>
    <row r="1093" spans="1:12" x14ac:dyDescent="0.25">
      <c r="A1093" s="32"/>
      <c r="B1093" s="32"/>
      <c r="C1093" s="32"/>
      <c r="D1093" s="32"/>
      <c r="E1093" s="32"/>
      <c r="F1093" s="32"/>
      <c r="G1093" s="32"/>
      <c r="H1093" s="32"/>
      <c r="I1093" s="32"/>
      <c r="J1093" s="32"/>
      <c r="K1093" s="32"/>
      <c r="L1093" s="66"/>
    </row>
    <row r="1094" spans="1:12" x14ac:dyDescent="0.25">
      <c r="A1094" s="32"/>
      <c r="B1094" s="32"/>
      <c r="C1094" s="32"/>
      <c r="D1094" s="32"/>
      <c r="E1094" s="32"/>
      <c r="F1094" s="32"/>
      <c r="G1094" s="32"/>
      <c r="H1094" s="32"/>
      <c r="I1094" s="32"/>
      <c r="J1094" s="32"/>
      <c r="K1094" s="32"/>
      <c r="L1094" s="66"/>
    </row>
    <row r="1095" spans="1:12" x14ac:dyDescent="0.25">
      <c r="A1095" s="32"/>
      <c r="B1095" s="32"/>
      <c r="C1095" s="32"/>
      <c r="D1095" s="32"/>
      <c r="E1095" s="32"/>
      <c r="F1095" s="32"/>
      <c r="G1095" s="32"/>
      <c r="H1095" s="32"/>
      <c r="I1095" s="32"/>
      <c r="J1095" s="32"/>
      <c r="K1095" s="32"/>
      <c r="L1095" s="66"/>
    </row>
    <row r="1096" spans="1:12" x14ac:dyDescent="0.25">
      <c r="A1096" s="32"/>
      <c r="B1096" s="32"/>
      <c r="C1096" s="32"/>
      <c r="D1096" s="32"/>
      <c r="E1096" s="32"/>
      <c r="F1096" s="32"/>
      <c r="G1096" s="32"/>
      <c r="H1096" s="32"/>
      <c r="I1096" s="32"/>
      <c r="J1096" s="32"/>
      <c r="K1096" s="32"/>
      <c r="L1096" s="66"/>
    </row>
    <row r="1097" spans="1:12" x14ac:dyDescent="0.25">
      <c r="A1097" s="32"/>
      <c r="B1097" s="32"/>
      <c r="C1097" s="32"/>
      <c r="D1097" s="32"/>
      <c r="E1097" s="32"/>
      <c r="F1097" s="32"/>
      <c r="G1097" s="32"/>
      <c r="H1097" s="32"/>
      <c r="I1097" s="32"/>
      <c r="J1097" s="32"/>
      <c r="K1097" s="32"/>
      <c r="L1097" s="66"/>
    </row>
    <row r="1098" spans="1:12" x14ac:dyDescent="0.25">
      <c r="A1098" s="32"/>
      <c r="B1098" s="32"/>
      <c r="C1098" s="32"/>
      <c r="D1098" s="32"/>
      <c r="E1098" s="32"/>
      <c r="F1098" s="32"/>
      <c r="G1098" s="32"/>
      <c r="H1098" s="32"/>
      <c r="I1098" s="32"/>
      <c r="J1098" s="32"/>
      <c r="K1098" s="32"/>
      <c r="L1098" s="66"/>
    </row>
  </sheetData>
  <autoFilter ref="A46:L1076" xr:uid="{00000000-0001-0000-0600-000000000000}"/>
  <mergeCells count="11">
    <mergeCell ref="A5:J5"/>
    <mergeCell ref="A21:C21"/>
    <mergeCell ref="D21:G21"/>
    <mergeCell ref="A15:L15"/>
    <mergeCell ref="A16:L16"/>
    <mergeCell ref="A17:L17"/>
    <mergeCell ref="A19:G20"/>
    <mergeCell ref="H19:H20"/>
    <mergeCell ref="I19:J19"/>
    <mergeCell ref="K19:K20"/>
    <mergeCell ref="L19:L20"/>
  </mergeCells>
  <pageMargins left="0.7" right="0.7" top="0.75" bottom="0.75" header="0.3" footer="0.3"/>
  <pageSetup orientation="portrait" horizontalDpi="90" verticalDpi="9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1:H27"/>
  <sheetViews>
    <sheetView topLeftCell="A19" workbookViewId="0">
      <selection activeCell="E29" sqref="E29"/>
    </sheetView>
  </sheetViews>
  <sheetFormatPr defaultRowHeight="15" x14ac:dyDescent="0.25"/>
  <cols>
    <col min="2" max="2" width="24.28515625" customWidth="1"/>
    <col min="3" max="3" width="6.85546875" customWidth="1"/>
    <col min="4" max="4" width="7.28515625" customWidth="1"/>
    <col min="5" max="5" width="18.140625" customWidth="1"/>
    <col min="6" max="6" width="7" customWidth="1"/>
    <col min="8" max="8" width="16.85546875" bestFit="1" customWidth="1"/>
  </cols>
  <sheetData>
    <row r="1" spans="2:8" x14ac:dyDescent="0.25">
      <c r="B1" s="32" t="s">
        <v>2687</v>
      </c>
      <c r="C1" s="32"/>
      <c r="D1" s="32"/>
      <c r="E1" s="470"/>
      <c r="F1" s="66"/>
    </row>
    <row r="2" spans="2:8" x14ac:dyDescent="0.25">
      <c r="B2" s="32" t="s">
        <v>2731</v>
      </c>
      <c r="C2" s="32"/>
      <c r="D2" s="32"/>
      <c r="E2" s="470">
        <f>Hitungan!L3</f>
        <v>174437800</v>
      </c>
      <c r="F2" s="66" t="s">
        <v>1690</v>
      </c>
    </row>
    <row r="3" spans="2:8" ht="45.75" thickBot="1" x14ac:dyDescent="0.3">
      <c r="B3" s="251" t="s">
        <v>2624</v>
      </c>
      <c r="C3" s="251"/>
      <c r="D3" s="251"/>
      <c r="E3" s="852">
        <f>Hitungan!M3</f>
        <v>72966100</v>
      </c>
      <c r="F3" s="848" t="s">
        <v>2624</v>
      </c>
    </row>
    <row r="4" spans="2:8" ht="15.75" thickBot="1" x14ac:dyDescent="0.3">
      <c r="B4" s="1357" t="s">
        <v>2741</v>
      </c>
      <c r="C4" s="1358"/>
      <c r="D4" s="1358"/>
      <c r="E4" s="1362">
        <f>SUM(E2:E3)</f>
        <v>247403900</v>
      </c>
      <c r="F4" s="1363"/>
    </row>
    <row r="5" spans="2:8" x14ac:dyDescent="0.25">
      <c r="B5" s="849" t="s">
        <v>2690</v>
      </c>
      <c r="C5" s="849"/>
      <c r="D5" s="849"/>
      <c r="E5" s="854"/>
      <c r="F5" s="850"/>
    </row>
    <row r="6" spans="2:8" x14ac:dyDescent="0.25">
      <c r="B6" s="32" t="s">
        <v>1683</v>
      </c>
      <c r="C6" s="32">
        <v>1</v>
      </c>
      <c r="D6" s="32" t="s">
        <v>848</v>
      </c>
      <c r="E6" s="497">
        <f>Hitungan!E3</f>
        <v>897307000</v>
      </c>
      <c r="F6" s="66" t="s">
        <v>2387</v>
      </c>
    </row>
    <row r="7" spans="2:8" x14ac:dyDescent="0.25">
      <c r="B7" s="32" t="s">
        <v>2732</v>
      </c>
      <c r="C7" s="32">
        <v>0</v>
      </c>
      <c r="D7" s="32" t="s">
        <v>848</v>
      </c>
      <c r="E7" s="470">
        <f>Hitungan!G3</f>
        <v>2512543792</v>
      </c>
      <c r="F7" s="66" t="s">
        <v>2620</v>
      </c>
    </row>
    <row r="8" spans="2:8" x14ac:dyDescent="0.25">
      <c r="B8" s="32" t="s">
        <v>2733</v>
      </c>
      <c r="C8" s="32">
        <v>1</v>
      </c>
      <c r="D8" s="32" t="s">
        <v>848</v>
      </c>
      <c r="E8" s="470">
        <f>Hitungan!H3</f>
        <v>43967745</v>
      </c>
      <c r="F8" s="66" t="s">
        <v>2621</v>
      </c>
    </row>
    <row r="9" spans="2:8" x14ac:dyDescent="0.25">
      <c r="B9" s="32" t="s">
        <v>2694</v>
      </c>
      <c r="C9" s="32"/>
      <c r="D9" s="32"/>
      <c r="E9" s="470">
        <f>Hitungan!F3</f>
        <v>2814314395</v>
      </c>
      <c r="F9" s="66" t="s">
        <v>1682</v>
      </c>
    </row>
    <row r="10" spans="2:8" ht="30" x14ac:dyDescent="0.25">
      <c r="B10" s="66" t="s">
        <v>2696</v>
      </c>
      <c r="C10" s="32">
        <v>1</v>
      </c>
      <c r="D10" s="32" t="s">
        <v>848</v>
      </c>
      <c r="E10" s="470">
        <f>Hitungan!U3</f>
        <v>30000000</v>
      </c>
      <c r="F10" s="66" t="s">
        <v>2697</v>
      </c>
    </row>
    <row r="11" spans="2:8" ht="30" x14ac:dyDescent="0.25">
      <c r="B11" s="66" t="s">
        <v>2698</v>
      </c>
      <c r="C11" s="32">
        <v>1</v>
      </c>
      <c r="D11" s="32" t="s">
        <v>848</v>
      </c>
      <c r="E11" s="470">
        <f>Hitungan!I3</f>
        <v>770000000</v>
      </c>
      <c r="F11" s="66" t="s">
        <v>2622</v>
      </c>
    </row>
    <row r="12" spans="2:8" ht="30.75" thickBot="1" x14ac:dyDescent="0.3">
      <c r="B12" s="251" t="s">
        <v>2734</v>
      </c>
      <c r="C12" s="251"/>
      <c r="D12" s="251"/>
      <c r="E12" s="852">
        <f>Hitungan!J3</f>
        <v>93000000</v>
      </c>
      <c r="F12" s="66" t="s">
        <v>2638</v>
      </c>
    </row>
    <row r="13" spans="2:8" ht="15.75" thickBot="1" x14ac:dyDescent="0.3">
      <c r="B13" s="1357" t="s">
        <v>2740</v>
      </c>
      <c r="C13" s="1358"/>
      <c r="D13" s="1358"/>
      <c r="E13" s="853">
        <f>SUM(E6:E12)</f>
        <v>7161132932</v>
      </c>
      <c r="F13" s="1360"/>
    </row>
    <row r="14" spans="2:8" ht="30.75" thickBot="1" x14ac:dyDescent="0.3">
      <c r="B14" s="483" t="s">
        <v>2623</v>
      </c>
      <c r="C14" s="483"/>
      <c r="D14" s="483"/>
      <c r="E14" s="1361">
        <f>Hitungan!K3</f>
        <v>25108000</v>
      </c>
      <c r="F14" s="66" t="s">
        <v>2623</v>
      </c>
    </row>
    <row r="15" spans="2:8" ht="15.75" thickBot="1" x14ac:dyDescent="0.3">
      <c r="B15" s="1357" t="s">
        <v>2742</v>
      </c>
      <c r="C15" s="1358"/>
      <c r="D15" s="1358"/>
      <c r="E15" s="1359">
        <f>E14</f>
        <v>25108000</v>
      </c>
      <c r="F15" s="847"/>
      <c r="H15" s="451">
        <f>'Penjabaran APBDesa'!K43</f>
        <v>7433644832</v>
      </c>
    </row>
    <row r="16" spans="2:8" ht="15.75" thickBot="1" x14ac:dyDescent="0.3">
      <c r="B16" s="1357" t="s">
        <v>2743</v>
      </c>
      <c r="C16" s="1358"/>
      <c r="D16" s="1358"/>
      <c r="E16" s="1359">
        <f>E15+E13+E4</f>
        <v>7433644832</v>
      </c>
      <c r="F16" s="847"/>
      <c r="H16" s="451">
        <f>E16-H15</f>
        <v>0</v>
      </c>
    </row>
    <row r="17" spans="2:8" x14ac:dyDescent="0.25">
      <c r="B17" s="849" t="s">
        <v>2735</v>
      </c>
      <c r="C17" s="849"/>
      <c r="D17" s="849"/>
      <c r="E17" s="849"/>
      <c r="F17" s="32"/>
      <c r="H17" s="175"/>
    </row>
    <row r="18" spans="2:8" ht="30" x14ac:dyDescent="0.25">
      <c r="B18" s="66" t="s">
        <v>3</v>
      </c>
      <c r="C18" s="32"/>
      <c r="D18" s="32"/>
      <c r="E18" s="174">
        <v>3298107011</v>
      </c>
      <c r="F18" s="66"/>
    </row>
    <row r="19" spans="2:8" ht="30" x14ac:dyDescent="0.25">
      <c r="B19" s="66" t="s">
        <v>636</v>
      </c>
      <c r="C19" s="32"/>
      <c r="D19" s="32"/>
      <c r="E19" s="174">
        <v>3013818960</v>
      </c>
      <c r="F19" s="66"/>
    </row>
    <row r="20" spans="2:8" ht="30" x14ac:dyDescent="0.25">
      <c r="B20" s="66" t="s">
        <v>1089</v>
      </c>
      <c r="C20" s="32"/>
      <c r="D20" s="32"/>
      <c r="E20" s="174">
        <v>2022510910</v>
      </c>
      <c r="F20" s="66"/>
    </row>
    <row r="21" spans="2:8" ht="30" x14ac:dyDescent="0.25">
      <c r="B21" s="66" t="s">
        <v>486</v>
      </c>
      <c r="C21" s="32"/>
      <c r="D21" s="32"/>
      <c r="E21" s="174">
        <v>204920296</v>
      </c>
      <c r="F21" s="66"/>
    </row>
    <row r="22" spans="2:8" ht="15.75" thickBot="1" x14ac:dyDescent="0.3">
      <c r="B22" s="251" t="s">
        <v>2736</v>
      </c>
      <c r="C22" s="251"/>
      <c r="D22" s="251"/>
      <c r="E22" s="1364">
        <v>111600000</v>
      </c>
      <c r="F22" s="848"/>
    </row>
    <row r="23" spans="2:8" ht="15.75" thickBot="1" x14ac:dyDescent="0.3">
      <c r="B23" s="1366" t="s">
        <v>2744</v>
      </c>
      <c r="C23" s="1358"/>
      <c r="D23" s="1358"/>
      <c r="E23" s="1367">
        <f>SUM(E18:E22)</f>
        <v>8650957177</v>
      </c>
      <c r="F23" s="1368"/>
    </row>
    <row r="24" spans="2:8" x14ac:dyDescent="0.25">
      <c r="B24" s="850" t="s">
        <v>2737</v>
      </c>
      <c r="C24" s="849"/>
      <c r="D24" s="849"/>
      <c r="E24" s="1365">
        <f>E15-E23</f>
        <v>-8625849177</v>
      </c>
      <c r="F24" s="849"/>
    </row>
    <row r="25" spans="2:8" x14ac:dyDescent="0.25">
      <c r="B25" s="66" t="s">
        <v>2726</v>
      </c>
      <c r="C25" s="32"/>
      <c r="D25" s="32"/>
      <c r="E25" s="174">
        <f>'Penjabaran APBDesa'!K1076</f>
        <v>1519256532.9300001</v>
      </c>
      <c r="F25" s="32"/>
    </row>
    <row r="26" spans="2:8" x14ac:dyDescent="0.25">
      <c r="B26" s="66" t="s">
        <v>2738</v>
      </c>
      <c r="C26" s="32"/>
      <c r="D26" s="32"/>
      <c r="E26" s="32">
        <v>0</v>
      </c>
      <c r="F26" s="32"/>
    </row>
    <row r="27" spans="2:8" x14ac:dyDescent="0.25">
      <c r="B27" s="66" t="s">
        <v>2739</v>
      </c>
      <c r="C27" s="32"/>
      <c r="D27" s="32"/>
      <c r="E27" s="174">
        <f>E25-E26</f>
        <v>1519256532.9300001</v>
      </c>
      <c r="F27" s="32"/>
    </row>
  </sheetData>
  <pageMargins left="0.7" right="0.7" top="0.75" bottom="0.75" header="0.3" footer="0.3"/>
  <pageSetup orientation="portrait" horizontalDpi="90" verticalDpi="9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F12F5-6AEB-4528-AF98-2D5E7E5507AB}">
  <dimension ref="A1:Z1060"/>
  <sheetViews>
    <sheetView topLeftCell="P3" zoomScaleNormal="100" workbookViewId="0">
      <pane ySplit="900" topLeftCell="A1045" activePane="bottomLeft"/>
      <selection activeCell="T4" sqref="T1:W1048576"/>
      <selection pane="bottomLeft" sqref="A1:X1060"/>
    </sheetView>
  </sheetViews>
  <sheetFormatPr defaultRowHeight="15" x14ac:dyDescent="0.25"/>
  <cols>
    <col min="1" max="3" width="3.28515625" customWidth="1"/>
    <col min="4" max="4" width="2.5703125" customWidth="1"/>
    <col min="5" max="7" width="3.28515625" customWidth="1"/>
    <col min="8" max="8" width="24.28515625" customWidth="1"/>
    <col min="9" max="9" width="18.140625" customWidth="1"/>
    <col min="10" max="10" width="8.5703125" customWidth="1"/>
    <col min="11" max="11" width="16.7109375" customWidth="1"/>
    <col min="12" max="12" width="17" style="1751" customWidth="1"/>
    <col min="13" max="13" width="17.42578125" style="1751" customWidth="1"/>
    <col min="14" max="14" width="17.5703125" style="1751" customWidth="1"/>
    <col min="15" max="15" width="15.140625" style="1751" customWidth="1"/>
    <col min="16" max="16" width="16.85546875" style="1756" customWidth="1"/>
    <col min="17" max="17" width="17" style="1756" customWidth="1"/>
    <col min="18" max="18" width="16.42578125" style="1756" customWidth="1"/>
    <col min="19" max="19" width="14.5703125" style="1756" customWidth="1"/>
    <col min="20" max="20" width="15.28515625" style="1420" customWidth="1"/>
    <col min="21" max="21" width="15" style="1420" customWidth="1"/>
    <col min="22" max="22" width="15.7109375" style="1420" customWidth="1"/>
    <col min="23" max="23" width="14" style="1420" customWidth="1"/>
    <col min="24" max="24" width="18.28515625" customWidth="1"/>
    <col min="25" max="25" width="20" customWidth="1"/>
    <col min="26" max="26" width="15.28515625" bestFit="1" customWidth="1"/>
  </cols>
  <sheetData>
    <row r="1" spans="1:26" x14ac:dyDescent="0.25">
      <c r="F1" s="86"/>
      <c r="J1" s="86"/>
    </row>
    <row r="2" spans="1:26" x14ac:dyDescent="0.25">
      <c r="F2" s="86"/>
      <c r="J2" s="86"/>
    </row>
    <row r="3" spans="1:26" x14ac:dyDescent="0.25">
      <c r="A3" s="2064" t="s">
        <v>2680</v>
      </c>
      <c r="B3" s="2064"/>
      <c r="C3" s="2064"/>
      <c r="D3" s="2064"/>
      <c r="E3" s="2064"/>
      <c r="F3" s="2064"/>
      <c r="G3" s="2064"/>
      <c r="H3" s="2057" t="s">
        <v>3007</v>
      </c>
      <c r="I3" s="2065" t="s">
        <v>2682</v>
      </c>
      <c r="J3" s="2067" t="s">
        <v>2683</v>
      </c>
      <c r="K3" s="1748" t="s">
        <v>3008</v>
      </c>
      <c r="L3" s="2069" t="s">
        <v>3009</v>
      </c>
      <c r="M3" s="2070"/>
      <c r="N3" s="2070"/>
      <c r="O3" s="2070"/>
      <c r="P3" s="2070"/>
      <c r="Q3" s="2070"/>
      <c r="R3" s="2070"/>
      <c r="S3" s="2070"/>
      <c r="T3" s="2070"/>
      <c r="U3" s="2070"/>
      <c r="V3" s="2070"/>
      <c r="W3" s="2071"/>
      <c r="X3" s="2058" t="s">
        <v>27</v>
      </c>
    </row>
    <row r="4" spans="1:26" x14ac:dyDescent="0.25">
      <c r="A4" s="2064"/>
      <c r="B4" s="2064"/>
      <c r="C4" s="2064"/>
      <c r="D4" s="2064"/>
      <c r="E4" s="2064"/>
      <c r="F4" s="2064"/>
      <c r="G4" s="2064"/>
      <c r="H4" s="2057"/>
      <c r="I4" s="2066"/>
      <c r="J4" s="2068"/>
      <c r="K4" s="1748" t="s">
        <v>3010</v>
      </c>
      <c r="L4" s="1752" t="s">
        <v>3011</v>
      </c>
      <c r="M4" s="1752" t="s">
        <v>3012</v>
      </c>
      <c r="N4" s="1752" t="s">
        <v>3013</v>
      </c>
      <c r="O4" s="1752" t="s">
        <v>3014</v>
      </c>
      <c r="P4" s="1757" t="s">
        <v>3015</v>
      </c>
      <c r="Q4" s="1757" t="s">
        <v>3016</v>
      </c>
      <c r="R4" s="1757" t="s">
        <v>3017</v>
      </c>
      <c r="S4" s="1757" t="s">
        <v>3018</v>
      </c>
      <c r="T4" s="1761" t="s">
        <v>3019</v>
      </c>
      <c r="U4" s="1761" t="s">
        <v>3020</v>
      </c>
      <c r="V4" s="1761" t="s">
        <v>3021</v>
      </c>
      <c r="W4" s="1761" t="s">
        <v>3022</v>
      </c>
      <c r="X4" s="2059"/>
    </row>
    <row r="5" spans="1:26" x14ac:dyDescent="0.25">
      <c r="A5" s="2060">
        <v>1</v>
      </c>
      <c r="B5" s="2060"/>
      <c r="C5" s="2060"/>
      <c r="D5" s="2060">
        <v>2</v>
      </c>
      <c r="E5" s="2060"/>
      <c r="F5" s="2060"/>
      <c r="G5" s="2060"/>
      <c r="H5" s="355">
        <v>3</v>
      </c>
      <c r="I5" s="1749">
        <v>4</v>
      </c>
      <c r="J5" s="2061">
        <v>5</v>
      </c>
      <c r="K5" s="2062"/>
      <c r="L5" s="2062"/>
      <c r="M5" s="2062"/>
      <c r="N5" s="2062"/>
      <c r="O5" s="2062"/>
      <c r="P5" s="2062"/>
      <c r="Q5" s="2062"/>
      <c r="R5" s="2062"/>
      <c r="S5" s="2062"/>
      <c r="T5" s="2062"/>
      <c r="U5" s="2062"/>
      <c r="V5" s="2062"/>
      <c r="W5" s="2063"/>
      <c r="X5" s="267">
        <v>6</v>
      </c>
    </row>
    <row r="6" spans="1:26" x14ac:dyDescent="0.25">
      <c r="A6" s="267" t="s">
        <v>1358</v>
      </c>
      <c r="B6" s="267" t="s">
        <v>1359</v>
      </c>
      <c r="C6" s="267" t="s">
        <v>1360</v>
      </c>
      <c r="D6" s="267" t="s">
        <v>1358</v>
      </c>
      <c r="E6" s="267" t="s">
        <v>1359</v>
      </c>
      <c r="F6" s="267" t="s">
        <v>1360</v>
      </c>
      <c r="G6" s="267" t="s">
        <v>1361</v>
      </c>
      <c r="H6" s="32"/>
      <c r="I6" s="470"/>
      <c r="J6" s="66"/>
      <c r="K6" s="32"/>
      <c r="L6" s="1753"/>
      <c r="M6" s="1753"/>
      <c r="N6" s="1753"/>
      <c r="O6" s="1753"/>
      <c r="P6" s="1758"/>
      <c r="Q6" s="1758"/>
      <c r="R6" s="1758"/>
      <c r="S6" s="1758"/>
      <c r="T6" s="1762"/>
      <c r="U6" s="1762"/>
      <c r="V6" s="1762"/>
      <c r="W6" s="1762"/>
      <c r="X6" s="32"/>
    </row>
    <row r="7" spans="1:26" x14ac:dyDescent="0.25">
      <c r="A7" s="32"/>
      <c r="B7" s="32"/>
      <c r="C7" s="32"/>
      <c r="D7" s="32">
        <v>4</v>
      </c>
      <c r="E7" s="32"/>
      <c r="F7" s="32"/>
      <c r="G7" s="32"/>
      <c r="H7" s="32" t="s">
        <v>2687</v>
      </c>
      <c r="I7" s="470"/>
      <c r="J7" s="66"/>
      <c r="K7" s="32"/>
      <c r="L7" s="1753"/>
      <c r="M7" s="1753"/>
      <c r="N7" s="1753"/>
      <c r="O7" s="1753"/>
      <c r="P7" s="1758"/>
      <c r="Q7" s="1758"/>
      <c r="R7" s="1758"/>
      <c r="S7" s="1758"/>
      <c r="T7" s="1762"/>
      <c r="U7" s="1762"/>
      <c r="V7" s="1762"/>
      <c r="W7" s="1762"/>
      <c r="X7" s="32"/>
    </row>
    <row r="8" spans="1:26" x14ac:dyDescent="0.25">
      <c r="A8" s="32"/>
      <c r="B8" s="32"/>
      <c r="C8" s="32"/>
      <c r="D8" s="32">
        <v>4</v>
      </c>
      <c r="E8" s="32">
        <v>1</v>
      </c>
      <c r="F8" s="32"/>
      <c r="G8" s="32"/>
      <c r="H8" s="32" t="s">
        <v>1665</v>
      </c>
      <c r="I8" s="470"/>
      <c r="J8" s="66"/>
      <c r="K8" s="32"/>
      <c r="L8" s="1753"/>
      <c r="M8" s="1753"/>
      <c r="N8" s="1753"/>
      <c r="O8" s="1753"/>
      <c r="P8" s="1758"/>
      <c r="Q8" s="1758"/>
      <c r="R8" s="1758"/>
      <c r="S8" s="1758"/>
      <c r="T8" s="1762"/>
      <c r="U8" s="1762"/>
      <c r="V8" s="1762"/>
      <c r="W8" s="1762"/>
      <c r="X8" s="32"/>
    </row>
    <row r="9" spans="1:26" x14ac:dyDescent="0.25">
      <c r="A9" s="32"/>
      <c r="B9" s="32"/>
      <c r="C9" s="32"/>
      <c r="D9" s="32">
        <v>4</v>
      </c>
      <c r="E9" s="32">
        <v>1</v>
      </c>
      <c r="F9" s="32">
        <v>1</v>
      </c>
      <c r="G9" s="1340" t="s">
        <v>2688</v>
      </c>
      <c r="H9" s="32" t="s">
        <v>2689</v>
      </c>
      <c r="I9" s="470">
        <f>Hitungan!L3</f>
        <v>174437800</v>
      </c>
      <c r="J9" s="66" t="s">
        <v>1690</v>
      </c>
      <c r="K9" s="32"/>
      <c r="L9" s="1754">
        <v>14536483</v>
      </c>
      <c r="M9" s="1754">
        <v>14536483</v>
      </c>
      <c r="N9" s="1754">
        <v>14536483</v>
      </c>
      <c r="O9" s="1754">
        <v>14536483</v>
      </c>
      <c r="P9" s="1759">
        <v>14536483</v>
      </c>
      <c r="Q9" s="1759">
        <v>14536483</v>
      </c>
      <c r="R9" s="1759">
        <v>14536483</v>
      </c>
      <c r="S9" s="1759">
        <v>14536483</v>
      </c>
      <c r="T9" s="1763">
        <v>14536483</v>
      </c>
      <c r="U9" s="1763">
        <v>14536483</v>
      </c>
      <c r="V9" s="1763">
        <v>14536483</v>
      </c>
      <c r="W9" s="1763">
        <v>14536487</v>
      </c>
      <c r="X9" s="470">
        <f>SUM(L9:W9)</f>
        <v>174437800</v>
      </c>
      <c r="Y9" s="175">
        <f>X9-I9</f>
        <v>0</v>
      </c>
    </row>
    <row r="10" spans="1:26" ht="30" x14ac:dyDescent="0.25">
      <c r="A10" s="32"/>
      <c r="B10" s="32"/>
      <c r="C10" s="32"/>
      <c r="D10" s="32">
        <v>4</v>
      </c>
      <c r="E10" s="32">
        <v>1</v>
      </c>
      <c r="F10" s="32">
        <v>3</v>
      </c>
      <c r="G10" s="1340"/>
      <c r="H10" s="66" t="s">
        <v>2918</v>
      </c>
      <c r="I10" s="470"/>
      <c r="J10" s="66"/>
      <c r="K10" s="32"/>
      <c r="L10" s="1753"/>
      <c r="M10" s="1753"/>
      <c r="N10" s="1753"/>
      <c r="O10" s="1753"/>
      <c r="P10" s="1758"/>
      <c r="Q10" s="1758"/>
      <c r="R10" s="1758"/>
      <c r="S10" s="1758"/>
      <c r="T10" s="1762"/>
      <c r="U10" s="1762"/>
      <c r="V10" s="1762"/>
      <c r="W10" s="1762"/>
      <c r="X10" s="470"/>
      <c r="Y10" s="175"/>
    </row>
    <row r="11" spans="1:26" ht="45" x14ac:dyDescent="0.25">
      <c r="A11" s="32"/>
      <c r="B11" s="32"/>
      <c r="C11" s="32"/>
      <c r="D11" s="32">
        <v>4</v>
      </c>
      <c r="E11" s="32">
        <v>1</v>
      </c>
      <c r="F11" s="32">
        <v>3</v>
      </c>
      <c r="G11" s="1340" t="s">
        <v>2688</v>
      </c>
      <c r="H11" s="66" t="s">
        <v>2919</v>
      </c>
      <c r="I11" s="470">
        <f>Hitungan!M3</f>
        <v>72966100</v>
      </c>
      <c r="J11" s="66" t="s">
        <v>2624</v>
      </c>
      <c r="K11" s="174"/>
      <c r="L11" s="1754">
        <v>6080508</v>
      </c>
      <c r="M11" s="1754">
        <v>6080508</v>
      </c>
      <c r="N11" s="1754">
        <v>6080508</v>
      </c>
      <c r="O11" s="1754">
        <v>6080508</v>
      </c>
      <c r="P11" s="1759">
        <v>6080508</v>
      </c>
      <c r="Q11" s="1759">
        <v>6080508</v>
      </c>
      <c r="R11" s="1759">
        <v>6080508</v>
      </c>
      <c r="S11" s="1759">
        <v>6080508</v>
      </c>
      <c r="T11" s="1763">
        <v>6080508</v>
      </c>
      <c r="U11" s="1763">
        <v>6080508</v>
      </c>
      <c r="V11" s="1763">
        <v>6080508</v>
      </c>
      <c r="W11" s="1763">
        <v>6080512</v>
      </c>
      <c r="X11" s="470">
        <f t="shared" ref="X11:X22" si="0">SUM(L11:W11)</f>
        <v>72966100</v>
      </c>
      <c r="Y11" s="175">
        <f t="shared" ref="Y11" si="1">X11-I11</f>
        <v>0</v>
      </c>
    </row>
    <row r="12" spans="1:26" x14ac:dyDescent="0.25">
      <c r="A12" s="32"/>
      <c r="B12" s="32"/>
      <c r="C12" s="32"/>
      <c r="D12" s="32">
        <v>4</v>
      </c>
      <c r="E12" s="32">
        <v>2</v>
      </c>
      <c r="F12" s="32"/>
      <c r="G12" s="32"/>
      <c r="H12" s="32" t="s">
        <v>2690</v>
      </c>
      <c r="I12" s="470"/>
      <c r="J12" s="66"/>
      <c r="K12" s="32"/>
      <c r="L12" s="1753"/>
      <c r="M12" s="1753"/>
      <c r="N12" s="1753"/>
      <c r="O12" s="1753"/>
      <c r="P12" s="1758"/>
      <c r="Q12" s="1758"/>
      <c r="R12" s="1758"/>
      <c r="S12" s="1758"/>
      <c r="T12" s="1762"/>
      <c r="U12" s="1762"/>
      <c r="V12" s="1762"/>
      <c r="W12" s="1762"/>
      <c r="X12" s="470"/>
    </row>
    <row r="13" spans="1:26" x14ac:dyDescent="0.25">
      <c r="A13" s="32"/>
      <c r="B13" s="32"/>
      <c r="C13" s="32"/>
      <c r="D13" s="32">
        <v>4</v>
      </c>
      <c r="E13" s="32">
        <v>2</v>
      </c>
      <c r="F13" s="32">
        <v>1</v>
      </c>
      <c r="G13" s="32"/>
      <c r="H13" s="32" t="s">
        <v>1683</v>
      </c>
      <c r="I13" s="470"/>
      <c r="J13" s="66"/>
      <c r="K13" s="32"/>
      <c r="L13" s="1753"/>
      <c r="M13" s="1753"/>
      <c r="N13" s="1753"/>
      <c r="O13" s="1753"/>
      <c r="P13" s="1758"/>
      <c r="Q13" s="1758"/>
      <c r="R13" s="1758"/>
      <c r="S13" s="1758"/>
      <c r="T13" s="1762"/>
      <c r="U13" s="1762"/>
      <c r="V13" s="1762"/>
      <c r="W13" s="1762"/>
      <c r="X13" s="470"/>
    </row>
    <row r="14" spans="1:26" x14ac:dyDescent="0.25">
      <c r="A14" s="32"/>
      <c r="B14" s="32"/>
      <c r="C14" s="32"/>
      <c r="D14" s="32">
        <v>4</v>
      </c>
      <c r="E14" s="32">
        <v>2</v>
      </c>
      <c r="F14" s="32">
        <v>1</v>
      </c>
      <c r="G14" s="1340" t="s">
        <v>2688</v>
      </c>
      <c r="H14" s="32" t="s">
        <v>1683</v>
      </c>
      <c r="I14" s="497">
        <f>Hitungan!E3</f>
        <v>897307000</v>
      </c>
      <c r="J14" s="66" t="s">
        <v>2387</v>
      </c>
      <c r="K14" s="32"/>
      <c r="L14" s="1753"/>
      <c r="M14" s="1753"/>
      <c r="N14" s="1755"/>
      <c r="O14" s="1753"/>
      <c r="P14" s="1758"/>
      <c r="Q14" s="1758"/>
      <c r="R14" s="1758"/>
      <c r="S14" s="1758"/>
      <c r="T14" s="1762"/>
      <c r="U14" s="1762"/>
      <c r="V14" s="1764"/>
      <c r="W14" s="1762"/>
      <c r="X14" s="470"/>
    </row>
    <row r="15" spans="1:26" ht="45" x14ac:dyDescent="0.25">
      <c r="A15" s="32"/>
      <c r="B15" s="32"/>
      <c r="C15" s="32"/>
      <c r="D15" s="32">
        <v>4</v>
      </c>
      <c r="E15" s="32">
        <v>2</v>
      </c>
      <c r="F15" s="32">
        <v>2</v>
      </c>
      <c r="G15" s="32"/>
      <c r="H15" s="66" t="s">
        <v>2691</v>
      </c>
      <c r="I15" s="470"/>
      <c r="J15" s="66"/>
      <c r="K15" s="32"/>
      <c r="L15" s="1753"/>
      <c r="M15" s="1753"/>
      <c r="N15" s="1754"/>
      <c r="O15" s="1753"/>
      <c r="P15" s="1758"/>
      <c r="Q15" s="1758"/>
      <c r="R15" s="1758"/>
      <c r="S15" s="1758"/>
      <c r="T15" s="1762"/>
      <c r="U15" s="1762"/>
      <c r="V15" s="1762"/>
      <c r="W15" s="1762"/>
      <c r="X15" s="470"/>
    </row>
    <row r="16" spans="1:26" ht="28.5" customHeight="1" x14ac:dyDescent="0.25">
      <c r="A16" s="32"/>
      <c r="B16" s="32"/>
      <c r="C16" s="32"/>
      <c r="D16" s="32">
        <v>4</v>
      </c>
      <c r="E16" s="32">
        <v>2</v>
      </c>
      <c r="F16" s="32">
        <v>2</v>
      </c>
      <c r="G16" s="1340" t="s">
        <v>2688</v>
      </c>
      <c r="H16" s="66" t="s">
        <v>2692</v>
      </c>
      <c r="I16" s="470">
        <f>Hitungan!G3+Hitungan!H3</f>
        <v>2556511537</v>
      </c>
      <c r="J16" s="66" t="s">
        <v>2693</v>
      </c>
      <c r="K16" s="32"/>
      <c r="L16" s="1753"/>
      <c r="M16" s="1754"/>
      <c r="N16" s="1754">
        <v>1022604413</v>
      </c>
      <c r="O16" s="1753"/>
      <c r="P16" s="1759"/>
      <c r="Q16" s="1758"/>
      <c r="R16" s="1759">
        <v>1022604413</v>
      </c>
      <c r="S16" s="1758"/>
      <c r="T16" s="1762"/>
      <c r="U16" s="1762"/>
      <c r="V16" s="1763">
        <v>511302711</v>
      </c>
      <c r="W16" s="1762"/>
      <c r="X16" s="470">
        <f t="shared" si="0"/>
        <v>2556511537</v>
      </c>
      <c r="Y16" s="175">
        <f>X16-I16</f>
        <v>0</v>
      </c>
      <c r="Z16" s="175"/>
    </row>
    <row r="17" spans="1:25" x14ac:dyDescent="0.25">
      <c r="A17" s="32"/>
      <c r="B17" s="32"/>
      <c r="C17" s="32"/>
      <c r="D17" s="32">
        <v>4</v>
      </c>
      <c r="E17" s="32">
        <v>2</v>
      </c>
      <c r="F17" s="32">
        <v>3</v>
      </c>
      <c r="G17" s="32"/>
      <c r="H17" s="32" t="s">
        <v>2694</v>
      </c>
      <c r="I17" s="470"/>
      <c r="J17" s="66"/>
      <c r="K17" s="32"/>
      <c r="L17" s="1753"/>
      <c r="M17" s="1753"/>
      <c r="N17" s="1753"/>
      <c r="O17" s="1753"/>
      <c r="P17" s="1758"/>
      <c r="Q17" s="1758"/>
      <c r="R17" s="1758"/>
      <c r="S17" s="1758"/>
      <c r="T17" s="1762"/>
      <c r="U17" s="1762"/>
      <c r="V17" s="1762"/>
      <c r="W17" s="1762"/>
      <c r="X17" s="470"/>
      <c r="Y17" s="175"/>
    </row>
    <row r="18" spans="1:25" x14ac:dyDescent="0.25">
      <c r="A18" s="32"/>
      <c r="B18" s="32"/>
      <c r="C18" s="32"/>
      <c r="D18" s="32">
        <v>4</v>
      </c>
      <c r="E18" s="32">
        <v>2</v>
      </c>
      <c r="F18" s="32">
        <v>3</v>
      </c>
      <c r="G18" s="1340" t="s">
        <v>2688</v>
      </c>
      <c r="H18" s="32" t="s">
        <v>2694</v>
      </c>
      <c r="I18" s="470">
        <f>Hitungan!F3</f>
        <v>2814314395</v>
      </c>
      <c r="J18" s="66" t="s">
        <v>1682</v>
      </c>
      <c r="K18" s="32"/>
      <c r="L18" s="1753"/>
      <c r="M18" s="1753"/>
      <c r="N18" s="1754">
        <v>1125725758</v>
      </c>
      <c r="O18" s="1753"/>
      <c r="P18" s="1758"/>
      <c r="Q18" s="1758"/>
      <c r="R18" s="1759">
        <v>1125725758</v>
      </c>
      <c r="S18" s="1758"/>
      <c r="T18" s="1762"/>
      <c r="U18" s="1762"/>
      <c r="V18" s="1763">
        <v>562862879</v>
      </c>
      <c r="W18" s="1762"/>
      <c r="X18" s="470">
        <f t="shared" si="0"/>
        <v>2814314395</v>
      </c>
      <c r="Y18" s="175">
        <f t="shared" ref="Y18" si="2">X18-I18</f>
        <v>0</v>
      </c>
    </row>
    <row r="19" spans="1:25" ht="30" x14ac:dyDescent="0.25">
      <c r="A19" s="32"/>
      <c r="B19" s="32"/>
      <c r="C19" s="32"/>
      <c r="D19" s="32">
        <v>4</v>
      </c>
      <c r="E19" s="32">
        <v>2</v>
      </c>
      <c r="F19" s="32">
        <v>4</v>
      </c>
      <c r="G19" s="32"/>
      <c r="H19" s="66" t="s">
        <v>2695</v>
      </c>
      <c r="I19" s="470"/>
      <c r="J19" s="66"/>
      <c r="K19" s="32"/>
      <c r="L19" s="1753"/>
      <c r="M19" s="1753"/>
      <c r="N19" s="1753"/>
      <c r="O19" s="1753"/>
      <c r="P19" s="1758"/>
      <c r="Q19" s="1758"/>
      <c r="R19" s="1758"/>
      <c r="S19" s="1758"/>
      <c r="T19" s="1762"/>
      <c r="U19" s="1762"/>
      <c r="V19" s="1762"/>
      <c r="W19" s="1762"/>
      <c r="X19" s="470"/>
    </row>
    <row r="20" spans="1:25" ht="30" x14ac:dyDescent="0.25">
      <c r="A20" s="32"/>
      <c r="B20" s="32"/>
      <c r="C20" s="32"/>
      <c r="D20" s="32">
        <v>4</v>
      </c>
      <c r="E20" s="32">
        <v>2</v>
      </c>
      <c r="F20" s="32">
        <v>4</v>
      </c>
      <c r="G20" s="1340" t="s">
        <v>2688</v>
      </c>
      <c r="H20" s="66" t="s">
        <v>2696</v>
      </c>
      <c r="I20" s="470">
        <f>Hitungan!U3+Hitungan!J3</f>
        <v>123000000</v>
      </c>
      <c r="J20" s="66" t="s">
        <v>2697</v>
      </c>
      <c r="K20" s="32"/>
      <c r="L20" s="1753"/>
      <c r="M20" s="1753"/>
      <c r="N20" s="1753"/>
      <c r="O20" s="1753"/>
      <c r="P20" s="1758"/>
      <c r="Q20" s="1758"/>
      <c r="R20" s="1758"/>
      <c r="S20" s="1758"/>
      <c r="T20" s="1762"/>
      <c r="U20" s="1762"/>
      <c r="V20" s="1762"/>
      <c r="W20" s="1762"/>
      <c r="X20" s="470"/>
    </row>
    <row r="21" spans="1:25" ht="30" x14ac:dyDescent="0.25">
      <c r="A21" s="32"/>
      <c r="B21" s="32"/>
      <c r="C21" s="32"/>
      <c r="D21" s="32">
        <v>4</v>
      </c>
      <c r="E21" s="32">
        <v>2</v>
      </c>
      <c r="F21" s="32">
        <v>5</v>
      </c>
      <c r="G21" s="32"/>
      <c r="H21" s="66" t="s">
        <v>2698</v>
      </c>
      <c r="I21" s="470"/>
      <c r="J21" s="66"/>
      <c r="K21" s="32"/>
      <c r="L21" s="1753"/>
      <c r="M21" s="1753"/>
      <c r="N21" s="1753"/>
      <c r="O21" s="1753"/>
      <c r="P21" s="1758"/>
      <c r="Q21" s="1758"/>
      <c r="R21" s="1758"/>
      <c r="S21" s="1758"/>
      <c r="T21" s="1762"/>
      <c r="U21" s="1762"/>
      <c r="V21" s="1762"/>
      <c r="W21" s="1762"/>
      <c r="X21" s="470"/>
    </row>
    <row r="22" spans="1:25" ht="30" x14ac:dyDescent="0.25">
      <c r="A22" s="32"/>
      <c r="B22" s="32"/>
      <c r="C22" s="32"/>
      <c r="D22" s="32">
        <v>4</v>
      </c>
      <c r="E22" s="32">
        <v>2</v>
      </c>
      <c r="F22" s="32">
        <v>5</v>
      </c>
      <c r="G22" s="1340" t="s">
        <v>2688</v>
      </c>
      <c r="H22" s="66" t="s">
        <v>2698</v>
      </c>
      <c r="I22" s="470">
        <f>Hitungan!I3</f>
        <v>770000000</v>
      </c>
      <c r="J22" s="66" t="s">
        <v>2622</v>
      </c>
      <c r="K22" s="32"/>
      <c r="L22" s="1753"/>
      <c r="M22" s="1753"/>
      <c r="N22" s="1754"/>
      <c r="O22" s="1754">
        <v>770000000</v>
      </c>
      <c r="P22" s="1758"/>
      <c r="Q22" s="1758"/>
      <c r="R22" s="1758"/>
      <c r="S22" s="1758"/>
      <c r="T22" s="1762"/>
      <c r="U22" s="1762"/>
      <c r="V22" s="1762"/>
      <c r="W22" s="1762"/>
      <c r="X22" s="470">
        <f t="shared" si="0"/>
        <v>770000000</v>
      </c>
    </row>
    <row r="23" spans="1:25" x14ac:dyDescent="0.25">
      <c r="A23" s="32"/>
      <c r="B23" s="32"/>
      <c r="C23" s="32"/>
      <c r="D23" s="32">
        <v>4</v>
      </c>
      <c r="E23" s="32">
        <v>3</v>
      </c>
      <c r="F23" s="32"/>
      <c r="G23" s="32"/>
      <c r="H23" s="32" t="s">
        <v>2699</v>
      </c>
      <c r="I23" s="470"/>
      <c r="J23" s="66"/>
      <c r="K23" s="32"/>
      <c r="L23" s="1753"/>
      <c r="M23" s="1753"/>
      <c r="N23" s="1753"/>
      <c r="O23" s="1753"/>
      <c r="P23" s="1758"/>
      <c r="Q23" s="1758"/>
      <c r="R23" s="1758"/>
      <c r="S23" s="1758"/>
      <c r="T23" s="1762"/>
      <c r="U23" s="1762"/>
      <c r="V23" s="1762"/>
      <c r="W23" s="1762"/>
      <c r="X23" s="32"/>
    </row>
    <row r="24" spans="1:25" x14ac:dyDescent="0.25">
      <c r="A24" s="32"/>
      <c r="B24" s="32"/>
      <c r="C24" s="32"/>
      <c r="D24" s="32">
        <v>4</v>
      </c>
      <c r="E24" s="32">
        <v>3</v>
      </c>
      <c r="F24" s="32">
        <v>6</v>
      </c>
      <c r="G24" s="32"/>
      <c r="H24" s="32" t="s">
        <v>2623</v>
      </c>
      <c r="I24" s="470"/>
      <c r="J24" s="66"/>
      <c r="K24" s="32"/>
      <c r="L24" s="1753"/>
      <c r="M24" s="1753"/>
      <c r="N24" s="1753"/>
      <c r="O24" s="1753"/>
      <c r="P24" s="1758"/>
      <c r="Q24" s="1758"/>
      <c r="R24" s="1758"/>
      <c r="S24" s="1758"/>
      <c r="T24" s="1762"/>
      <c r="U24" s="1762"/>
      <c r="V24" s="1762"/>
      <c r="W24" s="1762"/>
      <c r="X24" s="32"/>
    </row>
    <row r="25" spans="1:25" ht="30" x14ac:dyDescent="0.25">
      <c r="A25" s="32"/>
      <c r="B25" s="32"/>
      <c r="C25" s="32"/>
      <c r="D25" s="32">
        <v>4</v>
      </c>
      <c r="E25" s="32">
        <v>3</v>
      </c>
      <c r="F25" s="32">
        <v>6</v>
      </c>
      <c r="G25" s="1340" t="s">
        <v>2688</v>
      </c>
      <c r="H25" s="32" t="s">
        <v>2623</v>
      </c>
      <c r="I25" s="470">
        <f>Hitungan!K3</f>
        <v>25108000</v>
      </c>
      <c r="J25" s="66" t="s">
        <v>2623</v>
      </c>
      <c r="K25" s="32"/>
      <c r="L25" s="1754">
        <v>2092333</v>
      </c>
      <c r="M25" s="1754">
        <v>2092333</v>
      </c>
      <c r="N25" s="1754">
        <v>2092333</v>
      </c>
      <c r="O25" s="1754">
        <v>2092333</v>
      </c>
      <c r="P25" s="1759">
        <v>2092333</v>
      </c>
      <c r="Q25" s="1759">
        <v>2092333</v>
      </c>
      <c r="R25" s="1759">
        <v>2092333</v>
      </c>
      <c r="S25" s="1759">
        <v>2092333</v>
      </c>
      <c r="T25" s="1763">
        <v>2092333</v>
      </c>
      <c r="U25" s="1763">
        <v>2092333</v>
      </c>
      <c r="V25" s="1763">
        <v>2092333</v>
      </c>
      <c r="W25" s="1763">
        <v>2092337</v>
      </c>
      <c r="X25" s="1750">
        <f>SUM(L25:W25)</f>
        <v>25108000</v>
      </c>
      <c r="Y25" s="175">
        <f>X25-I25</f>
        <v>0</v>
      </c>
    </row>
    <row r="26" spans="1:25" x14ac:dyDescent="0.25">
      <c r="A26" s="32"/>
      <c r="B26" s="32"/>
      <c r="C26" s="32"/>
      <c r="D26" s="32"/>
      <c r="E26" s="32"/>
      <c r="F26" s="32"/>
      <c r="G26" s="32"/>
      <c r="H26" s="32"/>
      <c r="I26" s="470"/>
      <c r="J26" s="66"/>
      <c r="K26" s="32"/>
      <c r="L26" s="1753"/>
      <c r="M26" s="1753"/>
      <c r="N26" s="1753"/>
      <c r="O26" s="1753"/>
      <c r="P26" s="1758"/>
      <c r="Q26" s="1758"/>
      <c r="R26" s="1758"/>
      <c r="S26" s="1758"/>
      <c r="T26" s="1762"/>
      <c r="U26" s="1762"/>
      <c r="V26" s="1762"/>
      <c r="W26" s="1762"/>
      <c r="X26" s="1750">
        <f t="shared" ref="X26:X89" si="3">SUM(L26:W26)</f>
        <v>0</v>
      </c>
      <c r="Y26" s="175">
        <f t="shared" ref="Y26:Y89" si="4">X26-I26</f>
        <v>0</v>
      </c>
    </row>
    <row r="27" spans="1:25" x14ac:dyDescent="0.25">
      <c r="A27" s="32"/>
      <c r="B27" s="32"/>
      <c r="C27" s="32"/>
      <c r="D27" s="32"/>
      <c r="E27" s="32"/>
      <c r="F27" s="32"/>
      <c r="G27" s="32"/>
      <c r="H27" s="32" t="s">
        <v>2700</v>
      </c>
      <c r="I27" s="1341">
        <f>SUM(I8:I26)</f>
        <v>7433644832</v>
      </c>
      <c r="J27" s="66"/>
      <c r="K27" s="470"/>
      <c r="L27" s="1755"/>
      <c r="M27" s="1753"/>
      <c r="N27" s="1753"/>
      <c r="O27" s="1753"/>
      <c r="P27" s="1758"/>
      <c r="Q27" s="1758"/>
      <c r="R27" s="1758"/>
      <c r="S27" s="1758"/>
      <c r="T27" s="1762"/>
      <c r="U27" s="1762"/>
      <c r="V27" s="1762"/>
      <c r="W27" s="1762"/>
      <c r="X27" s="1750">
        <f t="shared" si="3"/>
        <v>0</v>
      </c>
      <c r="Y27" s="175"/>
    </row>
    <row r="28" spans="1:25" x14ac:dyDescent="0.25">
      <c r="A28" s="32"/>
      <c r="B28" s="32"/>
      <c r="C28" s="32"/>
      <c r="D28" s="32"/>
      <c r="E28" s="32"/>
      <c r="F28" s="32"/>
      <c r="G28" s="32"/>
      <c r="H28" s="32"/>
      <c r="I28" s="470"/>
      <c r="J28" s="66"/>
      <c r="K28" s="174"/>
      <c r="L28" s="1753"/>
      <c r="M28" s="1753"/>
      <c r="N28" s="1753"/>
      <c r="O28" s="1753"/>
      <c r="P28" s="1758"/>
      <c r="Q28" s="1758"/>
      <c r="R28" s="1758"/>
      <c r="S28" s="1758"/>
      <c r="T28" s="1762"/>
      <c r="U28" s="1762"/>
      <c r="V28" s="1762"/>
      <c r="W28" s="1762"/>
      <c r="X28" s="1750">
        <f t="shared" si="3"/>
        <v>0</v>
      </c>
      <c r="Y28" s="175">
        <f t="shared" si="4"/>
        <v>0</v>
      </c>
    </row>
    <row r="29" spans="1:25" x14ac:dyDescent="0.25">
      <c r="A29" s="32"/>
      <c r="B29" s="32"/>
      <c r="C29" s="32"/>
      <c r="D29" s="32">
        <v>5</v>
      </c>
      <c r="E29" s="32"/>
      <c r="F29" s="32"/>
      <c r="G29" s="32"/>
      <c r="H29" s="32" t="s">
        <v>2006</v>
      </c>
      <c r="I29" s="470"/>
      <c r="J29" s="66"/>
      <c r="K29" s="32"/>
      <c r="L29" s="1753"/>
      <c r="M29" s="1753"/>
      <c r="N29" s="1753"/>
      <c r="O29" s="1753"/>
      <c r="P29" s="1758"/>
      <c r="Q29" s="1758"/>
      <c r="R29" s="1758"/>
      <c r="S29" s="1758"/>
      <c r="T29" s="1762"/>
      <c r="U29" s="1762"/>
      <c r="V29" s="1762"/>
      <c r="W29" s="1762"/>
      <c r="X29" s="1750">
        <f t="shared" si="3"/>
        <v>0</v>
      </c>
      <c r="Y29" s="175">
        <f t="shared" si="4"/>
        <v>0</v>
      </c>
    </row>
    <row r="30" spans="1:25" ht="30" customHeight="1" x14ac:dyDescent="0.25">
      <c r="A30" s="1342">
        <v>1</v>
      </c>
      <c r="B30" s="1342"/>
      <c r="C30" s="1342"/>
      <c r="D30" s="1342"/>
      <c r="E30" s="1342"/>
      <c r="F30" s="1342"/>
      <c r="G30" s="1343"/>
      <c r="H30" s="1343" t="str">
        <f>'BID I'!B5</f>
        <v>: Penyelenggaraan Pemerintahan Desa</v>
      </c>
      <c r="I30" s="1351">
        <f>I32+I39+I44+I51+I82+I87+I91+I98+I104+I110+I114+I123++I128+I133+I137+I141+I146+I152+I164+I169+I174+I180+I193+I201+I209+I219+I229+I239+I246+I251+I256+I260+I264</f>
        <v>3380479444.6599998</v>
      </c>
      <c r="J30" s="1343"/>
      <c r="K30" s="174"/>
      <c r="L30" s="1755"/>
      <c r="M30" s="1753"/>
      <c r="N30" s="1753"/>
      <c r="O30" s="1753"/>
      <c r="P30" s="1758"/>
      <c r="Q30" s="1758"/>
      <c r="R30" s="1758"/>
      <c r="S30" s="1758"/>
      <c r="T30" s="1762"/>
      <c r="U30" s="1762"/>
      <c r="V30" s="1762"/>
      <c r="W30" s="1762"/>
      <c r="X30" s="1750">
        <f t="shared" si="3"/>
        <v>0</v>
      </c>
      <c r="Y30" s="175"/>
    </row>
    <row r="31" spans="1:25" ht="75" x14ac:dyDescent="0.25">
      <c r="A31" s="1344">
        <v>1</v>
      </c>
      <c r="B31" s="1344">
        <v>1</v>
      </c>
      <c r="C31" s="1344"/>
      <c r="D31" s="1344"/>
      <c r="E31" s="1344"/>
      <c r="F31" s="1344"/>
      <c r="G31" s="1344"/>
      <c r="H31" s="1345" t="str">
        <f>'BID I'!B6</f>
        <v>: Penyelenggaraan Belanja Penghasilan Tetap, Tunjangan dan Operasional Pemerintah Desa ( Maksimal 30% )</v>
      </c>
      <c r="I31" s="1344"/>
      <c r="J31" s="1345"/>
      <c r="K31" s="1347"/>
      <c r="L31" s="1344"/>
      <c r="M31" s="1344"/>
      <c r="N31" s="1344"/>
      <c r="O31" s="1344"/>
      <c r="P31" s="1344"/>
      <c r="Q31" s="1344"/>
      <c r="R31" s="1344"/>
      <c r="S31" s="1344"/>
      <c r="T31" s="1344"/>
      <c r="U31" s="1344"/>
      <c r="V31" s="1344"/>
      <c r="W31" s="1344"/>
      <c r="X31" s="1353">
        <f t="shared" si="3"/>
        <v>0</v>
      </c>
      <c r="Y31" s="175">
        <f t="shared" si="4"/>
        <v>0</v>
      </c>
    </row>
    <row r="32" spans="1:25" ht="45" x14ac:dyDescent="0.25">
      <c r="A32" s="1344">
        <v>1</v>
      </c>
      <c r="B32" s="1344">
        <v>1</v>
      </c>
      <c r="C32" s="1346" t="s">
        <v>2688</v>
      </c>
      <c r="D32" s="1344"/>
      <c r="E32" s="1344"/>
      <c r="F32" s="1344"/>
      <c r="G32" s="1344"/>
      <c r="H32" s="1345" t="str">
        <f>'BID I'!B7</f>
        <v>: Penyediaan Penghasilan tetap dan Tunjangan Perbekel</v>
      </c>
      <c r="I32" s="1347">
        <f>SUM(I33:I38)</f>
        <v>159920000</v>
      </c>
      <c r="J32" s="1345"/>
      <c r="K32" s="1347" t="s">
        <v>2988</v>
      </c>
      <c r="L32" s="1344"/>
      <c r="M32" s="1344"/>
      <c r="N32" s="1344"/>
      <c r="O32" s="1344"/>
      <c r="P32" s="1344"/>
      <c r="Q32" s="1344"/>
      <c r="R32" s="1344"/>
      <c r="S32" s="1344"/>
      <c r="T32" s="1344"/>
      <c r="U32" s="1344"/>
      <c r="V32" s="1344"/>
      <c r="W32" s="1344"/>
      <c r="X32" s="1353">
        <f t="shared" si="3"/>
        <v>0</v>
      </c>
      <c r="Y32" s="175">
        <f t="shared" si="4"/>
        <v>-159920000</v>
      </c>
    </row>
    <row r="33" spans="1:26" x14ac:dyDescent="0.25">
      <c r="A33" s="32"/>
      <c r="B33" s="32"/>
      <c r="C33" s="32"/>
      <c r="D33" s="32">
        <v>5</v>
      </c>
      <c r="E33" s="32">
        <v>1</v>
      </c>
      <c r="F33" s="32"/>
      <c r="G33" s="32"/>
      <c r="H33" s="66" t="str">
        <f>'BID I'!B13</f>
        <v xml:space="preserve">Belanja Pegawai </v>
      </c>
      <c r="I33" s="32"/>
      <c r="J33" s="66"/>
      <c r="K33" s="470" t="s">
        <v>2988</v>
      </c>
      <c r="L33" s="1753"/>
      <c r="M33" s="1753"/>
      <c r="N33" s="1753"/>
      <c r="O33" s="1753"/>
      <c r="P33" s="1758"/>
      <c r="Q33" s="1758"/>
      <c r="R33" s="1758"/>
      <c r="S33" s="1758"/>
      <c r="T33" s="1762"/>
      <c r="U33" s="1762"/>
      <c r="V33" s="1762"/>
      <c r="W33" s="1762"/>
      <c r="X33" s="1750">
        <f t="shared" si="3"/>
        <v>0</v>
      </c>
      <c r="Y33" s="175">
        <f t="shared" si="4"/>
        <v>0</v>
      </c>
    </row>
    <row r="34" spans="1:26" ht="30" x14ac:dyDescent="0.25">
      <c r="A34" s="32"/>
      <c r="B34" s="32"/>
      <c r="C34" s="32"/>
      <c r="D34" s="32"/>
      <c r="E34" s="32"/>
      <c r="F34" s="32">
        <v>1</v>
      </c>
      <c r="G34" s="32"/>
      <c r="H34" s="66" t="str">
        <f>'BID I'!B14</f>
        <v>Penghasilan tetap dan Tunjangan Perbekel</v>
      </c>
      <c r="I34" s="32"/>
      <c r="J34" s="66"/>
      <c r="K34" s="470" t="s">
        <v>2988</v>
      </c>
      <c r="L34" s="1753"/>
      <c r="M34" s="1753"/>
      <c r="N34" s="1753"/>
      <c r="O34" s="1753"/>
      <c r="P34" s="1758"/>
      <c r="Q34" s="1758"/>
      <c r="R34" s="1758"/>
      <c r="S34" s="1758"/>
      <c r="T34" s="1762"/>
      <c r="U34" s="1762"/>
      <c r="V34" s="1762"/>
      <c r="W34" s="1762"/>
      <c r="X34" s="1750">
        <f t="shared" si="3"/>
        <v>0</v>
      </c>
      <c r="Y34" s="175">
        <f t="shared" si="4"/>
        <v>0</v>
      </c>
    </row>
    <row r="35" spans="1:26" ht="29.25" customHeight="1" x14ac:dyDescent="0.25">
      <c r="A35" s="32"/>
      <c r="B35" s="32"/>
      <c r="C35" s="32"/>
      <c r="D35" s="32"/>
      <c r="E35" s="32"/>
      <c r="F35" s="32"/>
      <c r="G35" s="1340" t="s">
        <v>2688</v>
      </c>
      <c r="H35" s="66" t="str">
        <f>'BID I'!B15</f>
        <v>Penghasilan Tetap Perbekel</v>
      </c>
      <c r="I35" s="513">
        <f>'BID I'!F15</f>
        <v>47520000</v>
      </c>
      <c r="J35" s="66" t="s">
        <v>1682</v>
      </c>
      <c r="K35" s="470" t="s">
        <v>2988</v>
      </c>
      <c r="L35" s="1754">
        <v>3960000</v>
      </c>
      <c r="M35" s="1754">
        <v>3960000</v>
      </c>
      <c r="N35" s="1754">
        <v>3960000</v>
      </c>
      <c r="O35" s="1754">
        <v>3960000</v>
      </c>
      <c r="P35" s="1759">
        <v>3960000</v>
      </c>
      <c r="Q35" s="1759">
        <v>3960000</v>
      </c>
      <c r="R35" s="1759">
        <v>3960000</v>
      </c>
      <c r="S35" s="1759">
        <v>3960000</v>
      </c>
      <c r="T35" s="1763">
        <v>3960000</v>
      </c>
      <c r="U35" s="1763">
        <v>3960000</v>
      </c>
      <c r="V35" s="1763">
        <v>3960000</v>
      </c>
      <c r="W35" s="1763">
        <v>3960000</v>
      </c>
      <c r="X35" s="1750">
        <f t="shared" si="3"/>
        <v>47520000</v>
      </c>
      <c r="Y35" s="175">
        <f t="shared" si="4"/>
        <v>0</v>
      </c>
    </row>
    <row r="36" spans="1:26" x14ac:dyDescent="0.25">
      <c r="A36" s="32"/>
      <c r="B36" s="32"/>
      <c r="C36" s="32"/>
      <c r="D36" s="32"/>
      <c r="E36" s="32"/>
      <c r="F36" s="32"/>
      <c r="G36" s="1340" t="s">
        <v>2702</v>
      </c>
      <c r="H36" s="66" t="str">
        <f>'BID I'!B16</f>
        <v>Penghasilan ke 13</v>
      </c>
      <c r="I36" s="513">
        <f>'BID I'!F16</f>
        <v>4000000</v>
      </c>
      <c r="J36" s="66" t="s">
        <v>2620</v>
      </c>
      <c r="K36" s="470" t="s">
        <v>2988</v>
      </c>
      <c r="L36" s="1753"/>
      <c r="M36" s="1753"/>
      <c r="N36" s="1753"/>
      <c r="O36" s="1753"/>
      <c r="P36" s="1758"/>
      <c r="Q36" s="1759">
        <v>4000000</v>
      </c>
      <c r="R36" s="1758"/>
      <c r="S36" s="1758"/>
      <c r="T36" s="1762"/>
      <c r="U36" s="1762"/>
      <c r="V36" s="1762"/>
      <c r="W36" s="1762"/>
      <c r="X36" s="1750">
        <f t="shared" si="3"/>
        <v>4000000</v>
      </c>
      <c r="Y36" s="175">
        <f t="shared" si="4"/>
        <v>0</v>
      </c>
    </row>
    <row r="37" spans="1:26" x14ac:dyDescent="0.25">
      <c r="A37" s="32"/>
      <c r="B37" s="32"/>
      <c r="C37" s="32"/>
      <c r="D37" s="32"/>
      <c r="E37" s="32"/>
      <c r="F37" s="32"/>
      <c r="G37" s="1340" t="s">
        <v>2702</v>
      </c>
      <c r="H37" s="66" t="str">
        <f>'BID I'!B17</f>
        <v>Tunjangan Perbekel</v>
      </c>
      <c r="I37" s="513">
        <f>'BID I'!F17</f>
        <v>104400000</v>
      </c>
      <c r="J37" s="66" t="s">
        <v>2620</v>
      </c>
      <c r="K37" s="470" t="s">
        <v>2988</v>
      </c>
      <c r="L37" s="1754">
        <v>8700000</v>
      </c>
      <c r="M37" s="1754">
        <v>8700000</v>
      </c>
      <c r="N37" s="1754">
        <v>8700000</v>
      </c>
      <c r="O37" s="1754">
        <v>8700000</v>
      </c>
      <c r="P37" s="1759">
        <v>8700000</v>
      </c>
      <c r="Q37" s="1759">
        <v>8700000</v>
      </c>
      <c r="R37" s="1759">
        <v>8700000</v>
      </c>
      <c r="S37" s="1759">
        <v>8700000</v>
      </c>
      <c r="T37" s="1763">
        <v>8700000</v>
      </c>
      <c r="U37" s="1763">
        <v>8700000</v>
      </c>
      <c r="V37" s="1763">
        <v>8700000</v>
      </c>
      <c r="W37" s="1763">
        <v>8700000</v>
      </c>
      <c r="X37" s="1750">
        <f t="shared" si="3"/>
        <v>104400000</v>
      </c>
      <c r="Y37" s="175">
        <f t="shared" si="4"/>
        <v>0</v>
      </c>
    </row>
    <row r="38" spans="1:26" x14ac:dyDescent="0.25">
      <c r="A38" s="32"/>
      <c r="B38" s="32"/>
      <c r="C38" s="32"/>
      <c r="D38" s="32"/>
      <c r="E38" s="32"/>
      <c r="F38" s="32"/>
      <c r="G38" s="1340" t="s">
        <v>2702</v>
      </c>
      <c r="H38" s="66" t="str">
        <f>'BID I'!B18</f>
        <v>Tunjangan Hari Raya</v>
      </c>
      <c r="I38" s="513">
        <f>'BID I'!F18</f>
        <v>4000000</v>
      </c>
      <c r="J38" s="66" t="s">
        <v>2620</v>
      </c>
      <c r="K38" s="470" t="s">
        <v>2988</v>
      </c>
      <c r="L38" s="1753"/>
      <c r="M38" s="1753"/>
      <c r="N38" s="1754">
        <v>4000000</v>
      </c>
      <c r="O38" s="1753"/>
      <c r="P38" s="1758"/>
      <c r="Q38" s="1758"/>
      <c r="R38" s="1758"/>
      <c r="S38" s="1758"/>
      <c r="T38" s="1762"/>
      <c r="U38" s="1762"/>
      <c r="V38" s="1762"/>
      <c r="W38" s="1762"/>
      <c r="X38" s="1750">
        <f t="shared" si="3"/>
        <v>4000000</v>
      </c>
      <c r="Y38" s="175">
        <f t="shared" si="4"/>
        <v>0</v>
      </c>
    </row>
    <row r="39" spans="1:26" ht="45" x14ac:dyDescent="0.25">
      <c r="A39" s="1344">
        <v>1</v>
      </c>
      <c r="B39" s="1344">
        <v>1</v>
      </c>
      <c r="C39" s="1346" t="s">
        <v>2702</v>
      </c>
      <c r="D39" s="1344"/>
      <c r="E39" s="1344"/>
      <c r="F39" s="1344"/>
      <c r="G39" s="1344"/>
      <c r="H39" s="1345" t="str">
        <f>'BID I'!B35</f>
        <v>: Penyediaan Penghasilan tetap dan Tunjangan Perangkat Desa</v>
      </c>
      <c r="I39" s="1347">
        <f>SUM(I40:I43)</f>
        <v>939625760</v>
      </c>
      <c r="J39" s="1345"/>
      <c r="K39" s="1347" t="s">
        <v>2988</v>
      </c>
      <c r="L39" s="1344"/>
      <c r="M39" s="1344"/>
      <c r="N39" s="1344"/>
      <c r="O39" s="1344"/>
      <c r="P39" s="1344"/>
      <c r="Q39" s="1344"/>
      <c r="R39" s="1344"/>
      <c r="S39" s="1344"/>
      <c r="T39" s="1344"/>
      <c r="U39" s="1344"/>
      <c r="V39" s="1344"/>
      <c r="W39" s="1344"/>
      <c r="X39" s="1353">
        <f t="shared" si="3"/>
        <v>0</v>
      </c>
      <c r="Y39" s="175">
        <f t="shared" si="4"/>
        <v>-939625760</v>
      </c>
    </row>
    <row r="40" spans="1:26" x14ac:dyDescent="0.25">
      <c r="A40" s="32"/>
      <c r="B40" s="32"/>
      <c r="C40" s="32"/>
      <c r="D40" s="32">
        <v>5</v>
      </c>
      <c r="E40" s="32">
        <v>1</v>
      </c>
      <c r="F40" s="32"/>
      <c r="G40" s="32"/>
      <c r="H40" s="66" t="str">
        <f>'BID I'!B40</f>
        <v xml:space="preserve">Belanja Pegawai </v>
      </c>
      <c r="I40" s="32"/>
      <c r="J40" s="66"/>
      <c r="K40" s="470" t="s">
        <v>2988</v>
      </c>
      <c r="L40" s="1753"/>
      <c r="M40" s="1753"/>
      <c r="N40" s="1753"/>
      <c r="O40" s="1753"/>
      <c r="P40" s="1758"/>
      <c r="Q40" s="1758"/>
      <c r="R40" s="1758"/>
      <c r="S40" s="1758"/>
      <c r="T40" s="1762"/>
      <c r="U40" s="1762"/>
      <c r="V40" s="1762"/>
      <c r="W40" s="1762"/>
      <c r="X40" s="1750">
        <f t="shared" si="3"/>
        <v>0</v>
      </c>
      <c r="Y40" s="175">
        <f t="shared" si="4"/>
        <v>0</v>
      </c>
    </row>
    <row r="41" spans="1:26" ht="45" x14ac:dyDescent="0.25">
      <c r="A41" s="32"/>
      <c r="B41" s="32"/>
      <c r="C41" s="32"/>
      <c r="D41" s="32"/>
      <c r="E41" s="32"/>
      <c r="F41" s="32">
        <v>2</v>
      </c>
      <c r="G41" s="32"/>
      <c r="H41" s="66" t="str">
        <f>'BID I'!B41</f>
        <v>Penghasilan tetap dan Tunjangan Perangkat Desa</v>
      </c>
      <c r="I41" s="32"/>
      <c r="J41" s="66"/>
      <c r="K41" s="470" t="s">
        <v>2988</v>
      </c>
      <c r="L41" s="1753"/>
      <c r="M41" s="1753"/>
      <c r="N41" s="1755"/>
      <c r="O41" s="1753"/>
      <c r="P41" s="1758"/>
      <c r="Q41" s="1758"/>
      <c r="R41" s="1758"/>
      <c r="S41" s="1758"/>
      <c r="T41" s="1762"/>
      <c r="U41" s="1762"/>
      <c r="V41" s="1762"/>
      <c r="W41" s="1762"/>
      <c r="X41" s="1750">
        <f t="shared" si="3"/>
        <v>0</v>
      </c>
      <c r="Y41" s="175">
        <f t="shared" si="4"/>
        <v>0</v>
      </c>
    </row>
    <row r="42" spans="1:26" ht="30" x14ac:dyDescent="0.25">
      <c r="A42" s="32"/>
      <c r="B42" s="32"/>
      <c r="C42" s="32"/>
      <c r="D42" s="32"/>
      <c r="E42" s="32"/>
      <c r="F42" s="32"/>
      <c r="G42" s="1340">
        <v>0</v>
      </c>
      <c r="H42" s="66" t="str">
        <f>'BID I'!B42</f>
        <v>Penghasilan tetap Perangkat Desa</v>
      </c>
      <c r="I42" s="513">
        <f>SUM('BID I'!F43:F45)</f>
        <v>431225760</v>
      </c>
      <c r="J42" s="66" t="s">
        <v>1682</v>
      </c>
      <c r="K42" s="470" t="s">
        <v>2988</v>
      </c>
      <c r="L42" s="1754">
        <v>35939530</v>
      </c>
      <c r="M42" s="1754">
        <v>35939530</v>
      </c>
      <c r="N42" s="1754">
        <v>35939530</v>
      </c>
      <c r="O42" s="1754">
        <v>35939530</v>
      </c>
      <c r="P42" s="1759">
        <v>35939530</v>
      </c>
      <c r="Q42" s="1759">
        <v>35939530</v>
      </c>
      <c r="R42" s="1759">
        <v>35939530</v>
      </c>
      <c r="S42" s="1759">
        <v>35939530</v>
      </c>
      <c r="T42" s="1763">
        <v>35939530</v>
      </c>
      <c r="U42" s="1763">
        <v>35939530</v>
      </c>
      <c r="V42" s="1763">
        <v>35939530</v>
      </c>
      <c r="W42" s="1763">
        <v>35890930</v>
      </c>
      <c r="X42" s="1750">
        <f t="shared" si="3"/>
        <v>431225760</v>
      </c>
      <c r="Y42" s="175">
        <f t="shared" si="4"/>
        <v>0</v>
      </c>
      <c r="Z42" s="175"/>
    </row>
    <row r="43" spans="1:26" ht="30" x14ac:dyDescent="0.25">
      <c r="A43" s="32"/>
      <c r="B43" s="32"/>
      <c r="C43" s="32"/>
      <c r="D43" s="32"/>
      <c r="E43" s="32"/>
      <c r="F43" s="32"/>
      <c r="G43" s="1340" t="s">
        <v>2702</v>
      </c>
      <c r="H43" s="66" t="str">
        <f>'BID I'!B47</f>
        <v>Tunjangan Perangkat Desa</v>
      </c>
      <c r="I43" s="513">
        <f>'BID I'!F48+'BID I'!F49+'BID I'!F50+'BID I'!F52+'BID I'!F53+'BID I'!F54+'BID I'!F56+'BID I'!F57+'BID I'!F58</f>
        <v>508400000</v>
      </c>
      <c r="J43" s="66" t="s">
        <v>2620</v>
      </c>
      <c r="K43" s="470" t="s">
        <v>2988</v>
      </c>
      <c r="L43" s="1754">
        <v>36300000</v>
      </c>
      <c r="M43" s="1754">
        <v>36300000</v>
      </c>
      <c r="N43" s="1754">
        <v>72700000</v>
      </c>
      <c r="O43" s="1754">
        <v>36300000</v>
      </c>
      <c r="P43" s="1759">
        <v>36300000</v>
      </c>
      <c r="Q43" s="1759">
        <v>72700000</v>
      </c>
      <c r="R43" s="1759">
        <v>36300000</v>
      </c>
      <c r="S43" s="1759">
        <v>36300000</v>
      </c>
      <c r="T43" s="1763">
        <v>36300000</v>
      </c>
      <c r="U43" s="1763">
        <v>36300000</v>
      </c>
      <c r="V43" s="1763">
        <v>36300000</v>
      </c>
      <c r="W43" s="1763">
        <v>36300000</v>
      </c>
      <c r="X43" s="1750">
        <f t="shared" si="3"/>
        <v>508400000</v>
      </c>
      <c r="Y43" s="175">
        <f t="shared" si="4"/>
        <v>0</v>
      </c>
    </row>
    <row r="44" spans="1:26" ht="60" x14ac:dyDescent="0.25">
      <c r="A44" s="1344">
        <v>1</v>
      </c>
      <c r="B44" s="1344">
        <v>1</v>
      </c>
      <c r="C44" s="1346" t="s">
        <v>2703</v>
      </c>
      <c r="D44" s="1344"/>
      <c r="E44" s="1344"/>
      <c r="F44" s="1344"/>
      <c r="G44" s="1344"/>
      <c r="H44" s="1345" t="str">
        <f>'BID I'!B76</f>
        <v>Penyediaan Jaminan Kesehatan dan Ketenaga Kerjaan Bagi Perbekel dan Perangkat Desa</v>
      </c>
      <c r="I44" s="1347">
        <f>SUM(I45:I50)</f>
        <v>70001760</v>
      </c>
      <c r="J44" s="1345" t="s">
        <v>2620</v>
      </c>
      <c r="K44" s="1347" t="s">
        <v>2988</v>
      </c>
      <c r="L44" s="1344"/>
      <c r="M44" s="1344"/>
      <c r="N44" s="1344"/>
      <c r="O44" s="1344"/>
      <c r="P44" s="1344"/>
      <c r="Q44" s="1349"/>
      <c r="R44" s="1344"/>
      <c r="S44" s="1344"/>
      <c r="T44" s="1344"/>
      <c r="U44" s="1344"/>
      <c r="V44" s="1344"/>
      <c r="W44" s="1344"/>
      <c r="X44" s="1353">
        <f t="shared" si="3"/>
        <v>0</v>
      </c>
      <c r="Y44" s="175"/>
      <c r="Z44" s="451"/>
    </row>
    <row r="45" spans="1:26" x14ac:dyDescent="0.25">
      <c r="A45" s="32"/>
      <c r="B45" s="32"/>
      <c r="C45" s="32"/>
      <c r="D45" s="32">
        <v>5</v>
      </c>
      <c r="E45" s="32">
        <v>1</v>
      </c>
      <c r="F45" s="32"/>
      <c r="G45" s="32"/>
      <c r="H45" s="66" t="str">
        <f>'BID I'!B81</f>
        <v>Belanja Pegawai :</v>
      </c>
      <c r="I45" s="32"/>
      <c r="J45" s="66"/>
      <c r="K45" s="470" t="s">
        <v>2988</v>
      </c>
      <c r="L45" s="1753"/>
      <c r="M45" s="1753"/>
      <c r="N45" s="1753"/>
      <c r="O45" s="1753"/>
      <c r="P45" s="1758"/>
      <c r="Q45" s="1758"/>
      <c r="R45" s="1758"/>
      <c r="S45" s="1758"/>
      <c r="T45" s="1762"/>
      <c r="U45" s="1762"/>
      <c r="V45" s="1762"/>
      <c r="W45" s="1762"/>
      <c r="X45" s="1750">
        <f t="shared" si="3"/>
        <v>0</v>
      </c>
      <c r="Y45" s="175">
        <f t="shared" si="4"/>
        <v>0</v>
      </c>
    </row>
    <row r="46" spans="1:26" ht="30" x14ac:dyDescent="0.25">
      <c r="A46" s="32"/>
      <c r="B46" s="32"/>
      <c r="C46" s="32"/>
      <c r="D46" s="32"/>
      <c r="E46" s="32"/>
      <c r="F46" s="32">
        <v>3</v>
      </c>
      <c r="G46" s="32"/>
      <c r="H46" s="66" t="str">
        <f>'BID I'!B82</f>
        <v>Jaminan sosial Perbekel dan Perangkat Desa</v>
      </c>
      <c r="I46" s="32"/>
      <c r="J46" s="66"/>
      <c r="K46" s="470" t="s">
        <v>2988</v>
      </c>
      <c r="L46" s="1753"/>
      <c r="M46" s="1753"/>
      <c r="N46" s="1753"/>
      <c r="O46" s="1753"/>
      <c r="P46" s="1758"/>
      <c r="Q46" s="1758"/>
      <c r="R46" s="1758"/>
      <c r="S46" s="1758"/>
      <c r="T46" s="1762"/>
      <c r="U46" s="1762"/>
      <c r="V46" s="1762"/>
      <c r="W46" s="1762"/>
      <c r="X46" s="1750">
        <f t="shared" si="3"/>
        <v>0</v>
      </c>
      <c r="Y46" s="175">
        <f t="shared" si="4"/>
        <v>0</v>
      </c>
    </row>
    <row r="47" spans="1:26" ht="30" x14ac:dyDescent="0.25">
      <c r="A47" s="32"/>
      <c r="B47" s="32"/>
      <c r="C47" s="32"/>
      <c r="D47" s="32"/>
      <c r="E47" s="32"/>
      <c r="F47" s="32"/>
      <c r="G47" s="1340" t="s">
        <v>2688</v>
      </c>
      <c r="H47" s="66" t="str">
        <f>'BID I'!B83</f>
        <v xml:space="preserve">Jaminan Kesehatan perbekel </v>
      </c>
      <c r="I47" s="513">
        <f>'BID I'!F83</f>
        <v>480000</v>
      </c>
      <c r="J47" s="66" t="s">
        <v>2620</v>
      </c>
      <c r="K47" s="470" t="s">
        <v>2988</v>
      </c>
      <c r="L47" s="1754">
        <v>40000</v>
      </c>
      <c r="M47" s="1754">
        <v>40000</v>
      </c>
      <c r="N47" s="1754">
        <v>40000</v>
      </c>
      <c r="O47" s="1754">
        <v>40000</v>
      </c>
      <c r="P47" s="1759">
        <v>40000</v>
      </c>
      <c r="Q47" s="1759">
        <v>40000</v>
      </c>
      <c r="R47" s="1759">
        <v>40000</v>
      </c>
      <c r="S47" s="1759">
        <v>40000</v>
      </c>
      <c r="T47" s="1763">
        <v>40000</v>
      </c>
      <c r="U47" s="1763">
        <v>40000</v>
      </c>
      <c r="V47" s="1763">
        <v>40000</v>
      </c>
      <c r="W47" s="1763">
        <v>40000</v>
      </c>
      <c r="X47" s="1750">
        <f t="shared" si="3"/>
        <v>480000</v>
      </c>
      <c r="Y47" s="175">
        <f t="shared" si="4"/>
        <v>0</v>
      </c>
    </row>
    <row r="48" spans="1:26" ht="30" x14ac:dyDescent="0.25">
      <c r="A48" s="32"/>
      <c r="B48" s="32"/>
      <c r="C48" s="32"/>
      <c r="D48" s="32"/>
      <c r="E48" s="32"/>
      <c r="F48" s="32"/>
      <c r="G48" s="1340" t="s">
        <v>2702</v>
      </c>
      <c r="H48" s="66" t="str">
        <f>'BID I'!B84</f>
        <v>Jaminan Kesehatan Perangkat Desa</v>
      </c>
      <c r="I48" s="513">
        <f>'BID I'!F85+'BID I'!F86+'BID I'!F87</f>
        <v>5574240</v>
      </c>
      <c r="J48" s="66" t="s">
        <v>2620</v>
      </c>
      <c r="K48" s="470" t="s">
        <v>2988</v>
      </c>
      <c r="L48" s="1754">
        <v>464520</v>
      </c>
      <c r="M48" s="1754">
        <v>464520</v>
      </c>
      <c r="N48" s="1754">
        <v>464520</v>
      </c>
      <c r="O48" s="1754">
        <v>464520</v>
      </c>
      <c r="P48" s="1759">
        <v>464520</v>
      </c>
      <c r="Q48" s="1759">
        <v>464520</v>
      </c>
      <c r="R48" s="1759">
        <v>464520</v>
      </c>
      <c r="S48" s="1759">
        <v>464520</v>
      </c>
      <c r="T48" s="1763">
        <v>464520</v>
      </c>
      <c r="U48" s="1763">
        <v>464520</v>
      </c>
      <c r="V48" s="1763">
        <v>464520</v>
      </c>
      <c r="W48" s="1763">
        <v>464520</v>
      </c>
      <c r="X48" s="1750">
        <f t="shared" si="3"/>
        <v>5574240</v>
      </c>
      <c r="Y48" s="175">
        <f t="shared" si="4"/>
        <v>0</v>
      </c>
    </row>
    <row r="49" spans="1:25" ht="30" x14ac:dyDescent="0.25">
      <c r="A49" s="32"/>
      <c r="B49" s="32"/>
      <c r="C49" s="32"/>
      <c r="D49" s="32"/>
      <c r="E49" s="32"/>
      <c r="F49" s="32"/>
      <c r="G49" s="1340" t="s">
        <v>2703</v>
      </c>
      <c r="H49" s="66" t="str">
        <f>'BID I'!B88</f>
        <v>Jaminan Ketenagakerjaan Perbekel</v>
      </c>
      <c r="I49" s="513">
        <f>'BID I'!F88</f>
        <v>9509760</v>
      </c>
      <c r="J49" s="66" t="s">
        <v>2620</v>
      </c>
      <c r="K49" s="470" t="s">
        <v>2988</v>
      </c>
      <c r="L49" s="1754">
        <v>792480</v>
      </c>
      <c r="M49" s="1754">
        <v>792480</v>
      </c>
      <c r="N49" s="1754">
        <v>792480</v>
      </c>
      <c r="O49" s="1754">
        <v>792480</v>
      </c>
      <c r="P49" s="1759">
        <v>792480</v>
      </c>
      <c r="Q49" s="1759">
        <v>792480</v>
      </c>
      <c r="R49" s="1759">
        <v>792480</v>
      </c>
      <c r="S49" s="1759">
        <v>792480</v>
      </c>
      <c r="T49" s="1763">
        <v>792480</v>
      </c>
      <c r="U49" s="1763">
        <v>792480</v>
      </c>
      <c r="V49" s="1763">
        <v>792480</v>
      </c>
      <c r="W49" s="1763">
        <v>792480</v>
      </c>
      <c r="X49" s="1750">
        <f t="shared" si="3"/>
        <v>9509760</v>
      </c>
      <c r="Y49" s="175">
        <f t="shared" si="4"/>
        <v>0</v>
      </c>
    </row>
    <row r="50" spans="1:25" ht="45" x14ac:dyDescent="0.25">
      <c r="A50" s="32"/>
      <c r="B50" s="32"/>
      <c r="C50" s="32"/>
      <c r="D50" s="32"/>
      <c r="E50" s="32"/>
      <c r="F50" s="32"/>
      <c r="G50" s="1340" t="s">
        <v>2704</v>
      </c>
      <c r="H50" s="66" t="str">
        <f>'BID I'!B89</f>
        <v>Jaminan Ketenagakerajaan Perangkat Desa</v>
      </c>
      <c r="I50" s="513">
        <f>SUM('BID I'!F90:F92)</f>
        <v>54437760</v>
      </c>
      <c r="J50" s="66" t="s">
        <v>2620</v>
      </c>
      <c r="K50" s="470" t="s">
        <v>2988</v>
      </c>
      <c r="L50" s="1754">
        <v>4536480</v>
      </c>
      <c r="M50" s="1754">
        <v>4536480</v>
      </c>
      <c r="N50" s="1754">
        <v>4536480</v>
      </c>
      <c r="O50" s="1754">
        <v>4536480</v>
      </c>
      <c r="P50" s="1759">
        <v>4536480</v>
      </c>
      <c r="Q50" s="1759">
        <v>4536480</v>
      </c>
      <c r="R50" s="1759">
        <v>4536480</v>
      </c>
      <c r="S50" s="1759">
        <v>4536480</v>
      </c>
      <c r="T50" s="1763">
        <v>4536480</v>
      </c>
      <c r="U50" s="1763">
        <v>4536480</v>
      </c>
      <c r="V50" s="1763">
        <v>4536480</v>
      </c>
      <c r="W50" s="1763">
        <v>4536480</v>
      </c>
      <c r="X50" s="1750">
        <f t="shared" si="3"/>
        <v>54437760</v>
      </c>
      <c r="Y50" s="175">
        <f t="shared" si="4"/>
        <v>0</v>
      </c>
    </row>
    <row r="51" spans="1:25" ht="45" x14ac:dyDescent="0.25">
      <c r="A51" s="1344">
        <v>1</v>
      </c>
      <c r="B51" s="1344">
        <v>1</v>
      </c>
      <c r="C51" s="1346" t="s">
        <v>2704</v>
      </c>
      <c r="D51" s="1344"/>
      <c r="E51" s="1344"/>
      <c r="F51" s="1344"/>
      <c r="G51" s="1344"/>
      <c r="H51" s="1345" t="str">
        <f>'BID I'!B110</f>
        <v>: Penyediaan Operasional Pemerintah Desa</v>
      </c>
      <c r="I51" s="1347">
        <f>SUM(I52:I81)</f>
        <v>486652349</v>
      </c>
      <c r="J51" s="1345" t="s">
        <v>2922</v>
      </c>
      <c r="K51" s="1347" t="s">
        <v>2988</v>
      </c>
      <c r="L51" s="1349"/>
      <c r="M51" s="1353"/>
      <c r="N51" s="1349"/>
      <c r="O51" s="1344"/>
      <c r="P51" s="1347"/>
      <c r="Q51" s="1353"/>
      <c r="R51" s="1349"/>
      <c r="S51" s="1344"/>
      <c r="T51" s="1347"/>
      <c r="U51" s="1353"/>
      <c r="V51" s="1349"/>
      <c r="W51" s="1344"/>
      <c r="X51" s="1353">
        <f t="shared" si="3"/>
        <v>0</v>
      </c>
      <c r="Y51" s="175">
        <f t="shared" si="4"/>
        <v>-486652349</v>
      </c>
    </row>
    <row r="52" spans="1:25" x14ac:dyDescent="0.25">
      <c r="A52" s="32"/>
      <c r="B52" s="32"/>
      <c r="C52" s="32"/>
      <c r="D52" s="32">
        <v>5</v>
      </c>
      <c r="E52" s="32">
        <v>2</v>
      </c>
      <c r="F52" s="32"/>
      <c r="G52" s="32"/>
      <c r="H52" s="32" t="str">
        <f>'BID I'!B115</f>
        <v>Belanja Barang Jasa :</v>
      </c>
      <c r="I52" s="32"/>
      <c r="J52" s="66"/>
      <c r="K52" s="470" t="s">
        <v>2988</v>
      </c>
      <c r="L52" s="1754"/>
      <c r="M52" s="1754"/>
      <c r="N52" s="1754"/>
      <c r="O52" s="1754"/>
      <c r="P52" s="1759"/>
      <c r="Q52" s="1759"/>
      <c r="R52" s="1759"/>
      <c r="S52" s="1759"/>
      <c r="T52" s="1763"/>
      <c r="U52" s="1763"/>
      <c r="V52" s="1763"/>
      <c r="W52" s="1763"/>
      <c r="X52" s="1750">
        <f t="shared" si="3"/>
        <v>0</v>
      </c>
      <c r="Y52" s="175">
        <f t="shared" si="4"/>
        <v>0</v>
      </c>
    </row>
    <row r="53" spans="1:25" ht="30" x14ac:dyDescent="0.25">
      <c r="A53" s="32"/>
      <c r="B53" s="32"/>
      <c r="C53" s="32"/>
      <c r="D53" s="32"/>
      <c r="E53" s="32"/>
      <c r="F53" s="32">
        <v>1</v>
      </c>
      <c r="G53" s="32"/>
      <c r="H53" s="66" t="str">
        <f>'BID I'!B116</f>
        <v>Belanja Barang Perlengkapan</v>
      </c>
      <c r="I53" s="32"/>
      <c r="J53" s="66"/>
      <c r="K53" s="470" t="s">
        <v>2988</v>
      </c>
      <c r="L53" s="1753"/>
      <c r="M53" s="1753"/>
      <c r="N53" s="1754"/>
      <c r="O53" s="1753"/>
      <c r="P53" s="1758"/>
      <c r="Q53" s="1758"/>
      <c r="R53" s="1759"/>
      <c r="S53" s="1758"/>
      <c r="T53" s="1762"/>
      <c r="U53" s="1762"/>
      <c r="V53" s="1762"/>
      <c r="W53" s="1762"/>
      <c r="X53" s="1750">
        <f t="shared" si="3"/>
        <v>0</v>
      </c>
      <c r="Y53" s="175">
        <f t="shared" si="4"/>
        <v>0</v>
      </c>
    </row>
    <row r="54" spans="1:25" ht="45" x14ac:dyDescent="0.25">
      <c r="A54" s="32"/>
      <c r="B54" s="32"/>
      <c r="C54" s="32"/>
      <c r="D54" s="32"/>
      <c r="E54" s="32"/>
      <c r="F54" s="32"/>
      <c r="G54" s="1340" t="s">
        <v>2688</v>
      </c>
      <c r="H54" s="66" t="str">
        <f>'BID I'!B117</f>
        <v>Belanja perlengkapan alat tulis kantor dan Benda Pos</v>
      </c>
      <c r="I54" s="513">
        <f>SUM('BID I'!F118:F145)</f>
        <v>69390000</v>
      </c>
      <c r="J54" s="66" t="s">
        <v>1682</v>
      </c>
      <c r="K54" s="470" t="s">
        <v>2988</v>
      </c>
      <c r="L54" s="1753"/>
      <c r="M54" s="1753"/>
      <c r="N54" s="1754">
        <v>69390000</v>
      </c>
      <c r="O54" s="1753"/>
      <c r="P54" s="1758"/>
      <c r="Q54" s="1758"/>
      <c r="R54" s="1758"/>
      <c r="S54" s="1758"/>
      <c r="T54" s="1762"/>
      <c r="U54" s="1762"/>
      <c r="V54" s="1762"/>
      <c r="W54" s="1762"/>
      <c r="X54" s="1750">
        <f t="shared" si="3"/>
        <v>69390000</v>
      </c>
      <c r="Y54" s="175">
        <f t="shared" si="4"/>
        <v>0</v>
      </c>
    </row>
    <row r="55" spans="1:25" ht="30" x14ac:dyDescent="0.25">
      <c r="A55" s="32"/>
      <c r="B55" s="32"/>
      <c r="C55" s="32"/>
      <c r="D55" s="32"/>
      <c r="E55" s="32"/>
      <c r="F55" s="32"/>
      <c r="G55" s="1340" t="s">
        <v>2702</v>
      </c>
      <c r="H55" s="66" t="str">
        <f>'BID I'!B147</f>
        <v>Belanja Perlengkapan alat alat listrik</v>
      </c>
      <c r="I55" s="513">
        <f>'BID I'!F148</f>
        <v>1600000</v>
      </c>
      <c r="J55" s="66" t="s">
        <v>1682</v>
      </c>
      <c r="K55" s="470" t="s">
        <v>2988</v>
      </c>
      <c r="L55" s="1753"/>
      <c r="M55" s="1753"/>
      <c r="N55" s="1753"/>
      <c r="O55" s="1753"/>
      <c r="P55" s="1758"/>
      <c r="Q55" s="1758"/>
      <c r="R55" s="1759">
        <v>1600000</v>
      </c>
      <c r="S55" s="1758"/>
      <c r="T55" s="1762"/>
      <c r="U55" s="1762"/>
      <c r="V55" s="1762"/>
      <c r="W55" s="1762"/>
      <c r="X55" s="1750">
        <f t="shared" si="3"/>
        <v>1600000</v>
      </c>
      <c r="Y55" s="175">
        <f t="shared" si="4"/>
        <v>0</v>
      </c>
    </row>
    <row r="56" spans="1:25" ht="60" x14ac:dyDescent="0.25">
      <c r="A56" s="32"/>
      <c r="B56" s="32"/>
      <c r="C56" s="32"/>
      <c r="D56" s="32"/>
      <c r="E56" s="32"/>
      <c r="F56" s="32"/>
      <c r="G56" s="1340" t="s">
        <v>2703</v>
      </c>
      <c r="H56" s="66" t="str">
        <f>'BID I'!B150</f>
        <v xml:space="preserve">Belanja perlengkapan alat alat rumah tangga/peralatan dan Bahan kebersihan </v>
      </c>
      <c r="I56" s="513">
        <f>SUM('BID I'!F151:F160)</f>
        <v>5728000</v>
      </c>
      <c r="J56" s="66" t="s">
        <v>1682</v>
      </c>
      <c r="K56" s="470" t="s">
        <v>2988</v>
      </c>
      <c r="L56" s="1753"/>
      <c r="M56" s="1753"/>
      <c r="N56" s="1754"/>
      <c r="O56" s="1753"/>
      <c r="P56" s="1758"/>
      <c r="Q56" s="1758"/>
      <c r="R56" s="1759">
        <v>5728000</v>
      </c>
      <c r="S56" s="1758"/>
      <c r="T56" s="1762"/>
      <c r="U56" s="1762"/>
      <c r="V56" s="1762"/>
      <c r="W56" s="1762"/>
      <c r="X56" s="1750">
        <f t="shared" si="3"/>
        <v>5728000</v>
      </c>
      <c r="Y56" s="175">
        <f t="shared" si="4"/>
        <v>0</v>
      </c>
    </row>
    <row r="57" spans="1:25" ht="60" x14ac:dyDescent="0.25">
      <c r="A57" s="32"/>
      <c r="B57" s="32"/>
      <c r="C57" s="32"/>
      <c r="D57" s="32"/>
      <c r="E57" s="32"/>
      <c r="F57" s="32"/>
      <c r="G57" s="1340" t="s">
        <v>2704</v>
      </c>
      <c r="H57" s="66" t="str">
        <f>'BID I'!B161</f>
        <v>Belanja bahan bakar minyak/ gas/ isi ulang tabung pemadam kebakaran</v>
      </c>
      <c r="I57" s="513">
        <f>SUM('BID I'!F162:F164)</f>
        <v>18312000</v>
      </c>
      <c r="J57" s="66" t="s">
        <v>1682</v>
      </c>
      <c r="K57" s="470" t="s">
        <v>2988</v>
      </c>
      <c r="L57" s="1753"/>
      <c r="M57" s="1753"/>
      <c r="N57" s="1754">
        <v>18312000</v>
      </c>
      <c r="O57" s="1753"/>
      <c r="P57" s="1758"/>
      <c r="Q57" s="1758"/>
      <c r="R57" s="1758"/>
      <c r="S57" s="1758"/>
      <c r="T57" s="1762"/>
      <c r="U57" s="1762"/>
      <c r="V57" s="1762"/>
      <c r="W57" s="1762"/>
      <c r="X57" s="1750">
        <f t="shared" si="3"/>
        <v>18312000</v>
      </c>
      <c r="Y57" s="175">
        <f t="shared" si="4"/>
        <v>0</v>
      </c>
    </row>
    <row r="58" spans="1:25" ht="60" x14ac:dyDescent="0.25">
      <c r="A58" s="32"/>
      <c r="B58" s="32"/>
      <c r="C58" s="32"/>
      <c r="D58" s="32"/>
      <c r="E58" s="32"/>
      <c r="F58" s="32"/>
      <c r="G58" s="1340" t="s">
        <v>2706</v>
      </c>
      <c r="H58" s="66" t="str">
        <f>'BID I'!B166</f>
        <v xml:space="preserve">Belanja Perlengkapan Cetak/ pengadaan - Belanja barang cetak dan pengadaan </v>
      </c>
      <c r="I58" s="513">
        <f>SUM('BID I'!F167:F180)</f>
        <v>12288600</v>
      </c>
      <c r="J58" s="66" t="s">
        <v>1682</v>
      </c>
      <c r="K58" s="470" t="s">
        <v>2988</v>
      </c>
      <c r="L58" s="1753"/>
      <c r="M58" s="1753"/>
      <c r="N58" s="1754">
        <v>12288600</v>
      </c>
      <c r="O58" s="1753"/>
      <c r="P58" s="1758"/>
      <c r="Q58" s="1758"/>
      <c r="R58" s="1758"/>
      <c r="S58" s="1758"/>
      <c r="T58" s="1762"/>
      <c r="U58" s="1762"/>
      <c r="V58" s="1762"/>
      <c r="W58" s="1762"/>
      <c r="X58" s="1750">
        <f t="shared" si="3"/>
        <v>12288600</v>
      </c>
      <c r="Y58" s="175">
        <f t="shared" si="4"/>
        <v>0</v>
      </c>
    </row>
    <row r="59" spans="1:25" ht="60" x14ac:dyDescent="0.25">
      <c r="A59" s="32"/>
      <c r="B59" s="32"/>
      <c r="C59" s="32"/>
      <c r="D59" s="32"/>
      <c r="E59" s="32"/>
      <c r="F59" s="32"/>
      <c r="G59" s="1340" t="s">
        <v>2705</v>
      </c>
      <c r="H59" s="66" t="str">
        <f>'BID I'!B182</f>
        <v>Belanja perlengkapan barang konsumsi (makan/ minum) Belanja Barang konsumsi</v>
      </c>
      <c r="I59" s="513">
        <f>SUM('BID I'!F183:F188)</f>
        <v>10025000</v>
      </c>
      <c r="J59" s="66" t="s">
        <v>1682</v>
      </c>
      <c r="K59" s="470" t="s">
        <v>2988</v>
      </c>
      <c r="L59" s="1753"/>
      <c r="M59" s="1753"/>
      <c r="N59" s="1754">
        <v>2396236</v>
      </c>
      <c r="O59" s="1753"/>
      <c r="P59" s="1758"/>
      <c r="Q59" s="1758"/>
      <c r="R59" s="1759">
        <v>3000000</v>
      </c>
      <c r="S59" s="1758"/>
      <c r="T59" s="1762"/>
      <c r="U59" s="1763">
        <v>4628764</v>
      </c>
      <c r="V59" s="1762"/>
      <c r="W59" s="1762"/>
      <c r="X59" s="1750">
        <f t="shared" si="3"/>
        <v>10025000</v>
      </c>
      <c r="Y59" s="175">
        <f t="shared" si="4"/>
        <v>0</v>
      </c>
    </row>
    <row r="60" spans="1:25" x14ac:dyDescent="0.25">
      <c r="A60" s="32"/>
      <c r="B60" s="32"/>
      <c r="C60" s="32"/>
      <c r="D60" s="32"/>
      <c r="E60" s="32"/>
      <c r="F60" s="32"/>
      <c r="G60" s="1340" t="s">
        <v>2708</v>
      </c>
      <c r="H60" s="32" t="str">
        <f>'BID I'!B190</f>
        <v xml:space="preserve">Belanja bahan/ material </v>
      </c>
      <c r="I60" s="513">
        <f>SUM('BID I'!F191:F192)</f>
        <v>6420000</v>
      </c>
      <c r="J60" s="66" t="s">
        <v>1682</v>
      </c>
      <c r="K60" s="470" t="s">
        <v>2988</v>
      </c>
      <c r="L60" s="1754">
        <v>535000</v>
      </c>
      <c r="M60" s="1754">
        <v>535000</v>
      </c>
      <c r="N60" s="1754">
        <v>535000</v>
      </c>
      <c r="O60" s="1754">
        <v>535000</v>
      </c>
      <c r="P60" s="1754">
        <v>535000</v>
      </c>
      <c r="Q60" s="1754">
        <v>535000</v>
      </c>
      <c r="R60" s="1754">
        <v>535000</v>
      </c>
      <c r="S60" s="1754">
        <v>535000</v>
      </c>
      <c r="T60" s="1754">
        <v>535000</v>
      </c>
      <c r="U60" s="1754">
        <v>535000</v>
      </c>
      <c r="V60" s="1754">
        <v>535000</v>
      </c>
      <c r="W60" s="1754">
        <v>535000</v>
      </c>
      <c r="X60" s="1750">
        <f t="shared" si="3"/>
        <v>6420000</v>
      </c>
      <c r="Y60" s="175">
        <f t="shared" si="4"/>
        <v>0</v>
      </c>
    </row>
    <row r="61" spans="1:25" ht="30" x14ac:dyDescent="0.25">
      <c r="A61" s="32"/>
      <c r="B61" s="32"/>
      <c r="C61" s="32"/>
      <c r="D61" s="32"/>
      <c r="E61" s="32"/>
      <c r="F61" s="32"/>
      <c r="G61" s="1340" t="s">
        <v>2707</v>
      </c>
      <c r="H61" s="66" t="str">
        <f>'BID I'!B194</f>
        <v>Belanja bendera/ umbul umbul/ spanduk</v>
      </c>
      <c r="I61" s="513">
        <f>SUM('BID I'!F195:F200)</f>
        <v>7900000</v>
      </c>
      <c r="J61" s="66" t="s">
        <v>1682</v>
      </c>
      <c r="K61" s="470" t="s">
        <v>2988</v>
      </c>
      <c r="L61" s="1753"/>
      <c r="M61" s="1753"/>
      <c r="N61" s="1753"/>
      <c r="O61" s="1753"/>
      <c r="P61" s="1758"/>
      <c r="Q61" s="1758"/>
      <c r="R61" s="1759">
        <v>5000000</v>
      </c>
      <c r="S61" s="1758"/>
      <c r="T61" s="1762"/>
      <c r="U61" s="1763">
        <v>2900000</v>
      </c>
      <c r="V61" s="1762"/>
      <c r="W61" s="1762"/>
      <c r="X61" s="1750">
        <f t="shared" si="3"/>
        <v>7900000</v>
      </c>
      <c r="Y61" s="175">
        <f t="shared" si="4"/>
        <v>0</v>
      </c>
    </row>
    <row r="62" spans="1:25" ht="30" x14ac:dyDescent="0.25">
      <c r="A62" s="32"/>
      <c r="B62" s="32"/>
      <c r="C62" s="32"/>
      <c r="D62" s="32"/>
      <c r="E62" s="32"/>
      <c r="F62" s="32"/>
      <c r="G62" s="1340" t="s">
        <v>2709</v>
      </c>
      <c r="H62" s="66" t="str">
        <f>'BID I'!B202</f>
        <v>Belanja Pakaian Dinas/ seragam/ atribut</v>
      </c>
      <c r="I62" s="513">
        <f>SUM('BID I'!F203)</f>
        <v>21460000</v>
      </c>
      <c r="J62" s="66" t="s">
        <v>1682</v>
      </c>
      <c r="K62" s="470" t="s">
        <v>2988</v>
      </c>
      <c r="L62" s="1753"/>
      <c r="M62" s="1753"/>
      <c r="N62" s="1753"/>
      <c r="O62" s="1753"/>
      <c r="P62" s="1758"/>
      <c r="Q62" s="1758"/>
      <c r="R62" s="1759">
        <v>21460000</v>
      </c>
      <c r="S62" s="1758"/>
      <c r="T62" s="1762"/>
      <c r="U62" s="1762"/>
      <c r="V62" s="1762"/>
      <c r="W62" s="1762"/>
      <c r="X62" s="1750">
        <f t="shared" si="3"/>
        <v>21460000</v>
      </c>
      <c r="Y62" s="175">
        <f t="shared" si="4"/>
        <v>0</v>
      </c>
    </row>
    <row r="63" spans="1:25" x14ac:dyDescent="0.25">
      <c r="A63" s="32"/>
      <c r="B63" s="32"/>
      <c r="C63" s="32"/>
      <c r="D63" s="32"/>
      <c r="E63" s="32"/>
      <c r="F63" s="32"/>
      <c r="G63" s="32">
        <v>10</v>
      </c>
      <c r="H63" s="32" t="str">
        <f>'BID I'!B205</f>
        <v>Belanja obat obatan</v>
      </c>
      <c r="I63" s="513">
        <f>SUM('BID I'!F206)</f>
        <v>500000</v>
      </c>
      <c r="J63" s="66" t="s">
        <v>1682</v>
      </c>
      <c r="K63" s="470" t="s">
        <v>2988</v>
      </c>
      <c r="L63" s="1753"/>
      <c r="M63" s="1753"/>
      <c r="N63" s="1753"/>
      <c r="O63" s="1753"/>
      <c r="P63" s="1758"/>
      <c r="Q63" s="1758"/>
      <c r="R63" s="1759">
        <v>500000</v>
      </c>
      <c r="S63" s="1758"/>
      <c r="T63" s="1762"/>
      <c r="U63" s="1762"/>
      <c r="V63" s="1762"/>
      <c r="W63" s="1762"/>
      <c r="X63" s="1750">
        <f t="shared" si="3"/>
        <v>500000</v>
      </c>
      <c r="Y63" s="175">
        <f t="shared" si="4"/>
        <v>0</v>
      </c>
    </row>
    <row r="64" spans="1:25" x14ac:dyDescent="0.25">
      <c r="A64" s="32"/>
      <c r="B64" s="32"/>
      <c r="C64" s="32"/>
      <c r="D64" s="32">
        <v>5</v>
      </c>
      <c r="E64" s="32">
        <v>2</v>
      </c>
      <c r="F64" s="32">
        <v>2</v>
      </c>
      <c r="G64" s="32"/>
      <c r="H64" s="32" t="str">
        <f>'BID I'!B208</f>
        <v>Belanja jasa honorarium</v>
      </c>
      <c r="I64" s="32"/>
      <c r="J64" s="66"/>
      <c r="K64" s="470" t="s">
        <v>2988</v>
      </c>
      <c r="L64" s="1753"/>
      <c r="M64" s="1753"/>
      <c r="N64" s="1753"/>
      <c r="O64" s="1753"/>
      <c r="P64" s="1758"/>
      <c r="Q64" s="1758"/>
      <c r="R64" s="1758"/>
      <c r="S64" s="1758"/>
      <c r="T64" s="1762"/>
      <c r="U64" s="1762"/>
      <c r="V64" s="1762"/>
      <c r="W64" s="1764"/>
      <c r="X64" s="1750">
        <f t="shared" si="3"/>
        <v>0</v>
      </c>
      <c r="Y64" s="175">
        <f t="shared" si="4"/>
        <v>0</v>
      </c>
    </row>
    <row r="65" spans="1:26" ht="45" x14ac:dyDescent="0.25">
      <c r="A65" s="32"/>
      <c r="B65" s="32"/>
      <c r="C65" s="32"/>
      <c r="D65" s="32"/>
      <c r="E65" s="32"/>
      <c r="F65" s="32"/>
      <c r="G65" s="1340" t="s">
        <v>2688</v>
      </c>
      <c r="H65" s="66" t="str">
        <f>'BID I'!B209</f>
        <v>Belanja jasa honorarium Tim yang melaksanakan kegiatan</v>
      </c>
      <c r="I65" s="513">
        <f>SUM('BID I'!F210:F216)</f>
        <v>65950000</v>
      </c>
      <c r="J65" s="66" t="s">
        <v>1682</v>
      </c>
      <c r="K65" s="470" t="s">
        <v>2988</v>
      </c>
      <c r="L65" s="1754">
        <v>5400000</v>
      </c>
      <c r="M65" s="1754">
        <v>5400000</v>
      </c>
      <c r="N65" s="1754">
        <v>5400000</v>
      </c>
      <c r="O65" s="1754">
        <v>5400000</v>
      </c>
      <c r="P65" s="1754">
        <v>5400000</v>
      </c>
      <c r="Q65" s="1754">
        <v>5400000</v>
      </c>
      <c r="R65" s="1754">
        <v>5400000</v>
      </c>
      <c r="S65" s="1754">
        <v>5400000</v>
      </c>
      <c r="T65" s="1754">
        <v>5400000</v>
      </c>
      <c r="U65" s="1754">
        <v>5400000</v>
      </c>
      <c r="V65" s="1754">
        <v>5400000</v>
      </c>
      <c r="W65" s="1754">
        <v>6550000</v>
      </c>
      <c r="X65" s="1750">
        <f t="shared" si="3"/>
        <v>65950000</v>
      </c>
      <c r="Y65" s="175">
        <f t="shared" si="4"/>
        <v>0</v>
      </c>
    </row>
    <row r="66" spans="1:26" x14ac:dyDescent="0.25">
      <c r="A66" s="32"/>
      <c r="B66" s="32"/>
      <c r="C66" s="32"/>
      <c r="D66" s="32">
        <v>5</v>
      </c>
      <c r="E66" s="32">
        <v>2</v>
      </c>
      <c r="F66" s="32">
        <v>3</v>
      </c>
      <c r="G66" s="1340"/>
      <c r="H66" s="66" t="str">
        <f>'BID I'!B218</f>
        <v>Belanja Perjalanan Dinas</v>
      </c>
      <c r="I66" s="513"/>
      <c r="J66" s="66"/>
      <c r="K66" s="470" t="s">
        <v>2988</v>
      </c>
      <c r="L66" s="1753"/>
      <c r="M66" s="1753"/>
      <c r="N66" s="1753"/>
      <c r="O66" s="1753"/>
      <c r="P66" s="1758"/>
      <c r="Q66" s="1758"/>
      <c r="R66" s="1758"/>
      <c r="S66" s="1758"/>
      <c r="T66" s="1762"/>
      <c r="U66" s="1762"/>
      <c r="V66" s="1762"/>
      <c r="W66" s="1762"/>
      <c r="X66" s="1750">
        <f t="shared" si="3"/>
        <v>0</v>
      </c>
      <c r="Y66" s="175">
        <f t="shared" si="4"/>
        <v>0</v>
      </c>
    </row>
    <row r="67" spans="1:26" ht="30" x14ac:dyDescent="0.25">
      <c r="A67" s="32"/>
      <c r="B67" s="32"/>
      <c r="C67" s="32"/>
      <c r="D67" s="32"/>
      <c r="E67" s="32"/>
      <c r="F67" s="32"/>
      <c r="G67" s="1340" t="s">
        <v>2702</v>
      </c>
      <c r="H67" s="66" t="str">
        <f>'BID I'!B219</f>
        <v>Perjalanan Dinas Luar Kabupaten/ Kota</v>
      </c>
      <c r="I67" s="513">
        <f>'BID I'!F219</f>
        <v>50000000</v>
      </c>
      <c r="J67" s="66" t="s">
        <v>1682</v>
      </c>
      <c r="K67" s="470" t="s">
        <v>2988</v>
      </c>
      <c r="L67" s="1753"/>
      <c r="M67" s="1753"/>
      <c r="N67" s="1753"/>
      <c r="O67" s="1753"/>
      <c r="P67" s="1759">
        <v>25000000</v>
      </c>
      <c r="Q67" s="1758"/>
      <c r="R67" s="1758"/>
      <c r="S67" s="1758"/>
      <c r="T67" s="1762"/>
      <c r="U67" s="1763">
        <v>25000000</v>
      </c>
      <c r="V67" s="1762"/>
      <c r="W67" s="1762"/>
      <c r="X67" s="1750">
        <f t="shared" si="3"/>
        <v>50000000</v>
      </c>
      <c r="Y67" s="175">
        <f t="shared" si="4"/>
        <v>0</v>
      </c>
    </row>
    <row r="68" spans="1:26" ht="30" x14ac:dyDescent="0.25">
      <c r="A68" s="32"/>
      <c r="B68" s="32"/>
      <c r="C68" s="32"/>
      <c r="D68" s="32">
        <v>5</v>
      </c>
      <c r="E68" s="32">
        <v>2</v>
      </c>
      <c r="F68" s="32">
        <v>5</v>
      </c>
      <c r="G68" s="32"/>
      <c r="H68" s="66" t="str">
        <f>'BID I'!B221</f>
        <v>Belanja Operasional Perkantoran</v>
      </c>
      <c r="I68" s="32"/>
      <c r="J68" s="66"/>
      <c r="K68" s="470" t="s">
        <v>2988</v>
      </c>
      <c r="L68" s="1753"/>
      <c r="M68" s="1753"/>
      <c r="N68" s="1753"/>
      <c r="O68" s="1753"/>
      <c r="P68" s="1758"/>
      <c r="Q68" s="1758"/>
      <c r="R68" s="1758"/>
      <c r="S68" s="1758"/>
      <c r="T68" s="1762"/>
      <c r="U68" s="1762"/>
      <c r="V68" s="1762"/>
      <c r="W68" s="1762"/>
      <c r="X68" s="1750">
        <f t="shared" si="3"/>
        <v>0</v>
      </c>
      <c r="Y68" s="175">
        <f t="shared" si="4"/>
        <v>0</v>
      </c>
    </row>
    <row r="69" spans="1:26" ht="30" x14ac:dyDescent="0.25">
      <c r="A69" s="32"/>
      <c r="B69" s="32"/>
      <c r="C69" s="32"/>
      <c r="D69" s="32"/>
      <c r="E69" s="32"/>
      <c r="F69" s="32"/>
      <c r="G69" s="1340" t="s">
        <v>2688</v>
      </c>
      <c r="H69" s="66" t="str">
        <f>'BID I'!B222</f>
        <v>Belanja jasa layanan listrik</v>
      </c>
      <c r="I69" s="513">
        <f>SUM('BID I'!F222:F223)</f>
        <v>42140000</v>
      </c>
      <c r="J69" s="66" t="s">
        <v>1682</v>
      </c>
      <c r="K69" s="470" t="s">
        <v>2988</v>
      </c>
      <c r="L69" s="1754">
        <v>3511666</v>
      </c>
      <c r="M69" s="1754">
        <v>3511666</v>
      </c>
      <c r="N69" s="1754">
        <v>3511666</v>
      </c>
      <c r="O69" s="1754">
        <v>3511666</v>
      </c>
      <c r="P69" s="1754">
        <v>3511666</v>
      </c>
      <c r="Q69" s="1754">
        <v>3511666</v>
      </c>
      <c r="R69" s="1754">
        <v>3511666</v>
      </c>
      <c r="S69" s="1754">
        <v>3511666</v>
      </c>
      <c r="T69" s="1754">
        <v>3511666</v>
      </c>
      <c r="U69" s="1754">
        <v>3511666</v>
      </c>
      <c r="V69" s="1754">
        <v>3511674</v>
      </c>
      <c r="W69" s="1754">
        <v>3511666</v>
      </c>
      <c r="X69" s="1750">
        <f t="shared" si="3"/>
        <v>42140000</v>
      </c>
      <c r="Y69" s="175">
        <f t="shared" si="4"/>
        <v>0</v>
      </c>
      <c r="Z69" s="175"/>
    </row>
    <row r="70" spans="1:26" ht="30" x14ac:dyDescent="0.25">
      <c r="A70" s="32"/>
      <c r="B70" s="32"/>
      <c r="C70" s="32"/>
      <c r="D70" s="32"/>
      <c r="E70" s="32"/>
      <c r="F70" s="32"/>
      <c r="G70" s="1340" t="s">
        <v>2703</v>
      </c>
      <c r="H70" s="66" t="str">
        <f>'BID I'!B224</f>
        <v>Belanja jasa langganan majalah/ surat kabar</v>
      </c>
      <c r="I70" s="513">
        <f>'BID I'!F224</f>
        <v>1440000</v>
      </c>
      <c r="J70" s="66" t="s">
        <v>1682</v>
      </c>
      <c r="K70" s="470" t="s">
        <v>2988</v>
      </c>
      <c r="L70" s="1754">
        <v>120000</v>
      </c>
      <c r="M70" s="1754">
        <v>120000</v>
      </c>
      <c r="N70" s="1754">
        <v>120000</v>
      </c>
      <c r="O70" s="1754">
        <v>120000</v>
      </c>
      <c r="P70" s="1754">
        <v>120000</v>
      </c>
      <c r="Q70" s="1754">
        <v>120000</v>
      </c>
      <c r="R70" s="1754">
        <v>120000</v>
      </c>
      <c r="S70" s="1754">
        <v>120000</v>
      </c>
      <c r="T70" s="1754">
        <v>120000</v>
      </c>
      <c r="U70" s="1754">
        <v>120000</v>
      </c>
      <c r="V70" s="1754">
        <v>120000</v>
      </c>
      <c r="W70" s="1754">
        <v>120000</v>
      </c>
      <c r="X70" s="1750">
        <f t="shared" si="3"/>
        <v>1440000</v>
      </c>
      <c r="Y70" s="175">
        <f t="shared" si="4"/>
        <v>0</v>
      </c>
    </row>
    <row r="71" spans="1:26" ht="30" x14ac:dyDescent="0.25">
      <c r="A71" s="32"/>
      <c r="B71" s="32"/>
      <c r="C71" s="32"/>
      <c r="D71" s="32"/>
      <c r="E71" s="32"/>
      <c r="F71" s="32"/>
      <c r="G71" s="1340" t="s">
        <v>2704</v>
      </c>
      <c r="H71" s="66" t="str">
        <f>'BID I'!B225</f>
        <v>Belanja jasa langganan telepon</v>
      </c>
      <c r="I71" s="513">
        <f>'BID I'!F225</f>
        <v>4800000</v>
      </c>
      <c r="J71" s="66" t="s">
        <v>1682</v>
      </c>
      <c r="K71" s="470" t="s">
        <v>2988</v>
      </c>
      <c r="L71" s="1754">
        <v>400000</v>
      </c>
      <c r="M71" s="1754">
        <v>400000</v>
      </c>
      <c r="N71" s="1754">
        <v>400000</v>
      </c>
      <c r="O71" s="1754">
        <v>400000</v>
      </c>
      <c r="P71" s="1754">
        <v>400000</v>
      </c>
      <c r="Q71" s="1754">
        <v>400000</v>
      </c>
      <c r="R71" s="1754">
        <v>400000</v>
      </c>
      <c r="S71" s="1754">
        <v>400000</v>
      </c>
      <c r="T71" s="1754">
        <v>400000</v>
      </c>
      <c r="U71" s="1754">
        <v>400000</v>
      </c>
      <c r="V71" s="1754">
        <v>400000</v>
      </c>
      <c r="W71" s="1754">
        <v>400000</v>
      </c>
      <c r="X71" s="1750">
        <f t="shared" si="3"/>
        <v>4800000</v>
      </c>
      <c r="Y71" s="175">
        <f t="shared" si="4"/>
        <v>0</v>
      </c>
    </row>
    <row r="72" spans="1:26" ht="30" x14ac:dyDescent="0.25">
      <c r="A72" s="32"/>
      <c r="B72" s="32"/>
      <c r="C72" s="32"/>
      <c r="D72" s="32"/>
      <c r="E72" s="32"/>
      <c r="F72" s="32"/>
      <c r="G72" s="1340" t="s">
        <v>2706</v>
      </c>
      <c r="H72" s="66" t="str">
        <f>'BID I'!B226</f>
        <v>Belanja jasa langganan internet</v>
      </c>
      <c r="I72" s="513">
        <f>'BID I'!F226</f>
        <v>15600000</v>
      </c>
      <c r="J72" s="66" t="s">
        <v>1682</v>
      </c>
      <c r="K72" s="470" t="s">
        <v>2988</v>
      </c>
      <c r="L72" s="1754">
        <v>1300000</v>
      </c>
      <c r="M72" s="1754">
        <v>1300000</v>
      </c>
      <c r="N72" s="1754">
        <v>1300000</v>
      </c>
      <c r="O72" s="1754">
        <v>1300000</v>
      </c>
      <c r="P72" s="1754">
        <v>1300000</v>
      </c>
      <c r="Q72" s="1754">
        <v>1300000</v>
      </c>
      <c r="R72" s="1754">
        <v>1300000</v>
      </c>
      <c r="S72" s="1754">
        <v>1300000</v>
      </c>
      <c r="T72" s="1754">
        <v>1300000</v>
      </c>
      <c r="U72" s="1754">
        <v>1300000</v>
      </c>
      <c r="V72" s="1754">
        <v>1300000</v>
      </c>
      <c r="W72" s="1754">
        <v>1300000</v>
      </c>
      <c r="X72" s="1750">
        <f t="shared" si="3"/>
        <v>15600000</v>
      </c>
      <c r="Y72" s="175">
        <f t="shared" si="4"/>
        <v>0</v>
      </c>
    </row>
    <row r="73" spans="1:26" ht="30" x14ac:dyDescent="0.25">
      <c r="A73" s="32"/>
      <c r="B73" s="32"/>
      <c r="C73" s="32"/>
      <c r="D73" s="32"/>
      <c r="E73" s="32"/>
      <c r="F73" s="32"/>
      <c r="G73" s="1340" t="s">
        <v>2708</v>
      </c>
      <c r="H73" s="66" t="str">
        <f>'BID I'!B227</f>
        <v>Belanja Jasa Perpanjangan ijin/ pajak</v>
      </c>
      <c r="I73" s="513">
        <f>'BID I'!F228+'BID I'!F229+'BID I'!F230+'BID I'!F231+'BID I'!F232+'BID I'!F233+'BID I'!F235</f>
        <v>57450000</v>
      </c>
      <c r="J73" s="66" t="s">
        <v>1682</v>
      </c>
      <c r="K73" s="470" t="s">
        <v>2988</v>
      </c>
      <c r="L73" s="1753"/>
      <c r="M73" s="1753"/>
      <c r="N73" s="1753"/>
      <c r="O73" s="1753"/>
      <c r="P73" s="1759">
        <v>57450000</v>
      </c>
      <c r="Q73" s="1758"/>
      <c r="R73" s="1758"/>
      <c r="S73" s="1758"/>
      <c r="T73" s="1762"/>
      <c r="U73" s="1762"/>
      <c r="V73" s="1762"/>
      <c r="W73" s="1762"/>
      <c r="X73" s="1750">
        <f t="shared" si="3"/>
        <v>57450000</v>
      </c>
      <c r="Y73" s="175">
        <f t="shared" si="4"/>
        <v>0</v>
      </c>
    </row>
    <row r="74" spans="1:26" ht="30" x14ac:dyDescent="0.25">
      <c r="A74" s="32"/>
      <c r="B74" s="32"/>
      <c r="C74" s="32"/>
      <c r="D74" s="32"/>
      <c r="E74" s="32"/>
      <c r="F74" s="32"/>
      <c r="G74" s="1340" t="s">
        <v>2708</v>
      </c>
      <c r="H74" s="66" t="str">
        <f>'BID I'!B227</f>
        <v>Belanja Jasa Perpanjangan ijin/ pajak</v>
      </c>
      <c r="I74" s="513">
        <f>'BID I'!F234</f>
        <v>300000</v>
      </c>
      <c r="J74" s="66" t="s">
        <v>2914</v>
      </c>
      <c r="K74" s="470" t="s">
        <v>2988</v>
      </c>
      <c r="L74" s="1753"/>
      <c r="M74" s="1753"/>
      <c r="N74" s="1753"/>
      <c r="O74" s="1754">
        <v>300000</v>
      </c>
      <c r="P74" s="1758"/>
      <c r="Q74" s="1758"/>
      <c r="R74" s="1758"/>
      <c r="S74" s="1758"/>
      <c r="T74" s="1762"/>
      <c r="U74" s="1762"/>
      <c r="V74" s="1762"/>
      <c r="W74" s="1762"/>
      <c r="X74" s="1750">
        <f t="shared" si="3"/>
        <v>300000</v>
      </c>
      <c r="Y74" s="175">
        <f t="shared" si="4"/>
        <v>0</v>
      </c>
    </row>
    <row r="75" spans="1:26" ht="30" x14ac:dyDescent="0.25">
      <c r="A75" s="32"/>
      <c r="B75" s="32"/>
      <c r="C75" s="32"/>
      <c r="D75" s="32"/>
      <c r="E75" s="32"/>
      <c r="F75" s="32"/>
      <c r="G75" s="1340" t="s">
        <v>2708</v>
      </c>
      <c r="H75" s="66" t="str">
        <f>'BID I'!B227</f>
        <v>Belanja Jasa Perpanjangan ijin/ pajak</v>
      </c>
      <c r="I75" s="513">
        <f>'BID I'!F236</f>
        <v>0</v>
      </c>
      <c r="J75" s="66" t="s">
        <v>2623</v>
      </c>
      <c r="K75" s="470" t="s">
        <v>2988</v>
      </c>
      <c r="L75" s="1753"/>
      <c r="M75" s="1753"/>
      <c r="N75" s="1753"/>
      <c r="O75" s="1753"/>
      <c r="P75" s="1758"/>
      <c r="Q75" s="1758"/>
      <c r="R75" s="1758"/>
      <c r="S75" s="1758"/>
      <c r="T75" s="1762"/>
      <c r="U75" s="1762"/>
      <c r="V75" s="1762"/>
      <c r="W75" s="1762"/>
      <c r="X75" s="1750">
        <f t="shared" si="3"/>
        <v>0</v>
      </c>
      <c r="Y75" s="175">
        <f t="shared" si="4"/>
        <v>0</v>
      </c>
    </row>
    <row r="76" spans="1:26" ht="30" x14ac:dyDescent="0.25">
      <c r="A76" s="32"/>
      <c r="B76" s="32"/>
      <c r="C76" s="32"/>
      <c r="D76" s="32">
        <v>5</v>
      </c>
      <c r="E76" s="32">
        <v>2</v>
      </c>
      <c r="F76" s="32">
        <v>5</v>
      </c>
      <c r="G76" s="1340">
        <v>99</v>
      </c>
      <c r="H76" s="66" t="str">
        <f>'BID I'!B237</f>
        <v>Belanja Operasional Perkantoran lainnya</v>
      </c>
      <c r="I76" s="513">
        <f>'BID I'!F238</f>
        <v>108000</v>
      </c>
      <c r="J76" s="66" t="s">
        <v>2623</v>
      </c>
      <c r="K76" s="470" t="s">
        <v>2988</v>
      </c>
      <c r="L76" s="1753">
        <v>9000</v>
      </c>
      <c r="M76" s="1753">
        <v>9000</v>
      </c>
      <c r="N76" s="1753">
        <v>9000</v>
      </c>
      <c r="O76" s="1753">
        <v>9000</v>
      </c>
      <c r="P76" s="1753">
        <v>9000</v>
      </c>
      <c r="Q76" s="1753">
        <v>9000</v>
      </c>
      <c r="R76" s="1753">
        <v>9000</v>
      </c>
      <c r="S76" s="1753">
        <v>9000</v>
      </c>
      <c r="T76" s="1753">
        <v>9000</v>
      </c>
      <c r="U76" s="1753">
        <v>9000</v>
      </c>
      <c r="V76" s="1753">
        <v>9000</v>
      </c>
      <c r="W76" s="1753">
        <v>9000</v>
      </c>
      <c r="X76" s="1750">
        <f t="shared" si="3"/>
        <v>108000</v>
      </c>
      <c r="Y76" s="175">
        <f t="shared" si="4"/>
        <v>0</v>
      </c>
    </row>
    <row r="77" spans="1:26" x14ac:dyDescent="0.25">
      <c r="A77" s="32"/>
      <c r="B77" s="32"/>
      <c r="C77" s="32"/>
      <c r="D77" s="32">
        <v>5</v>
      </c>
      <c r="E77" s="32">
        <v>2</v>
      </c>
      <c r="F77" s="32">
        <v>6</v>
      </c>
      <c r="G77" s="32"/>
      <c r="H77" s="32" t="str">
        <f>'BID I'!B239</f>
        <v>Belanja Pemeliharaan</v>
      </c>
      <c r="I77" s="32"/>
      <c r="J77" s="66"/>
      <c r="K77" s="470" t="s">
        <v>2988</v>
      </c>
      <c r="L77" s="1753"/>
      <c r="M77" s="1753"/>
      <c r="N77" s="1753"/>
      <c r="O77" s="1753"/>
      <c r="P77" s="1758"/>
      <c r="Q77" s="1758"/>
      <c r="R77" s="1758"/>
      <c r="S77" s="1758"/>
      <c r="T77" s="1762"/>
      <c r="U77" s="1762"/>
      <c r="V77" s="1762"/>
      <c r="W77" s="1762"/>
      <c r="X77" s="1750">
        <f t="shared" si="3"/>
        <v>0</v>
      </c>
      <c r="Y77" s="175">
        <f t="shared" si="4"/>
        <v>0</v>
      </c>
    </row>
    <row r="78" spans="1:26" ht="30" x14ac:dyDescent="0.25">
      <c r="A78" s="32"/>
      <c r="B78" s="32"/>
      <c r="C78" s="32"/>
      <c r="D78" s="32"/>
      <c r="E78" s="32"/>
      <c r="F78" s="32"/>
      <c r="G78" s="1340" t="s">
        <v>2702</v>
      </c>
      <c r="H78" s="66" t="str">
        <f>'BID I'!B240</f>
        <v>Belanja Pemeliharaan Kendaraan Bermotor</v>
      </c>
      <c r="I78" s="513">
        <f>SUM('BID I'!F242:F247)</f>
        <v>22050000</v>
      </c>
      <c r="J78" s="66" t="s">
        <v>1682</v>
      </c>
      <c r="K78" s="470" t="s">
        <v>2988</v>
      </c>
      <c r="L78" s="1753"/>
      <c r="M78" s="1753"/>
      <c r="N78" s="1754"/>
      <c r="O78" s="1753"/>
      <c r="P78" s="1759">
        <v>22050000</v>
      </c>
      <c r="Q78" s="1758"/>
      <c r="R78" s="1758"/>
      <c r="S78" s="1758"/>
      <c r="T78" s="1762"/>
      <c r="U78" s="1762"/>
      <c r="V78" s="1762"/>
      <c r="W78" s="1762"/>
      <c r="X78" s="1750">
        <f t="shared" si="3"/>
        <v>22050000</v>
      </c>
      <c r="Y78" s="175">
        <f t="shared" si="4"/>
        <v>0</v>
      </c>
    </row>
    <row r="79" spans="1:26" ht="30" x14ac:dyDescent="0.25">
      <c r="A79" s="32"/>
      <c r="B79" s="32"/>
      <c r="C79" s="32"/>
      <c r="D79" s="32"/>
      <c r="E79" s="32"/>
      <c r="F79" s="32"/>
      <c r="G79" s="1340" t="s">
        <v>2703</v>
      </c>
      <c r="H79" s="66" t="str">
        <f>'BID I'!B249</f>
        <v xml:space="preserve">Belanja pemeliharaan peralatan </v>
      </c>
      <c r="I79" s="513">
        <f>'BID I'!F250+'BID I'!F251+'BID I'!F252+'BID I'!F253+'BID I'!F254+'BID I'!F255+'BID I'!F256+'BID I'!F257+'BID I'!F258+'BID I'!F259+'BID I'!F260+'BID I'!F261+'BID I'!F262+'BID I'!F263+'BID I'!F264+'BID I'!F266</f>
        <v>47182931</v>
      </c>
      <c r="J79" s="66" t="s">
        <v>1682</v>
      </c>
      <c r="K79" s="470" t="s">
        <v>2988</v>
      </c>
      <c r="L79" s="1753"/>
      <c r="M79" s="1753"/>
      <c r="N79" s="1753"/>
      <c r="O79" s="1753"/>
      <c r="P79" s="1759">
        <v>7119501</v>
      </c>
      <c r="Q79" s="1758"/>
      <c r="R79" s="1758"/>
      <c r="S79" s="1758"/>
      <c r="T79" s="1762"/>
      <c r="U79" s="1763">
        <v>40063430</v>
      </c>
      <c r="V79" s="1762"/>
      <c r="W79" s="1762"/>
      <c r="X79" s="1750">
        <f t="shared" si="3"/>
        <v>47182931</v>
      </c>
      <c r="Y79" s="175">
        <f t="shared" si="4"/>
        <v>0</v>
      </c>
      <c r="Z79" s="175"/>
    </row>
    <row r="80" spans="1:26" ht="30" x14ac:dyDescent="0.25">
      <c r="A80" s="32"/>
      <c r="B80" s="32"/>
      <c r="C80" s="32"/>
      <c r="D80" s="32"/>
      <c r="E80" s="32"/>
      <c r="F80" s="32"/>
      <c r="G80" s="1340" t="s">
        <v>2703</v>
      </c>
      <c r="H80" s="66" t="str">
        <f>'BID I'!B249</f>
        <v xml:space="preserve">Belanja pemeliharaan peralatan </v>
      </c>
      <c r="I80" s="513">
        <f>'BID I'!F265</f>
        <v>14976369</v>
      </c>
      <c r="J80" s="66" t="s">
        <v>2639</v>
      </c>
      <c r="K80" s="470" t="s">
        <v>2988</v>
      </c>
      <c r="L80" s="1753"/>
      <c r="M80" s="1753"/>
      <c r="N80" s="1753"/>
      <c r="O80" s="1754">
        <v>14976369</v>
      </c>
      <c r="P80" s="1758"/>
      <c r="Q80" s="1758"/>
      <c r="R80" s="1758"/>
      <c r="S80" s="1758"/>
      <c r="T80" s="1762"/>
      <c r="U80" s="1762"/>
      <c r="V80" s="1762"/>
      <c r="W80" s="1762"/>
      <c r="X80" s="1750">
        <f t="shared" si="3"/>
        <v>14976369</v>
      </c>
      <c r="Y80" s="175">
        <f t="shared" si="4"/>
        <v>0</v>
      </c>
    </row>
    <row r="81" spans="1:25" ht="60" x14ac:dyDescent="0.25">
      <c r="A81" s="32"/>
      <c r="B81" s="32"/>
      <c r="C81" s="32"/>
      <c r="D81" s="32"/>
      <c r="E81" s="32"/>
      <c r="F81" s="32"/>
      <c r="G81" s="1340" t="s">
        <v>2707</v>
      </c>
      <c r="H81" s="66" t="str">
        <f>'BID I'!B268</f>
        <v>Belanja pemeliharaan jaringan dan instalasi ( Lisrik, Telepon, Internet, Kominikasi, Dll)</v>
      </c>
      <c r="I81" s="513">
        <f>SUM('BID I'!F269:F274)</f>
        <v>11031449</v>
      </c>
      <c r="J81" s="66" t="s">
        <v>1682</v>
      </c>
      <c r="K81" s="470" t="s">
        <v>2988</v>
      </c>
      <c r="L81" s="1754">
        <v>919287</v>
      </c>
      <c r="M81" s="1754">
        <v>919287</v>
      </c>
      <c r="N81" s="1754">
        <v>919287</v>
      </c>
      <c r="O81" s="1754">
        <v>919287</v>
      </c>
      <c r="P81" s="1759">
        <v>919287</v>
      </c>
      <c r="Q81" s="1759">
        <v>919287</v>
      </c>
      <c r="R81" s="1759">
        <v>919287</v>
      </c>
      <c r="S81" s="1759">
        <v>919287</v>
      </c>
      <c r="T81" s="1763">
        <v>919287</v>
      </c>
      <c r="U81" s="1763">
        <v>919287</v>
      </c>
      <c r="V81" s="1763">
        <v>919287</v>
      </c>
      <c r="W81" s="1763">
        <v>919292</v>
      </c>
      <c r="X81" s="1750">
        <f t="shared" si="3"/>
        <v>11031449</v>
      </c>
      <c r="Y81" s="175">
        <f t="shared" si="4"/>
        <v>0</v>
      </c>
    </row>
    <row r="82" spans="1:25" ht="45" x14ac:dyDescent="0.25">
      <c r="A82" s="1344">
        <v>1</v>
      </c>
      <c r="B82" s="1344">
        <v>1</v>
      </c>
      <c r="C82" s="1346" t="s">
        <v>2704</v>
      </c>
      <c r="D82" s="1344"/>
      <c r="E82" s="1344"/>
      <c r="F82" s="1344"/>
      <c r="G82" s="1344"/>
      <c r="H82" s="1345" t="str">
        <f>'BID I'!B293</f>
        <v>: Penyediaan Oprasional Pemerinthanan Desa ( Kegiatan Rapat - Rapat)</v>
      </c>
      <c r="I82" s="1347">
        <f>SUM(I83:I86)</f>
        <v>25560000</v>
      </c>
      <c r="J82" s="1345" t="s">
        <v>2620</v>
      </c>
      <c r="K82" s="1347" t="s">
        <v>2988</v>
      </c>
      <c r="L82" s="1344"/>
      <c r="M82" s="1344"/>
      <c r="N82" s="1344"/>
      <c r="O82" s="1344"/>
      <c r="P82" s="1344"/>
      <c r="Q82" s="1344"/>
      <c r="R82" s="1344"/>
      <c r="S82" s="1344"/>
      <c r="T82" s="1344"/>
      <c r="U82" s="1344"/>
      <c r="V82" s="1344"/>
      <c r="W82" s="1344"/>
      <c r="X82" s="1353">
        <f t="shared" si="3"/>
        <v>0</v>
      </c>
      <c r="Y82" s="175">
        <f t="shared" si="4"/>
        <v>-25560000</v>
      </c>
    </row>
    <row r="83" spans="1:25" x14ac:dyDescent="0.25">
      <c r="A83" s="32"/>
      <c r="B83" s="32"/>
      <c r="C83" s="32"/>
      <c r="D83" s="32">
        <v>5</v>
      </c>
      <c r="E83" s="32">
        <v>2</v>
      </c>
      <c r="F83" s="32"/>
      <c r="G83" s="32"/>
      <c r="H83" s="66" t="str">
        <f>'BID I'!B298</f>
        <v>Belanja Barang Jasa :</v>
      </c>
      <c r="I83" s="32"/>
      <c r="J83" s="66"/>
      <c r="K83" s="470" t="s">
        <v>2988</v>
      </c>
      <c r="L83" s="1753"/>
      <c r="M83" s="1753"/>
      <c r="N83" s="1753"/>
      <c r="O83" s="1753"/>
      <c r="P83" s="1758"/>
      <c r="Q83" s="1758"/>
      <c r="R83" s="1758"/>
      <c r="S83" s="1758"/>
      <c r="T83" s="1762"/>
      <c r="U83" s="1762"/>
      <c r="V83" s="1762"/>
      <c r="W83" s="1762"/>
      <c r="X83" s="1750">
        <f t="shared" si="3"/>
        <v>0</v>
      </c>
      <c r="Y83" s="175">
        <f t="shared" si="4"/>
        <v>0</v>
      </c>
    </row>
    <row r="84" spans="1:25" ht="30" x14ac:dyDescent="0.25">
      <c r="A84" s="32"/>
      <c r="B84" s="32"/>
      <c r="C84" s="32"/>
      <c r="D84" s="32"/>
      <c r="E84" s="32"/>
      <c r="F84" s="32">
        <v>1</v>
      </c>
      <c r="G84" s="32"/>
      <c r="H84" s="66" t="str">
        <f>'BID I'!B299</f>
        <v>Belanja Barang Perlengkapan</v>
      </c>
      <c r="I84" s="32"/>
      <c r="J84" s="66"/>
      <c r="K84" s="470" t="s">
        <v>2988</v>
      </c>
      <c r="L84" s="1753"/>
      <c r="M84" s="1753"/>
      <c r="N84" s="1753"/>
      <c r="O84" s="1753"/>
      <c r="P84" s="1758"/>
      <c r="Q84" s="1758"/>
      <c r="R84" s="1758"/>
      <c r="S84" s="1758"/>
      <c r="T84" s="1762"/>
      <c r="U84" s="1762"/>
      <c r="V84" s="1762"/>
      <c r="W84" s="1762"/>
      <c r="X84" s="1750">
        <f t="shared" si="3"/>
        <v>0</v>
      </c>
      <c r="Y84" s="175">
        <f t="shared" si="4"/>
        <v>0</v>
      </c>
    </row>
    <row r="85" spans="1:25" ht="60" x14ac:dyDescent="0.25">
      <c r="A85" s="32"/>
      <c r="B85" s="32"/>
      <c r="C85" s="32"/>
      <c r="D85" s="32"/>
      <c r="E85" s="32"/>
      <c r="F85" s="32"/>
      <c r="G85" s="1340" t="s">
        <v>2705</v>
      </c>
      <c r="H85" s="66" t="str">
        <f>'BID I'!B300</f>
        <v>Belanja Perlengkapan barang konsumsi (makan/minum) - Belanja barang konsumsi</v>
      </c>
      <c r="I85" s="513">
        <f>SUM('BID I'!F301)</f>
        <v>23220000</v>
      </c>
      <c r="J85" s="66" t="s">
        <v>2620</v>
      </c>
      <c r="K85" s="470" t="s">
        <v>2988</v>
      </c>
      <c r="L85" s="1753"/>
      <c r="M85" s="1753"/>
      <c r="N85" s="1753"/>
      <c r="O85" s="1753"/>
      <c r="P85" s="1758"/>
      <c r="Q85" s="1758"/>
      <c r="R85" s="1758"/>
      <c r="S85" s="1758"/>
      <c r="T85" s="1762"/>
      <c r="U85" s="1762"/>
      <c r="V85" s="1762"/>
      <c r="W85" s="1762"/>
      <c r="X85" s="1750">
        <f t="shared" si="3"/>
        <v>0</v>
      </c>
      <c r="Y85" s="175">
        <f t="shared" si="4"/>
        <v>-23220000</v>
      </c>
    </row>
    <row r="86" spans="1:25" ht="30" x14ac:dyDescent="0.25">
      <c r="A86" s="32"/>
      <c r="B86" s="32"/>
      <c r="C86" s="32"/>
      <c r="D86" s="32"/>
      <c r="E86" s="32"/>
      <c r="F86" s="32"/>
      <c r="G86" s="32">
        <v>90</v>
      </c>
      <c r="H86" s="66" t="str">
        <f>'BID I'!B303</f>
        <v>Belanja Upakara, Upacara Dan Aci-aci</v>
      </c>
      <c r="I86" s="174">
        <f>SUM('BID I'!F304:F306)</f>
        <v>2340000</v>
      </c>
      <c r="J86" s="66" t="s">
        <v>2620</v>
      </c>
      <c r="K86" s="470" t="s">
        <v>2988</v>
      </c>
      <c r="L86" s="1753"/>
      <c r="M86" s="1753"/>
      <c r="N86" s="1753"/>
      <c r="O86" s="1753"/>
      <c r="P86" s="1758"/>
      <c r="Q86" s="1758"/>
      <c r="R86" s="1758"/>
      <c r="S86" s="1758"/>
      <c r="T86" s="1762"/>
      <c r="U86" s="1762"/>
      <c r="V86" s="1762"/>
      <c r="W86" s="1762"/>
      <c r="X86" s="1750">
        <f t="shared" si="3"/>
        <v>0</v>
      </c>
      <c r="Y86" s="175">
        <f t="shared" si="4"/>
        <v>-2340000</v>
      </c>
    </row>
    <row r="87" spans="1:25" ht="30" x14ac:dyDescent="0.25">
      <c r="A87" s="1344">
        <v>1</v>
      </c>
      <c r="B87" s="1344">
        <v>1</v>
      </c>
      <c r="C87" s="1346" t="s">
        <v>2706</v>
      </c>
      <c r="D87" s="1344"/>
      <c r="E87" s="1344"/>
      <c r="F87" s="1344"/>
      <c r="G87" s="1344"/>
      <c r="H87" s="1345" t="str">
        <f>'BID I'!B323</f>
        <v>: Penyediaan tunjangan BPD</v>
      </c>
      <c r="I87" s="1347">
        <f>SUM(I88:I90)</f>
        <v>410200000</v>
      </c>
      <c r="J87" s="1345" t="s">
        <v>2620</v>
      </c>
      <c r="K87" s="1347" t="s">
        <v>2988</v>
      </c>
      <c r="L87" s="1344"/>
      <c r="M87" s="1344"/>
      <c r="N87" s="1344"/>
      <c r="O87" s="1344"/>
      <c r="P87" s="1344"/>
      <c r="Q87" s="1344"/>
      <c r="R87" s="1344"/>
      <c r="S87" s="1344"/>
      <c r="T87" s="1344"/>
      <c r="U87" s="1344"/>
      <c r="V87" s="1344"/>
      <c r="W87" s="1344"/>
      <c r="X87" s="1353">
        <f t="shared" si="3"/>
        <v>0</v>
      </c>
      <c r="Y87" s="175">
        <f t="shared" si="4"/>
        <v>-410200000</v>
      </c>
    </row>
    <row r="88" spans="1:25" x14ac:dyDescent="0.25">
      <c r="A88" s="32"/>
      <c r="B88" s="32"/>
      <c r="C88" s="32"/>
      <c r="D88" s="32">
        <v>5</v>
      </c>
      <c r="E88" s="32">
        <v>1</v>
      </c>
      <c r="F88" s="32"/>
      <c r="G88" s="32"/>
      <c r="H88" s="32" t="str">
        <f>'BID I'!B329</f>
        <v>Belanja Pegawai</v>
      </c>
      <c r="I88" s="32"/>
      <c r="J88" s="66"/>
      <c r="K88" s="470" t="s">
        <v>2988</v>
      </c>
      <c r="L88" s="1753"/>
      <c r="M88" s="1753"/>
      <c r="N88" s="1753"/>
      <c r="O88" s="1753"/>
      <c r="P88" s="1758"/>
      <c r="Q88" s="1758"/>
      <c r="R88" s="1758"/>
      <c r="S88" s="1758"/>
      <c r="T88" s="1762"/>
      <c r="U88" s="1762"/>
      <c r="V88" s="1762"/>
      <c r="W88" s="1762"/>
      <c r="X88" s="1750">
        <f t="shared" si="3"/>
        <v>0</v>
      </c>
      <c r="Y88" s="175">
        <f t="shared" si="4"/>
        <v>0</v>
      </c>
    </row>
    <row r="89" spans="1:25" x14ac:dyDescent="0.25">
      <c r="A89" s="32"/>
      <c r="B89" s="32"/>
      <c r="C89" s="32"/>
      <c r="D89" s="32"/>
      <c r="E89" s="32"/>
      <c r="F89" s="32">
        <v>4</v>
      </c>
      <c r="G89" s="32"/>
      <c r="H89" s="32" t="str">
        <f>'BID I'!B330</f>
        <v>Tunjangan BPD</v>
      </c>
      <c r="I89" s="32"/>
      <c r="J89" s="66"/>
      <c r="K89" s="470" t="s">
        <v>2988</v>
      </c>
      <c r="L89" s="1753"/>
      <c r="M89" s="1753"/>
      <c r="N89" s="1753"/>
      <c r="O89" s="1753"/>
      <c r="P89" s="1758"/>
      <c r="Q89" s="1758"/>
      <c r="R89" s="1758"/>
      <c r="S89" s="1758"/>
      <c r="T89" s="1762"/>
      <c r="U89" s="1762"/>
      <c r="V89" s="1762"/>
      <c r="W89" s="1762"/>
      <c r="X89" s="1750">
        <f t="shared" si="3"/>
        <v>0</v>
      </c>
      <c r="Y89" s="175">
        <f t="shared" si="4"/>
        <v>0</v>
      </c>
    </row>
    <row r="90" spans="1:25" x14ac:dyDescent="0.25">
      <c r="A90" s="32"/>
      <c r="B90" s="32"/>
      <c r="C90" s="32"/>
      <c r="D90" s="32"/>
      <c r="E90" s="32"/>
      <c r="F90" s="32"/>
      <c r="G90" s="1340" t="s">
        <v>2688</v>
      </c>
      <c r="H90" s="32" t="str">
        <f>'BID I'!B331</f>
        <v>Tunjangan Kedudukan BPD</v>
      </c>
      <c r="I90" s="513">
        <f>'BID I'!F332+'BID I'!F333+'BID I'!F334+'BID I'!F336+'BID I'!F337+'BID I'!F338+'BID I'!F340+'BID I'!F341+'BID I'!F342+'BID I'!F345+'BID I'!F346+'BID I'!F347</f>
        <v>410200000</v>
      </c>
      <c r="J90" s="66" t="s">
        <v>2620</v>
      </c>
      <c r="K90" s="470" t="s">
        <v>2988</v>
      </c>
      <c r="L90" s="1753"/>
      <c r="M90" s="1753"/>
      <c r="N90" s="1753"/>
      <c r="O90" s="1753"/>
      <c r="P90" s="1758"/>
      <c r="Q90" s="1758"/>
      <c r="R90" s="1758"/>
      <c r="S90" s="1758"/>
      <c r="T90" s="1762"/>
      <c r="U90" s="1762"/>
      <c r="V90" s="1762"/>
      <c r="W90" s="1762"/>
      <c r="X90" s="1750">
        <f t="shared" ref="X90:X153" si="5">SUM(L90:W90)</f>
        <v>0</v>
      </c>
      <c r="Y90" s="175">
        <f t="shared" ref="Y90:Y153" si="6">X90-I90</f>
        <v>-410200000</v>
      </c>
    </row>
    <row r="91" spans="1:25" ht="30" x14ac:dyDescent="0.25">
      <c r="A91" s="1344">
        <v>1</v>
      </c>
      <c r="B91" s="1344">
        <v>1</v>
      </c>
      <c r="C91" s="1346" t="s">
        <v>2705</v>
      </c>
      <c r="D91" s="1344"/>
      <c r="E91" s="1344"/>
      <c r="F91" s="1344"/>
      <c r="G91" s="1344"/>
      <c r="H91" s="1345" t="str">
        <f>'BID I'!B365</f>
        <v>: Penyediaan Operasional BPD</v>
      </c>
      <c r="I91" s="1347">
        <f>SUM(I92:I97)</f>
        <v>15999000</v>
      </c>
      <c r="J91" s="1345" t="s">
        <v>1682</v>
      </c>
      <c r="K91" s="1347" t="s">
        <v>2988</v>
      </c>
      <c r="L91" s="1347"/>
      <c r="M91" s="1347"/>
      <c r="N91" s="1344"/>
      <c r="O91" s="1344"/>
      <c r="P91" s="1347"/>
      <c r="Q91" s="1353"/>
      <c r="R91" s="1349">
        <f>P91-Q91</f>
        <v>0</v>
      </c>
      <c r="S91" s="1344"/>
      <c r="T91" s="1344"/>
      <c r="U91" s="1344"/>
      <c r="V91" s="1344"/>
      <c r="W91" s="1344"/>
      <c r="X91" s="1353">
        <f t="shared" si="5"/>
        <v>0</v>
      </c>
      <c r="Y91" s="175">
        <f t="shared" si="6"/>
        <v>-15999000</v>
      </c>
    </row>
    <row r="92" spans="1:25" x14ac:dyDescent="0.25">
      <c r="A92" s="32"/>
      <c r="B92" s="32"/>
      <c r="C92" s="32"/>
      <c r="D92" s="32">
        <v>5</v>
      </c>
      <c r="E92" s="32">
        <v>2</v>
      </c>
      <c r="F92" s="32"/>
      <c r="G92" s="32"/>
      <c r="H92" s="66" t="str">
        <f>'BID I'!B371</f>
        <v>Belanja Barang Jasa :</v>
      </c>
      <c r="I92" s="32"/>
      <c r="J92" s="66"/>
      <c r="K92" s="470" t="s">
        <v>2988</v>
      </c>
      <c r="L92" s="1753"/>
      <c r="M92" s="1753"/>
      <c r="N92" s="1754"/>
      <c r="O92" s="1753"/>
      <c r="P92" s="1759"/>
      <c r="Q92" s="1759"/>
      <c r="R92" s="1759">
        <f t="shared" ref="R92:S92" si="7">SUM(R93:R97)</f>
        <v>0</v>
      </c>
      <c r="S92" s="1759">
        <f t="shared" si="7"/>
        <v>0</v>
      </c>
      <c r="T92" s="1762"/>
      <c r="U92" s="1762"/>
      <c r="V92" s="1762"/>
      <c r="W92" s="1762"/>
      <c r="X92" s="1750">
        <f t="shared" si="5"/>
        <v>0</v>
      </c>
      <c r="Y92" s="175">
        <f t="shared" si="6"/>
        <v>0</v>
      </c>
    </row>
    <row r="93" spans="1:25" ht="30" x14ac:dyDescent="0.25">
      <c r="A93" s="32"/>
      <c r="B93" s="32"/>
      <c r="C93" s="32"/>
      <c r="D93" s="32"/>
      <c r="E93" s="32"/>
      <c r="F93" s="32">
        <v>1</v>
      </c>
      <c r="G93" s="32"/>
      <c r="H93" s="66" t="str">
        <f>'BID I'!B372</f>
        <v>Belanja Barang Perlengkapan</v>
      </c>
      <c r="I93" s="32"/>
      <c r="J93" s="66"/>
      <c r="K93" s="470" t="s">
        <v>2988</v>
      </c>
      <c r="L93" s="1753"/>
      <c r="M93" s="1753"/>
      <c r="N93" s="1753"/>
      <c r="O93" s="1753"/>
      <c r="P93" s="1758"/>
      <c r="Q93" s="1758"/>
      <c r="R93" s="1758"/>
      <c r="S93" s="1758"/>
      <c r="T93" s="1762"/>
      <c r="U93" s="1762"/>
      <c r="V93" s="1762"/>
      <c r="W93" s="1762"/>
      <c r="X93" s="1750">
        <f t="shared" si="5"/>
        <v>0</v>
      </c>
      <c r="Y93" s="175">
        <f t="shared" si="6"/>
        <v>0</v>
      </c>
    </row>
    <row r="94" spans="1:25" ht="30" x14ac:dyDescent="0.25">
      <c r="A94" s="32"/>
      <c r="B94" s="32"/>
      <c r="C94" s="32"/>
      <c r="D94" s="32"/>
      <c r="E94" s="32"/>
      <c r="F94" s="32"/>
      <c r="G94" s="1340" t="s">
        <v>2688</v>
      </c>
      <c r="H94" s="66" t="str">
        <f>'BID I'!B373</f>
        <v>Belanja alat tulis kantor dan benda pos</v>
      </c>
      <c r="I94" s="174">
        <f>SUM('BID I'!F374:F378)</f>
        <v>4329000</v>
      </c>
      <c r="J94" s="66" t="s">
        <v>1682</v>
      </c>
      <c r="K94" s="470" t="s">
        <v>2988</v>
      </c>
      <c r="L94" s="1753"/>
      <c r="M94" s="1753"/>
      <c r="N94" s="1753"/>
      <c r="O94" s="1753"/>
      <c r="P94" s="1759"/>
      <c r="Q94" s="1758"/>
      <c r="R94" s="1758"/>
      <c r="S94" s="1758"/>
      <c r="T94" s="1762"/>
      <c r="U94" s="1762"/>
      <c r="V94" s="1763">
        <v>4329000</v>
      </c>
      <c r="W94" s="1762"/>
      <c r="X94" s="1750">
        <f t="shared" si="5"/>
        <v>4329000</v>
      </c>
      <c r="Y94" s="175">
        <f t="shared" si="6"/>
        <v>0</v>
      </c>
    </row>
    <row r="95" spans="1:25" ht="60" x14ac:dyDescent="0.25">
      <c r="A95" s="32"/>
      <c r="B95" s="32"/>
      <c r="C95" s="32"/>
      <c r="D95" s="32"/>
      <c r="E95" s="32"/>
      <c r="F95" s="32"/>
      <c r="G95" s="1340" t="s">
        <v>2705</v>
      </c>
      <c r="H95" s="66" t="str">
        <f>'BID I'!B380</f>
        <v>Belanja perlengkapan barang konsumsi (makan/ minum) Belanja Barang konsumsi</v>
      </c>
      <c r="I95" s="174">
        <f>SUM('BID I'!F381:F382)</f>
        <v>4140000</v>
      </c>
      <c r="J95" s="66" t="s">
        <v>1682</v>
      </c>
      <c r="K95" s="470" t="s">
        <v>2988</v>
      </c>
      <c r="L95" s="1753"/>
      <c r="M95" s="1753"/>
      <c r="N95" s="1754">
        <v>2000000</v>
      </c>
      <c r="O95" s="1753"/>
      <c r="P95" s="1759">
        <v>1550000</v>
      </c>
      <c r="Q95" s="1758"/>
      <c r="R95" s="1758"/>
      <c r="S95" s="1758"/>
      <c r="T95" s="1762"/>
      <c r="U95" s="1762"/>
      <c r="V95" s="1763">
        <v>590000</v>
      </c>
      <c r="W95" s="1762"/>
      <c r="X95" s="1750">
        <f t="shared" si="5"/>
        <v>4140000</v>
      </c>
      <c r="Y95" s="175">
        <f t="shared" si="6"/>
        <v>0</v>
      </c>
    </row>
    <row r="96" spans="1:25" ht="30" x14ac:dyDescent="0.25">
      <c r="A96" s="32"/>
      <c r="B96" s="32"/>
      <c r="C96" s="32"/>
      <c r="D96" s="32"/>
      <c r="E96" s="32"/>
      <c r="F96" s="32"/>
      <c r="G96" s="1340" t="s">
        <v>2709</v>
      </c>
      <c r="H96" s="66" t="str">
        <f>'BID I'!B384</f>
        <v>Belanja Pakaian Dinas/ seragam/ atribut</v>
      </c>
      <c r="I96" s="174">
        <f>'BID I'!F385</f>
        <v>6750000</v>
      </c>
      <c r="J96" s="66" t="s">
        <v>1682</v>
      </c>
      <c r="K96" s="470" t="s">
        <v>2988</v>
      </c>
      <c r="L96" s="1753"/>
      <c r="M96" s="1753"/>
      <c r="N96" s="1754">
        <v>3000000</v>
      </c>
      <c r="O96" s="1753"/>
      <c r="P96" s="1759">
        <v>3750000</v>
      </c>
      <c r="Q96" s="1758"/>
      <c r="R96" s="1758"/>
      <c r="S96" s="1758"/>
      <c r="T96" s="1762"/>
      <c r="U96" s="1762"/>
      <c r="V96" s="1762"/>
      <c r="W96" s="1762"/>
      <c r="X96" s="1750">
        <f t="shared" si="5"/>
        <v>6750000</v>
      </c>
      <c r="Y96" s="175">
        <f t="shared" si="6"/>
        <v>0</v>
      </c>
    </row>
    <row r="97" spans="1:25" ht="30" x14ac:dyDescent="0.25">
      <c r="A97" s="32"/>
      <c r="B97" s="32"/>
      <c r="C97" s="32"/>
      <c r="D97" s="32"/>
      <c r="E97" s="32"/>
      <c r="F97" s="32"/>
      <c r="G97" s="32">
        <v>90</v>
      </c>
      <c r="H97" s="66" t="str">
        <f>'BID I'!B387</f>
        <v>Belanja Upakara, Upacara Dan Aci</v>
      </c>
      <c r="I97" s="174">
        <f>SUM('BID I'!F388:F389)</f>
        <v>780000</v>
      </c>
      <c r="J97" s="66" t="s">
        <v>1682</v>
      </c>
      <c r="K97" s="470" t="s">
        <v>2988</v>
      </c>
      <c r="L97" s="1753"/>
      <c r="M97" s="1753"/>
      <c r="N97" s="1754">
        <v>300000</v>
      </c>
      <c r="O97" s="1753"/>
      <c r="P97" s="1758"/>
      <c r="Q97" s="1758"/>
      <c r="R97" s="1758"/>
      <c r="S97" s="1758"/>
      <c r="T97" s="1762"/>
      <c r="U97" s="1762"/>
      <c r="V97" s="1763">
        <v>480000</v>
      </c>
      <c r="W97" s="1762"/>
      <c r="X97" s="1750">
        <f t="shared" si="5"/>
        <v>780000</v>
      </c>
      <c r="Y97" s="175">
        <f t="shared" si="6"/>
        <v>0</v>
      </c>
    </row>
    <row r="98" spans="1:25" ht="30" x14ac:dyDescent="0.25">
      <c r="A98" s="1344">
        <v>1</v>
      </c>
      <c r="B98" s="1344">
        <v>1</v>
      </c>
      <c r="C98" s="1346" t="s">
        <v>2705</v>
      </c>
      <c r="D98" s="1344"/>
      <c r="E98" s="1344"/>
      <c r="F98" s="1344"/>
      <c r="G98" s="1344"/>
      <c r="H98" s="1345" t="str">
        <f>'BID I'!B406</f>
        <v>: Penyediaan Operasional BPD (Musyawarah BPD)</v>
      </c>
      <c r="I98" s="1347">
        <f>SUM(I99:I103)</f>
        <v>12400000</v>
      </c>
      <c r="J98" s="1345" t="s">
        <v>2620</v>
      </c>
      <c r="K98" s="1347" t="s">
        <v>2988</v>
      </c>
      <c r="L98" s="1344"/>
      <c r="M98" s="1344"/>
      <c r="N98" s="1344"/>
      <c r="O98" s="1344"/>
      <c r="P98" s="1344"/>
      <c r="Q98" s="1344"/>
      <c r="R98" s="1344"/>
      <c r="S98" s="1344"/>
      <c r="T98" s="1344"/>
      <c r="U98" s="1344"/>
      <c r="V98" s="1344"/>
      <c r="W98" s="1344"/>
      <c r="X98" s="1353">
        <f t="shared" si="5"/>
        <v>0</v>
      </c>
      <c r="Y98" s="175">
        <f t="shared" si="6"/>
        <v>-12400000</v>
      </c>
    </row>
    <row r="99" spans="1:25" x14ac:dyDescent="0.25">
      <c r="A99" s="32"/>
      <c r="B99" s="32"/>
      <c r="C99" s="32"/>
      <c r="D99" s="32">
        <v>5</v>
      </c>
      <c r="E99" s="32">
        <v>2</v>
      </c>
      <c r="F99" s="32"/>
      <c r="G99" s="32"/>
      <c r="H99" s="66" t="str">
        <f>'BID I'!B412</f>
        <v>Belanja Barang Jasa</v>
      </c>
      <c r="I99" s="32"/>
      <c r="J99" s="66"/>
      <c r="K99" s="470" t="s">
        <v>2988</v>
      </c>
      <c r="L99" s="1753"/>
      <c r="M99" s="1753"/>
      <c r="N99" s="1753"/>
      <c r="O99" s="1753"/>
      <c r="P99" s="1758"/>
      <c r="Q99" s="1758"/>
      <c r="R99" s="1758"/>
      <c r="S99" s="1758"/>
      <c r="T99" s="1762"/>
      <c r="U99" s="1762"/>
      <c r="V99" s="1762"/>
      <c r="W99" s="1762"/>
      <c r="X99" s="1750">
        <f t="shared" si="5"/>
        <v>0</v>
      </c>
      <c r="Y99" s="175">
        <f t="shared" si="6"/>
        <v>0</v>
      </c>
    </row>
    <row r="100" spans="1:25" ht="30" x14ac:dyDescent="0.25">
      <c r="A100" s="32"/>
      <c r="B100" s="32"/>
      <c r="C100" s="32"/>
      <c r="D100" s="32"/>
      <c r="E100" s="32"/>
      <c r="F100" s="32">
        <v>1</v>
      </c>
      <c r="G100" s="32"/>
      <c r="H100" s="66" t="str">
        <f>'BID I'!B413</f>
        <v>Belanja Barang Perlengkapan</v>
      </c>
      <c r="I100" s="32"/>
      <c r="J100" s="66"/>
      <c r="K100" s="470" t="s">
        <v>2988</v>
      </c>
      <c r="L100" s="1753"/>
      <c r="M100" s="1753"/>
      <c r="N100" s="1753"/>
      <c r="O100" s="1753"/>
      <c r="P100" s="1758"/>
      <c r="Q100" s="1758"/>
      <c r="R100" s="1758"/>
      <c r="S100" s="1758"/>
      <c r="T100" s="1762"/>
      <c r="U100" s="1762"/>
      <c r="V100" s="1762"/>
      <c r="W100" s="1762"/>
      <c r="X100" s="1750">
        <f t="shared" si="5"/>
        <v>0</v>
      </c>
      <c r="Y100" s="175">
        <f t="shared" si="6"/>
        <v>0</v>
      </c>
    </row>
    <row r="101" spans="1:25" ht="45" x14ac:dyDescent="0.25">
      <c r="A101" s="32"/>
      <c r="B101" s="32"/>
      <c r="C101" s="32"/>
      <c r="D101" s="32"/>
      <c r="E101" s="32"/>
      <c r="F101" s="32"/>
      <c r="G101" s="1340" t="s">
        <v>2688</v>
      </c>
      <c r="H101" s="66" t="str">
        <f>'BID I'!B414</f>
        <v>Belanja Perlengkapan Alat Tulis Kantor dan Benda Pos</v>
      </c>
      <c r="I101" s="174">
        <f>SUM('BID I'!F416:F417)</f>
        <v>5720000</v>
      </c>
      <c r="J101" s="66" t="s">
        <v>2620</v>
      </c>
      <c r="K101" s="470" t="s">
        <v>2988</v>
      </c>
      <c r="L101" s="1753"/>
      <c r="M101" s="1753"/>
      <c r="N101" s="1753"/>
      <c r="O101" s="1753"/>
      <c r="P101" s="1758"/>
      <c r="Q101" s="1758"/>
      <c r="R101" s="1758"/>
      <c r="S101" s="1758"/>
      <c r="T101" s="1762"/>
      <c r="U101" s="1762"/>
      <c r="V101" s="1762"/>
      <c r="W101" s="1762"/>
      <c r="X101" s="1750">
        <f t="shared" si="5"/>
        <v>0</v>
      </c>
      <c r="Y101" s="175">
        <f t="shared" si="6"/>
        <v>-5720000</v>
      </c>
    </row>
    <row r="102" spans="1:25" ht="60" x14ac:dyDescent="0.25">
      <c r="A102" s="32"/>
      <c r="B102" s="32"/>
      <c r="C102" s="32"/>
      <c r="D102" s="32"/>
      <c r="E102" s="32"/>
      <c r="F102" s="32"/>
      <c r="G102" s="1340" t="s">
        <v>2705</v>
      </c>
      <c r="H102" s="66" t="str">
        <f>'BID I'!B419</f>
        <v>Belanja perlengkapan barang konsumsi (makan/minum)- Belanja Barang Konsumsi</v>
      </c>
      <c r="I102" s="174">
        <f>'BID I'!F420</f>
        <v>6000000</v>
      </c>
      <c r="J102" s="66" t="s">
        <v>2620</v>
      </c>
      <c r="K102" s="470" t="s">
        <v>2988</v>
      </c>
      <c r="L102" s="1753"/>
      <c r="M102" s="1753"/>
      <c r="N102" s="1753"/>
      <c r="O102" s="1753"/>
      <c r="P102" s="1758"/>
      <c r="Q102" s="1758"/>
      <c r="R102" s="1758"/>
      <c r="S102" s="1758"/>
      <c r="T102" s="1762"/>
      <c r="U102" s="1762"/>
      <c r="V102" s="1762"/>
      <c r="W102" s="1762"/>
      <c r="X102" s="1750">
        <f t="shared" si="5"/>
        <v>0</v>
      </c>
      <c r="Y102" s="175">
        <f t="shared" si="6"/>
        <v>-6000000</v>
      </c>
    </row>
    <row r="103" spans="1:25" ht="30" x14ac:dyDescent="0.25">
      <c r="A103" s="32"/>
      <c r="B103" s="32"/>
      <c r="C103" s="32"/>
      <c r="D103" s="32"/>
      <c r="E103" s="32"/>
      <c r="F103" s="32"/>
      <c r="G103" s="32">
        <v>90</v>
      </c>
      <c r="H103" s="66" t="str">
        <f>'BID I'!B422</f>
        <v>Belanja Upakara, Upacara Dan Aci- Aci</v>
      </c>
      <c r="I103" s="174">
        <f>SUM('BID I'!F423:F426)</f>
        <v>680000</v>
      </c>
      <c r="J103" s="66" t="s">
        <v>2620</v>
      </c>
      <c r="K103" s="470" t="s">
        <v>2988</v>
      </c>
      <c r="L103" s="1753"/>
      <c r="M103" s="1753"/>
      <c r="N103" s="1753"/>
      <c r="O103" s="1753"/>
      <c r="P103" s="1758"/>
      <c r="Q103" s="1758"/>
      <c r="R103" s="1758"/>
      <c r="S103" s="1758"/>
      <c r="T103" s="1762"/>
      <c r="U103" s="1762"/>
      <c r="V103" s="1762"/>
      <c r="W103" s="1762"/>
      <c r="X103" s="1750">
        <f t="shared" si="5"/>
        <v>0</v>
      </c>
      <c r="Y103" s="175">
        <f t="shared" si="6"/>
        <v>-680000</v>
      </c>
    </row>
    <row r="104" spans="1:25" ht="30" x14ac:dyDescent="0.25">
      <c r="A104" s="1344">
        <v>1</v>
      </c>
      <c r="B104" s="1344">
        <v>1</v>
      </c>
      <c r="C104" s="1346" t="s">
        <v>2705</v>
      </c>
      <c r="D104" s="1344"/>
      <c r="E104" s="1344"/>
      <c r="F104" s="1344"/>
      <c r="G104" s="1344"/>
      <c r="H104" s="1345" t="str">
        <f>'BID I'!B444</f>
        <v>: Penyediaan Operasional BPD (Rapat FKAKD)</v>
      </c>
      <c r="I104" s="1347">
        <f>SUM(I105:I109)</f>
        <v>6685000</v>
      </c>
      <c r="J104" s="1345" t="s">
        <v>1682</v>
      </c>
      <c r="K104" s="1347" t="s">
        <v>2988</v>
      </c>
      <c r="L104" s="1344"/>
      <c r="M104" s="1344"/>
      <c r="N104" s="1344"/>
      <c r="O104" s="1344"/>
      <c r="P104" s="1344"/>
      <c r="Q104" s="1344"/>
      <c r="R104" s="1344"/>
      <c r="S104" s="1344"/>
      <c r="T104" s="1344"/>
      <c r="U104" s="1344"/>
      <c r="V104" s="1344"/>
      <c r="W104" s="1344"/>
      <c r="X104" s="1353">
        <f t="shared" si="5"/>
        <v>0</v>
      </c>
      <c r="Y104" s="175">
        <f t="shared" si="6"/>
        <v>-6685000</v>
      </c>
    </row>
    <row r="105" spans="1:25" x14ac:dyDescent="0.25">
      <c r="A105" s="32"/>
      <c r="B105" s="32"/>
      <c r="C105" s="32"/>
      <c r="D105" s="32">
        <v>5</v>
      </c>
      <c r="E105" s="32">
        <v>2</v>
      </c>
      <c r="F105" s="32"/>
      <c r="G105" s="32"/>
      <c r="H105" s="66" t="str">
        <f>'BID I'!B450</f>
        <v>Belanja Barang Jasa</v>
      </c>
      <c r="I105" s="32"/>
      <c r="J105" s="66"/>
      <c r="K105" s="470" t="s">
        <v>2988</v>
      </c>
      <c r="L105" s="1753"/>
      <c r="M105" s="1753"/>
      <c r="N105" s="1753"/>
      <c r="O105" s="1753"/>
      <c r="P105" s="1758"/>
      <c r="Q105" s="1758"/>
      <c r="R105" s="1758"/>
      <c r="S105" s="1758"/>
      <c r="T105" s="1762"/>
      <c r="U105" s="1762"/>
      <c r="V105" s="1762"/>
      <c r="W105" s="1762"/>
      <c r="X105" s="1750">
        <f t="shared" si="5"/>
        <v>0</v>
      </c>
      <c r="Y105" s="175">
        <f t="shared" si="6"/>
        <v>0</v>
      </c>
    </row>
    <row r="106" spans="1:25" ht="30" x14ac:dyDescent="0.25">
      <c r="A106" s="32"/>
      <c r="B106" s="32"/>
      <c r="C106" s="32"/>
      <c r="D106" s="32"/>
      <c r="E106" s="32"/>
      <c r="F106" s="32">
        <v>1</v>
      </c>
      <c r="G106" s="32"/>
      <c r="H106" s="66" t="str">
        <f>'BID I'!B451</f>
        <v>Belanja Barang Perlengkapan</v>
      </c>
      <c r="I106" s="32"/>
      <c r="J106" s="66"/>
      <c r="K106" s="470" t="s">
        <v>2988</v>
      </c>
      <c r="L106" s="1753"/>
      <c r="M106" s="1753"/>
      <c r="N106" s="1753"/>
      <c r="O106" s="1753"/>
      <c r="P106" s="1758"/>
      <c r="Q106" s="1758"/>
      <c r="R106" s="1758"/>
      <c r="S106" s="1758"/>
      <c r="T106" s="1762"/>
      <c r="U106" s="1762"/>
      <c r="V106" s="1762"/>
      <c r="W106" s="1762"/>
      <c r="X106" s="1750">
        <f t="shared" si="5"/>
        <v>0</v>
      </c>
      <c r="Y106" s="175">
        <f t="shared" si="6"/>
        <v>0</v>
      </c>
    </row>
    <row r="107" spans="1:25" ht="60" x14ac:dyDescent="0.25">
      <c r="A107" s="32"/>
      <c r="B107" s="32"/>
      <c r="C107" s="32"/>
      <c r="D107" s="32"/>
      <c r="E107" s="32"/>
      <c r="F107" s="32"/>
      <c r="G107" s="1340" t="s">
        <v>2706</v>
      </c>
      <c r="H107" s="66" t="str">
        <f>'BID I'!B452</f>
        <v>Belanja perlengkapan cetak/pengadaan - belanja barang cetak dan pengadaan</v>
      </c>
      <c r="I107" s="174">
        <f>'BID I'!F453</f>
        <v>360000</v>
      </c>
      <c r="J107" s="66" t="s">
        <v>1682</v>
      </c>
      <c r="K107" s="470" t="s">
        <v>2988</v>
      </c>
      <c r="L107" s="1753"/>
      <c r="M107" s="1753"/>
      <c r="N107" s="1753"/>
      <c r="O107" s="1753"/>
      <c r="P107" s="1758"/>
      <c r="Q107" s="1758"/>
      <c r="R107" s="1758"/>
      <c r="S107" s="1758"/>
      <c r="T107" s="1762"/>
      <c r="U107" s="1762"/>
      <c r="V107" s="1763">
        <v>360000</v>
      </c>
      <c r="W107" s="1762"/>
      <c r="X107" s="1750">
        <f t="shared" si="5"/>
        <v>360000</v>
      </c>
      <c r="Y107" s="175">
        <f t="shared" si="6"/>
        <v>0</v>
      </c>
    </row>
    <row r="108" spans="1:25" ht="60" x14ac:dyDescent="0.25">
      <c r="A108" s="32"/>
      <c r="B108" s="32"/>
      <c r="C108" s="32"/>
      <c r="D108" s="32"/>
      <c r="E108" s="32"/>
      <c r="F108" s="32"/>
      <c r="G108" s="1340" t="s">
        <v>2705</v>
      </c>
      <c r="H108" s="66" t="str">
        <f>'BID I'!B455</f>
        <v>Belanja perlengkapan barang konsumsi (makan/minum)- Belanja Barang Konsumsi</v>
      </c>
      <c r="I108" s="174">
        <f>'BID I'!F456</f>
        <v>6000000</v>
      </c>
      <c r="J108" s="66" t="s">
        <v>1682</v>
      </c>
      <c r="K108" s="470" t="s">
        <v>2988</v>
      </c>
      <c r="L108" s="1753"/>
      <c r="M108" s="1753"/>
      <c r="N108" s="1753"/>
      <c r="O108" s="1753"/>
      <c r="P108" s="1758"/>
      <c r="Q108" s="1758"/>
      <c r="R108" s="1758"/>
      <c r="S108" s="1758"/>
      <c r="T108" s="1762"/>
      <c r="U108" s="1762"/>
      <c r="V108" s="1763">
        <v>6000000</v>
      </c>
      <c r="W108" s="1762"/>
      <c r="X108" s="1750">
        <f t="shared" si="5"/>
        <v>6000000</v>
      </c>
      <c r="Y108" s="175">
        <f t="shared" si="6"/>
        <v>0</v>
      </c>
    </row>
    <row r="109" spans="1:25" ht="30" x14ac:dyDescent="0.25">
      <c r="A109" s="32"/>
      <c r="B109" s="32"/>
      <c r="C109" s="32"/>
      <c r="D109" s="32"/>
      <c r="E109" s="32"/>
      <c r="F109" s="32"/>
      <c r="G109" s="32">
        <v>90</v>
      </c>
      <c r="H109" s="66" t="str">
        <f>'BID I'!B458</f>
        <v>Belanja Upakara, Upacara Dan Aci- Aci</v>
      </c>
      <c r="I109" s="174">
        <f>SUM('BID I'!F459:F462)</f>
        <v>325000</v>
      </c>
      <c r="J109" s="66" t="s">
        <v>1682</v>
      </c>
      <c r="K109" s="470" t="s">
        <v>2988</v>
      </c>
      <c r="L109" s="1753"/>
      <c r="M109" s="1753"/>
      <c r="N109" s="1753"/>
      <c r="O109" s="1753"/>
      <c r="P109" s="1758"/>
      <c r="Q109" s="1758"/>
      <c r="R109" s="1758"/>
      <c r="S109" s="1758"/>
      <c r="T109" s="1762"/>
      <c r="U109" s="1762"/>
      <c r="V109" s="1763">
        <v>325000</v>
      </c>
      <c r="W109" s="1762"/>
      <c r="X109" s="1750">
        <f t="shared" si="5"/>
        <v>325000</v>
      </c>
      <c r="Y109" s="175">
        <f t="shared" si="6"/>
        <v>0</v>
      </c>
    </row>
    <row r="110" spans="1:25" ht="30" x14ac:dyDescent="0.25">
      <c r="A110" s="1344">
        <v>1</v>
      </c>
      <c r="B110" s="1344">
        <v>1</v>
      </c>
      <c r="C110" s="1344">
        <v>91</v>
      </c>
      <c r="D110" s="1344"/>
      <c r="E110" s="1344"/>
      <c r="F110" s="1344"/>
      <c r="G110" s="1344"/>
      <c r="H110" s="1345" t="str">
        <f>'BID I'!B479</f>
        <v xml:space="preserve">: Penyediaan Penghasilan Staf Desa </v>
      </c>
      <c r="I110" s="1347">
        <f>SUM(I111:I113)</f>
        <v>482054400</v>
      </c>
      <c r="J110" s="1345" t="s">
        <v>2620</v>
      </c>
      <c r="K110" s="1347" t="s">
        <v>2988</v>
      </c>
      <c r="L110" s="1344"/>
      <c r="M110" s="1344"/>
      <c r="N110" s="1344"/>
      <c r="O110" s="1344"/>
      <c r="P110" s="1344"/>
      <c r="Q110" s="1344"/>
      <c r="R110" s="1344"/>
      <c r="S110" s="1344"/>
      <c r="T110" s="1344"/>
      <c r="U110" s="1344"/>
      <c r="V110" s="1344"/>
      <c r="W110" s="1344"/>
      <c r="X110" s="1353">
        <f t="shared" si="5"/>
        <v>0</v>
      </c>
      <c r="Y110" s="175">
        <f t="shared" si="6"/>
        <v>-482054400</v>
      </c>
    </row>
    <row r="111" spans="1:25" x14ac:dyDescent="0.25">
      <c r="A111" s="32"/>
      <c r="B111" s="32"/>
      <c r="C111" s="32"/>
      <c r="D111" s="32">
        <v>5</v>
      </c>
      <c r="E111" s="32">
        <v>2</v>
      </c>
      <c r="F111" s="32"/>
      <c r="G111" s="32"/>
      <c r="H111" s="32" t="str">
        <f>'BID I'!B485</f>
        <v>Belanja Barang Jasa</v>
      </c>
      <c r="I111" s="32"/>
      <c r="J111" s="66"/>
      <c r="K111" s="470" t="s">
        <v>2988</v>
      </c>
      <c r="L111" s="1753"/>
      <c r="M111" s="1753"/>
      <c r="N111" s="1753"/>
      <c r="O111" s="1753"/>
      <c r="P111" s="1758"/>
      <c r="Q111" s="1758"/>
      <c r="R111" s="1758"/>
      <c r="S111" s="1758"/>
      <c r="T111" s="1762"/>
      <c r="U111" s="1762"/>
      <c r="V111" s="1762"/>
      <c r="W111" s="1762"/>
      <c r="X111" s="1750">
        <f t="shared" si="5"/>
        <v>0</v>
      </c>
      <c r="Y111" s="175">
        <f t="shared" si="6"/>
        <v>0</v>
      </c>
    </row>
    <row r="112" spans="1:25" x14ac:dyDescent="0.25">
      <c r="A112" s="32"/>
      <c r="B112" s="32"/>
      <c r="C112" s="32"/>
      <c r="D112" s="32"/>
      <c r="E112" s="32"/>
      <c r="F112" s="32">
        <v>2</v>
      </c>
      <c r="G112" s="32"/>
      <c r="H112" s="32" t="str">
        <f>'BID I'!B486</f>
        <v>Belanja Jasa Honorarium</v>
      </c>
      <c r="I112" s="32"/>
      <c r="J112" s="66"/>
      <c r="K112" s="470" t="s">
        <v>2988</v>
      </c>
      <c r="L112" s="1753"/>
      <c r="M112" s="1753"/>
      <c r="N112" s="1753"/>
      <c r="O112" s="1753"/>
      <c r="P112" s="1758"/>
      <c r="Q112" s="1758"/>
      <c r="R112" s="1758"/>
      <c r="S112" s="1758"/>
      <c r="T112" s="1762"/>
      <c r="U112" s="1762"/>
      <c r="V112" s="1762"/>
      <c r="W112" s="1762"/>
      <c r="X112" s="1750">
        <f t="shared" si="5"/>
        <v>0</v>
      </c>
      <c r="Y112" s="175">
        <f t="shared" si="6"/>
        <v>0</v>
      </c>
    </row>
    <row r="113" spans="1:25" x14ac:dyDescent="0.25">
      <c r="A113" s="32"/>
      <c r="B113" s="32"/>
      <c r="C113" s="32"/>
      <c r="D113" s="32"/>
      <c r="E113" s="32"/>
      <c r="F113" s="32"/>
      <c r="G113" s="32">
        <v>90</v>
      </c>
      <c r="H113" s="32" t="str">
        <f>'BID I'!B487</f>
        <v>Belanja Pengasilan Staf</v>
      </c>
      <c r="I113" s="513">
        <f>SUM('BID I'!F488:F493)</f>
        <v>482054400</v>
      </c>
      <c r="J113" s="66" t="s">
        <v>2620</v>
      </c>
      <c r="K113" s="470" t="s">
        <v>2988</v>
      </c>
      <c r="L113" s="1753"/>
      <c r="M113" s="1753"/>
      <c r="N113" s="1753"/>
      <c r="O113" s="1753"/>
      <c r="P113" s="1758"/>
      <c r="Q113" s="1758"/>
      <c r="R113" s="1758"/>
      <c r="S113" s="1758"/>
      <c r="T113" s="1762"/>
      <c r="U113" s="1762"/>
      <c r="V113" s="1762"/>
      <c r="W113" s="1762"/>
      <c r="X113" s="1750">
        <f t="shared" si="5"/>
        <v>0</v>
      </c>
      <c r="Y113" s="175">
        <f t="shared" si="6"/>
        <v>-482054400</v>
      </c>
    </row>
    <row r="114" spans="1:25" ht="45" x14ac:dyDescent="0.25">
      <c r="A114" s="1344">
        <v>1</v>
      </c>
      <c r="B114" s="1344">
        <v>1</v>
      </c>
      <c r="C114" s="1344">
        <v>93</v>
      </c>
      <c r="D114" s="1344"/>
      <c r="E114" s="1344"/>
      <c r="F114" s="1344"/>
      <c r="G114" s="1344"/>
      <c r="H114" s="1345" t="str">
        <f>'BID I'!B510</f>
        <v>Penjaringan dan Penyaringan Perangkat Desa/Staf</v>
      </c>
      <c r="I114" s="1348">
        <f>SUM(I115:I122)</f>
        <v>6699000</v>
      </c>
      <c r="J114" s="1345" t="s">
        <v>2626</v>
      </c>
      <c r="K114" s="1347" t="s">
        <v>2988</v>
      </c>
      <c r="L114" s="1344"/>
      <c r="M114" s="1344"/>
      <c r="N114" s="1344"/>
      <c r="O114" s="1344"/>
      <c r="P114" s="1344"/>
      <c r="Q114" s="1344"/>
      <c r="R114" s="1344"/>
      <c r="S114" s="1344"/>
      <c r="T114" s="1344"/>
      <c r="U114" s="1344"/>
      <c r="V114" s="1344"/>
      <c r="W114" s="1344"/>
      <c r="X114" s="1353">
        <f t="shared" si="5"/>
        <v>0</v>
      </c>
      <c r="Y114" s="175">
        <f t="shared" si="6"/>
        <v>-6699000</v>
      </c>
    </row>
    <row r="115" spans="1:25" x14ac:dyDescent="0.25">
      <c r="A115" s="32"/>
      <c r="B115" s="32"/>
      <c r="C115" s="32"/>
      <c r="D115" s="32">
        <v>5</v>
      </c>
      <c r="E115" s="32">
        <v>2</v>
      </c>
      <c r="F115" s="32"/>
      <c r="G115" s="32"/>
      <c r="H115" s="66" t="str">
        <f>'BID I'!B516</f>
        <v>Belanja Barang Jasa :</v>
      </c>
      <c r="I115" s="32"/>
      <c r="J115" s="66"/>
      <c r="K115" s="470" t="s">
        <v>2988</v>
      </c>
      <c r="L115" s="1753"/>
      <c r="M115" s="1753"/>
      <c r="N115" s="1753"/>
      <c r="O115" s="1753"/>
      <c r="P115" s="1758"/>
      <c r="Q115" s="1758"/>
      <c r="R115" s="1758"/>
      <c r="S115" s="1758"/>
      <c r="T115" s="1762"/>
      <c r="U115" s="1762"/>
      <c r="V115" s="1762"/>
      <c r="W115" s="1762"/>
      <c r="X115" s="1750">
        <f t="shared" si="5"/>
        <v>0</v>
      </c>
      <c r="Y115" s="175">
        <f t="shared" si="6"/>
        <v>0</v>
      </c>
    </row>
    <row r="116" spans="1:25" ht="30" x14ac:dyDescent="0.25">
      <c r="A116" s="32"/>
      <c r="B116" s="32"/>
      <c r="C116" s="32"/>
      <c r="D116" s="32"/>
      <c r="E116" s="32"/>
      <c r="F116" s="32">
        <v>1</v>
      </c>
      <c r="G116" s="32"/>
      <c r="H116" s="66" t="str">
        <f>'BID I'!B517</f>
        <v>Belanja Barang Perlengkapan</v>
      </c>
      <c r="I116" s="32"/>
      <c r="J116" s="66"/>
      <c r="K116" s="470" t="s">
        <v>2988</v>
      </c>
      <c r="L116" s="1753"/>
      <c r="M116" s="1753"/>
      <c r="N116" s="1753"/>
      <c r="O116" s="1753"/>
      <c r="P116" s="1758"/>
      <c r="Q116" s="1758"/>
      <c r="R116" s="1758"/>
      <c r="S116" s="1758"/>
      <c r="T116" s="1762"/>
      <c r="U116" s="1762"/>
      <c r="V116" s="1762"/>
      <c r="W116" s="1762"/>
      <c r="X116" s="1750">
        <f t="shared" si="5"/>
        <v>0</v>
      </c>
      <c r="Y116" s="175">
        <f t="shared" si="6"/>
        <v>0</v>
      </c>
    </row>
    <row r="117" spans="1:25" ht="30" x14ac:dyDescent="0.25">
      <c r="A117" s="32"/>
      <c r="B117" s="32"/>
      <c r="C117" s="32"/>
      <c r="D117" s="32"/>
      <c r="E117" s="32"/>
      <c r="F117" s="32"/>
      <c r="G117" s="1340" t="s">
        <v>2688</v>
      </c>
      <c r="H117" s="66" t="str">
        <f>'BID I'!B518</f>
        <v>Belanja alat tulis kantor dan benda pos</v>
      </c>
      <c r="I117" s="174">
        <f>SUM('BID I'!F519:F520)</f>
        <v>469000</v>
      </c>
      <c r="J117" s="66" t="s">
        <v>2626</v>
      </c>
      <c r="K117" s="470" t="s">
        <v>2988</v>
      </c>
      <c r="L117" s="1753"/>
      <c r="M117" s="1753"/>
      <c r="N117" s="1753"/>
      <c r="O117" s="1753"/>
      <c r="P117" s="1758"/>
      <c r="Q117" s="1758"/>
      <c r="R117" s="1758"/>
      <c r="S117" s="1758"/>
      <c r="T117" s="1762"/>
      <c r="U117" s="1762"/>
      <c r="V117" s="1762"/>
      <c r="W117" s="1762"/>
      <c r="X117" s="1750">
        <f t="shared" si="5"/>
        <v>0</v>
      </c>
      <c r="Y117" s="175">
        <f t="shared" si="6"/>
        <v>-469000</v>
      </c>
    </row>
    <row r="118" spans="1:25" ht="60" x14ac:dyDescent="0.25">
      <c r="A118" s="32"/>
      <c r="B118" s="32"/>
      <c r="C118" s="32"/>
      <c r="D118" s="32"/>
      <c r="E118" s="32"/>
      <c r="F118" s="32"/>
      <c r="G118" s="1340" t="s">
        <v>2705</v>
      </c>
      <c r="H118" s="66" t="str">
        <f>'BID I'!B521</f>
        <v>Belanja perlengkapan barang konsumsi (makan/minum)- Belanja Barang Konsumsi</v>
      </c>
      <c r="I118" s="174">
        <f>'BID I'!F522+'BID I'!F523+'BID I'!F524</f>
        <v>2700000</v>
      </c>
      <c r="J118" s="66" t="s">
        <v>2626</v>
      </c>
      <c r="K118" s="470" t="s">
        <v>2988</v>
      </c>
      <c r="L118" s="1753"/>
      <c r="M118" s="1753"/>
      <c r="N118" s="1753"/>
      <c r="O118" s="1753"/>
      <c r="P118" s="1758"/>
      <c r="Q118" s="1758"/>
      <c r="R118" s="1758"/>
      <c r="S118" s="1758"/>
      <c r="T118" s="1762"/>
      <c r="U118" s="1762"/>
      <c r="V118" s="1762"/>
      <c r="W118" s="1762"/>
      <c r="X118" s="1750">
        <f t="shared" si="5"/>
        <v>0</v>
      </c>
      <c r="Y118" s="175">
        <f t="shared" si="6"/>
        <v>-2700000</v>
      </c>
    </row>
    <row r="119" spans="1:25" ht="30" x14ac:dyDescent="0.25">
      <c r="A119" s="32"/>
      <c r="B119" s="32"/>
      <c r="C119" s="32"/>
      <c r="D119" s="32"/>
      <c r="E119" s="32"/>
      <c r="F119" s="32"/>
      <c r="G119" s="1340" t="s">
        <v>2707</v>
      </c>
      <c r="H119" s="66" t="str">
        <f>'BID I'!B526</f>
        <v>Belanja Bendera/Umbul - umbul/Spanduk</v>
      </c>
      <c r="I119" s="174">
        <f>'BID I'!F527</f>
        <v>180000</v>
      </c>
      <c r="J119" s="66" t="s">
        <v>2626</v>
      </c>
      <c r="K119" s="470" t="s">
        <v>2988</v>
      </c>
      <c r="L119" s="1753"/>
      <c r="M119" s="1753"/>
      <c r="N119" s="1753"/>
      <c r="O119" s="1753"/>
      <c r="P119" s="1758"/>
      <c r="Q119" s="1758"/>
      <c r="R119" s="1758"/>
      <c r="S119" s="1758"/>
      <c r="T119" s="1762"/>
      <c r="U119" s="1762"/>
      <c r="V119" s="1762"/>
      <c r="W119" s="1762"/>
      <c r="X119" s="1750">
        <f t="shared" si="5"/>
        <v>0</v>
      </c>
      <c r="Y119" s="175">
        <f t="shared" si="6"/>
        <v>-180000</v>
      </c>
    </row>
    <row r="120" spans="1:25" x14ac:dyDescent="0.25">
      <c r="A120" s="32"/>
      <c r="B120" s="32"/>
      <c r="C120" s="32"/>
      <c r="D120" s="32">
        <v>5</v>
      </c>
      <c r="E120" s="32">
        <v>2</v>
      </c>
      <c r="F120" s="32">
        <v>2</v>
      </c>
      <c r="G120" s="32"/>
      <c r="H120" s="66" t="str">
        <f>'BID I'!B529</f>
        <v>Belanja Jasa Honorarium</v>
      </c>
      <c r="I120" s="32"/>
      <c r="J120" s="66"/>
      <c r="K120" s="470" t="s">
        <v>2988</v>
      </c>
      <c r="L120" s="1753"/>
      <c r="M120" s="1753"/>
      <c r="N120" s="1753"/>
      <c r="O120" s="1753"/>
      <c r="P120" s="1758"/>
      <c r="Q120" s="1758"/>
      <c r="R120" s="1758"/>
      <c r="S120" s="1758"/>
      <c r="T120" s="1762"/>
      <c r="U120" s="1762"/>
      <c r="V120" s="1762"/>
      <c r="W120" s="1762"/>
      <c r="X120" s="1750">
        <f t="shared" si="5"/>
        <v>0</v>
      </c>
      <c r="Y120" s="175">
        <f t="shared" si="6"/>
        <v>0</v>
      </c>
    </row>
    <row r="121" spans="1:25" ht="45" x14ac:dyDescent="0.25">
      <c r="A121" s="32"/>
      <c r="B121" s="32"/>
      <c r="C121" s="32"/>
      <c r="D121" s="32"/>
      <c r="E121" s="32"/>
      <c r="F121" s="32"/>
      <c r="G121" s="1340" t="s">
        <v>2688</v>
      </c>
      <c r="H121" s="66" t="str">
        <f>'BID I'!B530</f>
        <v>Belanja Jasa Honor Tim yang Melaksanakan Kegiatan</v>
      </c>
      <c r="I121" s="174">
        <f>SUM('BID I'!F531:F533)</f>
        <v>2450000</v>
      </c>
      <c r="J121" s="66" t="s">
        <v>2626</v>
      </c>
      <c r="K121" s="470" t="s">
        <v>2988</v>
      </c>
      <c r="L121" s="1753"/>
      <c r="M121" s="1753"/>
      <c r="N121" s="1753"/>
      <c r="O121" s="1753"/>
      <c r="P121" s="1758"/>
      <c r="Q121" s="1758"/>
      <c r="R121" s="1758"/>
      <c r="S121" s="1758"/>
      <c r="T121" s="1762"/>
      <c r="U121" s="1762"/>
      <c r="V121" s="1762"/>
      <c r="W121" s="1762"/>
      <c r="X121" s="1750">
        <f t="shared" si="5"/>
        <v>0</v>
      </c>
      <c r="Y121" s="175">
        <f t="shared" si="6"/>
        <v>-2450000</v>
      </c>
    </row>
    <row r="122" spans="1:25" ht="30" x14ac:dyDescent="0.25">
      <c r="A122" s="32"/>
      <c r="B122" s="32"/>
      <c r="C122" s="32"/>
      <c r="D122" s="32"/>
      <c r="E122" s="32"/>
      <c r="F122" s="32"/>
      <c r="G122" s="1340" t="s">
        <v>2706</v>
      </c>
      <c r="H122" s="66" t="str">
        <f>'BID I'!B534</f>
        <v>Belanja Jasa Honorarium Narasumber</v>
      </c>
      <c r="I122" s="513">
        <f>'BID I'!F535</f>
        <v>900000</v>
      </c>
      <c r="J122" s="66" t="s">
        <v>2626</v>
      </c>
      <c r="K122" s="470" t="s">
        <v>2988</v>
      </c>
      <c r="L122" s="1753"/>
      <c r="M122" s="1753"/>
      <c r="N122" s="1753"/>
      <c r="O122" s="1753"/>
      <c r="P122" s="1758"/>
      <c r="Q122" s="1758"/>
      <c r="R122" s="1758"/>
      <c r="S122" s="1758"/>
      <c r="T122" s="1762"/>
      <c r="U122" s="1762"/>
      <c r="V122" s="1762"/>
      <c r="W122" s="1762"/>
      <c r="X122" s="1750">
        <f t="shared" si="5"/>
        <v>0</v>
      </c>
      <c r="Y122" s="175">
        <f t="shared" si="6"/>
        <v>-900000</v>
      </c>
    </row>
    <row r="123" spans="1:25" ht="45" x14ac:dyDescent="0.25">
      <c r="A123" s="1344">
        <v>1</v>
      </c>
      <c r="B123" s="1344">
        <v>1</v>
      </c>
      <c r="C123" s="1344">
        <v>93</v>
      </c>
      <c r="D123" s="1344"/>
      <c r="E123" s="1344"/>
      <c r="F123" s="1344"/>
      <c r="G123" s="1344"/>
      <c r="H123" s="1345" t="str">
        <f>'BID I'!B552</f>
        <v>Penyedian Jaminan Keshatan dan ketenagakerjaan BPD</v>
      </c>
      <c r="I123" s="1347">
        <f>SUM(I124:I127)</f>
        <v>36717720</v>
      </c>
      <c r="J123" s="1345" t="s">
        <v>2620</v>
      </c>
      <c r="K123" s="1347" t="s">
        <v>2988</v>
      </c>
      <c r="L123" s="1344"/>
      <c r="M123" s="1344"/>
      <c r="N123" s="1344"/>
      <c r="O123" s="1344"/>
      <c r="P123" s="1344"/>
      <c r="Q123" s="1344"/>
      <c r="R123" s="1344"/>
      <c r="S123" s="1344"/>
      <c r="T123" s="1344"/>
      <c r="U123" s="1344"/>
      <c r="V123" s="1344"/>
      <c r="W123" s="1344"/>
      <c r="X123" s="1353">
        <f t="shared" si="5"/>
        <v>0</v>
      </c>
      <c r="Y123" s="175">
        <f t="shared" si="6"/>
        <v>-36717720</v>
      </c>
    </row>
    <row r="124" spans="1:25" x14ac:dyDescent="0.25">
      <c r="A124" s="32"/>
      <c r="B124" s="32"/>
      <c r="C124" s="32"/>
      <c r="D124" s="32">
        <v>5</v>
      </c>
      <c r="E124" s="32">
        <v>1</v>
      </c>
      <c r="F124" s="32"/>
      <c r="G124" s="32"/>
      <c r="H124" s="32" t="str">
        <f>'BID I'!B558</f>
        <v>Belanja Pegawai</v>
      </c>
      <c r="I124" s="32"/>
      <c r="J124" s="66"/>
      <c r="K124" s="470" t="s">
        <v>2988</v>
      </c>
      <c r="L124" s="1753"/>
      <c r="M124" s="1753"/>
      <c r="N124" s="1753"/>
      <c r="O124" s="1753"/>
      <c r="P124" s="1758"/>
      <c r="Q124" s="1758"/>
      <c r="R124" s="1758"/>
      <c r="S124" s="1758"/>
      <c r="T124" s="1762"/>
      <c r="U124" s="1762"/>
      <c r="V124" s="1762"/>
      <c r="W124" s="1762"/>
      <c r="X124" s="1750">
        <f t="shared" si="5"/>
        <v>0</v>
      </c>
      <c r="Y124" s="175">
        <f t="shared" si="6"/>
        <v>0</v>
      </c>
    </row>
    <row r="125" spans="1:25" ht="45" x14ac:dyDescent="0.25">
      <c r="A125" s="32"/>
      <c r="B125" s="32"/>
      <c r="C125" s="32"/>
      <c r="D125" s="32"/>
      <c r="E125" s="32"/>
      <c r="F125" s="32">
        <v>3</v>
      </c>
      <c r="G125" s="32"/>
      <c r="H125" s="66" t="str">
        <f>'BID I'!B559</f>
        <v>Belanja Jaminan Sosial Perbekel dan Perangkat Desa</v>
      </c>
      <c r="I125" s="32"/>
      <c r="J125" s="66"/>
      <c r="K125" s="470" t="s">
        <v>2988</v>
      </c>
      <c r="L125" s="1753"/>
      <c r="M125" s="1753"/>
      <c r="N125" s="1753"/>
      <c r="O125" s="1753"/>
      <c r="P125" s="1758"/>
      <c r="Q125" s="1758"/>
      <c r="R125" s="1758"/>
      <c r="S125" s="1758"/>
      <c r="T125" s="1762"/>
      <c r="U125" s="1762"/>
      <c r="V125" s="1762"/>
      <c r="W125" s="1762"/>
      <c r="X125" s="1750">
        <f t="shared" si="5"/>
        <v>0</v>
      </c>
      <c r="Y125" s="175">
        <f t="shared" si="6"/>
        <v>0</v>
      </c>
    </row>
    <row r="126" spans="1:25" x14ac:dyDescent="0.25">
      <c r="A126" s="32"/>
      <c r="B126" s="32"/>
      <c r="C126" s="32"/>
      <c r="D126" s="32"/>
      <c r="E126" s="32"/>
      <c r="F126" s="32"/>
      <c r="G126" s="1340" t="s">
        <v>2688</v>
      </c>
      <c r="H126" s="66" t="str">
        <f>'BID I'!B560</f>
        <v>Jaminan Kesehatan BPD</v>
      </c>
      <c r="I126" s="174">
        <f>SUM('BID I'!F561:F564)</f>
        <v>14342856</v>
      </c>
      <c r="J126" s="66" t="s">
        <v>2620</v>
      </c>
      <c r="K126" s="470" t="s">
        <v>2988</v>
      </c>
      <c r="L126" s="1753"/>
      <c r="M126" s="1753"/>
      <c r="N126" s="1753"/>
      <c r="O126" s="1753"/>
      <c r="P126" s="1758"/>
      <c r="Q126" s="1758"/>
      <c r="R126" s="1758"/>
      <c r="S126" s="1758"/>
      <c r="T126" s="1762"/>
      <c r="U126" s="1762"/>
      <c r="V126" s="1762"/>
      <c r="W126" s="1762"/>
      <c r="X126" s="1750">
        <f t="shared" si="5"/>
        <v>0</v>
      </c>
      <c r="Y126" s="175">
        <f t="shared" si="6"/>
        <v>-14342856</v>
      </c>
    </row>
    <row r="127" spans="1:25" ht="30" x14ac:dyDescent="0.25">
      <c r="A127" s="32"/>
      <c r="B127" s="32"/>
      <c r="C127" s="32"/>
      <c r="D127" s="32"/>
      <c r="E127" s="32"/>
      <c r="F127" s="32"/>
      <c r="G127" s="1340" t="s">
        <v>2702</v>
      </c>
      <c r="H127" s="66" t="str">
        <f>'BID I'!B565</f>
        <v>Jaminan Ketenagakerjaan BPD</v>
      </c>
      <c r="I127" s="174">
        <f>SUM('BID I'!F566:F569)</f>
        <v>22374864</v>
      </c>
      <c r="J127" s="66" t="s">
        <v>2620</v>
      </c>
      <c r="K127" s="470" t="s">
        <v>2988</v>
      </c>
      <c r="L127" s="1753"/>
      <c r="M127" s="1753"/>
      <c r="N127" s="1753"/>
      <c r="O127" s="1753"/>
      <c r="P127" s="1758"/>
      <c r="Q127" s="1758"/>
      <c r="R127" s="1758"/>
      <c r="S127" s="1758"/>
      <c r="T127" s="1762"/>
      <c r="U127" s="1762"/>
      <c r="V127" s="1762"/>
      <c r="W127" s="1762"/>
      <c r="X127" s="1750">
        <f t="shared" si="5"/>
        <v>0</v>
      </c>
      <c r="Y127" s="175">
        <f t="shared" si="6"/>
        <v>-22374864</v>
      </c>
    </row>
    <row r="128" spans="1:25" ht="60" x14ac:dyDescent="0.25">
      <c r="A128" s="1344">
        <v>1</v>
      </c>
      <c r="B128" s="1344">
        <v>1</v>
      </c>
      <c r="C128" s="1344">
        <v>93</v>
      </c>
      <c r="D128" s="1344"/>
      <c r="E128" s="1344"/>
      <c r="F128" s="1344"/>
      <c r="G128" s="1344"/>
      <c r="H128" s="1345" t="str">
        <f>'BID I'!B584</f>
        <v>Penyedian Jaminan Keshatan dan ketenagakerjaan Staf Desa</v>
      </c>
      <c r="I128" s="1347">
        <f>I131+I132</f>
        <v>24226512</v>
      </c>
      <c r="J128" s="1345" t="s">
        <v>2620</v>
      </c>
      <c r="K128" s="1347" t="s">
        <v>2988</v>
      </c>
      <c r="L128" s="1344"/>
      <c r="M128" s="1344"/>
      <c r="N128" s="1344"/>
      <c r="O128" s="1344"/>
      <c r="P128" s="1344"/>
      <c r="Q128" s="1344"/>
      <c r="R128" s="1344"/>
      <c r="S128" s="1344"/>
      <c r="T128" s="1344"/>
      <c r="U128" s="1344"/>
      <c r="V128" s="1344"/>
      <c r="W128" s="1344"/>
      <c r="X128" s="1353">
        <f t="shared" si="5"/>
        <v>0</v>
      </c>
      <c r="Y128" s="175">
        <f t="shared" si="6"/>
        <v>-24226512</v>
      </c>
    </row>
    <row r="129" spans="1:25" x14ac:dyDescent="0.25">
      <c r="A129" s="32"/>
      <c r="B129" s="32"/>
      <c r="C129" s="32"/>
      <c r="D129" s="32">
        <v>5</v>
      </c>
      <c r="E129" s="32">
        <v>1</v>
      </c>
      <c r="F129" s="32"/>
      <c r="G129" s="32"/>
      <c r="H129" s="66" t="str">
        <f>'BID I'!B590</f>
        <v>Belanja Pegawai</v>
      </c>
      <c r="I129" s="32"/>
      <c r="J129" s="66"/>
      <c r="K129" s="470" t="s">
        <v>2988</v>
      </c>
      <c r="L129" s="1753"/>
      <c r="M129" s="1753"/>
      <c r="N129" s="1753"/>
      <c r="O129" s="1753"/>
      <c r="P129" s="1758"/>
      <c r="Q129" s="1758"/>
      <c r="R129" s="1758"/>
      <c r="S129" s="1758"/>
      <c r="T129" s="1762"/>
      <c r="U129" s="1762"/>
      <c r="V129" s="1762"/>
      <c r="W129" s="1762"/>
      <c r="X129" s="1750">
        <f t="shared" si="5"/>
        <v>0</v>
      </c>
      <c r="Y129" s="175">
        <f t="shared" si="6"/>
        <v>0</v>
      </c>
    </row>
    <row r="130" spans="1:25" ht="45" x14ac:dyDescent="0.25">
      <c r="A130" s="32"/>
      <c r="B130" s="32"/>
      <c r="C130" s="32"/>
      <c r="D130" s="32"/>
      <c r="E130" s="32"/>
      <c r="F130" s="32">
        <v>3</v>
      </c>
      <c r="G130" s="32"/>
      <c r="H130" s="66" t="str">
        <f>'BID I'!B591</f>
        <v>Belanja Jaminan Sosial Perbekel dan Perangkat Desa</v>
      </c>
      <c r="I130" s="32"/>
      <c r="J130" s="66"/>
      <c r="K130" s="470" t="s">
        <v>2988</v>
      </c>
      <c r="L130" s="1753"/>
      <c r="M130" s="1753"/>
      <c r="N130" s="1753"/>
      <c r="O130" s="1753"/>
      <c r="P130" s="1758"/>
      <c r="Q130" s="1758"/>
      <c r="R130" s="1758"/>
      <c r="S130" s="1758"/>
      <c r="T130" s="1762"/>
      <c r="U130" s="1762"/>
      <c r="V130" s="1762"/>
      <c r="W130" s="1762"/>
      <c r="X130" s="1750">
        <f t="shared" si="5"/>
        <v>0</v>
      </c>
      <c r="Y130" s="175">
        <f t="shared" si="6"/>
        <v>0</v>
      </c>
    </row>
    <row r="131" spans="1:25" x14ac:dyDescent="0.25">
      <c r="A131" s="32"/>
      <c r="B131" s="32"/>
      <c r="C131" s="32"/>
      <c r="D131" s="32"/>
      <c r="E131" s="32"/>
      <c r="F131" s="32"/>
      <c r="G131" s="1340" t="s">
        <v>2688</v>
      </c>
      <c r="H131" s="66" t="str">
        <f>'BID I'!B592</f>
        <v>Jaminan Kesehatan Staf</v>
      </c>
      <c r="I131" s="174">
        <f>SUM('BID I'!F593:F598)</f>
        <v>21101712</v>
      </c>
      <c r="J131" s="66" t="s">
        <v>2620</v>
      </c>
      <c r="K131" s="470" t="s">
        <v>2988</v>
      </c>
      <c r="L131" s="1753"/>
      <c r="M131" s="1753"/>
      <c r="N131" s="1753"/>
      <c r="O131" s="1753"/>
      <c r="P131" s="1758"/>
      <c r="Q131" s="1758"/>
      <c r="R131" s="1758"/>
      <c r="S131" s="1758"/>
      <c r="T131" s="1762"/>
      <c r="U131" s="1762"/>
      <c r="V131" s="1762"/>
      <c r="W131" s="1762"/>
      <c r="X131" s="1750">
        <f t="shared" si="5"/>
        <v>0</v>
      </c>
      <c r="Y131" s="175">
        <f t="shared" si="6"/>
        <v>-21101712</v>
      </c>
    </row>
    <row r="132" spans="1:25" ht="30" x14ac:dyDescent="0.25">
      <c r="A132" s="32"/>
      <c r="B132" s="32"/>
      <c r="C132" s="32"/>
      <c r="D132" s="32"/>
      <c r="E132" s="32"/>
      <c r="F132" s="32"/>
      <c r="G132" s="1340"/>
      <c r="H132" s="66" t="str">
        <f>'BID I'!B599</f>
        <v>Jaminan Ketenagakerjaan Staf</v>
      </c>
      <c r="I132" s="174">
        <f>SUM('BID I'!F600:F605)</f>
        <v>3124800</v>
      </c>
      <c r="J132" s="66" t="s">
        <v>2620</v>
      </c>
      <c r="K132" s="470" t="s">
        <v>2988</v>
      </c>
      <c r="L132" s="1753"/>
      <c r="M132" s="1753"/>
      <c r="N132" s="1753"/>
      <c r="O132" s="1753"/>
      <c r="P132" s="1758"/>
      <c r="Q132" s="1758"/>
      <c r="R132" s="1758"/>
      <c r="S132" s="1758"/>
      <c r="T132" s="1762"/>
      <c r="U132" s="1762"/>
      <c r="V132" s="1762"/>
      <c r="W132" s="1762"/>
      <c r="X132" s="1750">
        <f t="shared" si="5"/>
        <v>0</v>
      </c>
      <c r="Y132" s="175">
        <f t="shared" si="6"/>
        <v>-3124800</v>
      </c>
    </row>
    <row r="133" spans="1:25" ht="45" x14ac:dyDescent="0.25">
      <c r="A133" s="1344">
        <v>1</v>
      </c>
      <c r="B133" s="1344">
        <v>1</v>
      </c>
      <c r="C133" s="1344">
        <v>93</v>
      </c>
      <c r="D133" s="1344"/>
      <c r="E133" s="1344"/>
      <c r="F133" s="1344"/>
      <c r="G133" s="1344"/>
      <c r="H133" s="1345" t="str">
        <f>'BID I'!B620</f>
        <v>Penyedian Jaminan Ketenagakerjaan Ekosistem Desa</v>
      </c>
      <c r="I133" s="1347">
        <f>SUM(I134:I136)</f>
        <v>42537600</v>
      </c>
      <c r="J133" s="1345" t="s">
        <v>2620</v>
      </c>
      <c r="K133" s="1347" t="s">
        <v>2988</v>
      </c>
      <c r="L133" s="1344"/>
      <c r="M133" s="1344"/>
      <c r="N133" s="1344"/>
      <c r="O133" s="1344"/>
      <c r="P133" s="1344"/>
      <c r="Q133" s="1344"/>
      <c r="R133" s="1344"/>
      <c r="S133" s="1344"/>
      <c r="T133" s="1344"/>
      <c r="U133" s="1344"/>
      <c r="V133" s="1344"/>
      <c r="W133" s="1344"/>
      <c r="X133" s="1353">
        <f t="shared" si="5"/>
        <v>0</v>
      </c>
      <c r="Y133" s="175">
        <f t="shared" si="6"/>
        <v>-42537600</v>
      </c>
    </row>
    <row r="134" spans="1:25" x14ac:dyDescent="0.25">
      <c r="A134" s="32"/>
      <c r="B134" s="32"/>
      <c r="C134" s="32"/>
      <c r="D134" s="32">
        <v>5</v>
      </c>
      <c r="E134" s="32">
        <v>1</v>
      </c>
      <c r="F134" s="32"/>
      <c r="G134" s="32"/>
      <c r="H134" s="66" t="str">
        <f>'BID I'!B626</f>
        <v>Belanja Pegawai</v>
      </c>
      <c r="I134" s="32"/>
      <c r="J134" s="66"/>
      <c r="K134" s="470" t="s">
        <v>2988</v>
      </c>
      <c r="L134" s="1753"/>
      <c r="M134" s="1753"/>
      <c r="N134" s="1753"/>
      <c r="O134" s="1753"/>
      <c r="P134" s="1758"/>
      <c r="Q134" s="1758"/>
      <c r="R134" s="1758"/>
      <c r="S134" s="1758"/>
      <c r="T134" s="1762"/>
      <c r="U134" s="1762"/>
      <c r="V134" s="1762"/>
      <c r="W134" s="1762"/>
      <c r="X134" s="1750">
        <f t="shared" si="5"/>
        <v>0</v>
      </c>
      <c r="Y134" s="175">
        <f t="shared" si="6"/>
        <v>0</v>
      </c>
    </row>
    <row r="135" spans="1:25" ht="45" x14ac:dyDescent="0.25">
      <c r="A135" s="32"/>
      <c r="B135" s="32"/>
      <c r="C135" s="32"/>
      <c r="D135" s="32"/>
      <c r="E135" s="32"/>
      <c r="F135" s="32">
        <v>3</v>
      </c>
      <c r="G135" s="32"/>
      <c r="H135" s="66" t="str">
        <f>'BID I'!B627</f>
        <v>Belanja Jaminan Sosial Perbekel dan Perangkat Desa</v>
      </c>
      <c r="I135" s="32"/>
      <c r="J135" s="66"/>
      <c r="K135" s="470" t="s">
        <v>2988</v>
      </c>
      <c r="L135" s="1753"/>
      <c r="M135" s="1753"/>
      <c r="N135" s="1753"/>
      <c r="O135" s="1753"/>
      <c r="P135" s="1758"/>
      <c r="Q135" s="1758"/>
      <c r="R135" s="1758"/>
      <c r="S135" s="1758"/>
      <c r="T135" s="1762"/>
      <c r="U135" s="1762"/>
      <c r="V135" s="1762"/>
      <c r="W135" s="1762"/>
      <c r="X135" s="1750">
        <f t="shared" si="5"/>
        <v>0</v>
      </c>
      <c r="Y135" s="175">
        <f t="shared" si="6"/>
        <v>0</v>
      </c>
    </row>
    <row r="136" spans="1:25" x14ac:dyDescent="0.25">
      <c r="A136" s="32"/>
      <c r="B136" s="32"/>
      <c r="C136" s="32"/>
      <c r="D136" s="32"/>
      <c r="E136" s="32"/>
      <c r="F136" s="32"/>
      <c r="G136" s="1340" t="s">
        <v>2688</v>
      </c>
      <c r="H136" s="66" t="str">
        <f>'BID I'!B628</f>
        <v>Jaminan Kesehatan Staf</v>
      </c>
      <c r="I136" s="174">
        <f>SUM('BID I'!F629)</f>
        <v>42537600</v>
      </c>
      <c r="J136" s="66" t="s">
        <v>2620</v>
      </c>
      <c r="K136" s="470" t="s">
        <v>2988</v>
      </c>
      <c r="L136" s="1753"/>
      <c r="M136" s="1753"/>
      <c r="N136" s="1753"/>
      <c r="O136" s="1753"/>
      <c r="P136" s="1758"/>
      <c r="Q136" s="1758"/>
      <c r="R136" s="1758"/>
      <c r="S136" s="1758"/>
      <c r="T136" s="1762"/>
      <c r="U136" s="1762"/>
      <c r="V136" s="1762"/>
      <c r="W136" s="1762"/>
      <c r="X136" s="1750">
        <f t="shared" si="5"/>
        <v>0</v>
      </c>
      <c r="Y136" s="175">
        <f t="shared" si="6"/>
        <v>-42537600</v>
      </c>
    </row>
    <row r="137" spans="1:25" ht="66.75" customHeight="1" x14ac:dyDescent="0.25">
      <c r="A137" s="1344">
        <v>1</v>
      </c>
      <c r="B137" s="1344">
        <v>1</v>
      </c>
      <c r="C137" s="1344">
        <v>94</v>
      </c>
      <c r="D137" s="1344"/>
      <c r="E137" s="1344"/>
      <c r="F137" s="1344"/>
      <c r="G137" s="1344"/>
      <c r="H137" s="1345" t="str">
        <f>'BID I'!B657</f>
        <v>: Penyediaan Kegiatan Sosial Desa</v>
      </c>
      <c r="I137" s="1349">
        <f>I140</f>
        <v>34032000</v>
      </c>
      <c r="J137" s="1345" t="s">
        <v>2639</v>
      </c>
      <c r="K137" s="1347" t="s">
        <v>2988</v>
      </c>
      <c r="L137" s="1344"/>
      <c r="M137" s="1344"/>
      <c r="N137" s="1344"/>
      <c r="O137" s="1344"/>
      <c r="P137" s="1344"/>
      <c r="Q137" s="1344"/>
      <c r="R137" s="1344"/>
      <c r="S137" s="1344"/>
      <c r="T137" s="1344"/>
      <c r="U137" s="1344"/>
      <c r="V137" s="1344"/>
      <c r="W137" s="1344"/>
      <c r="X137" s="1353">
        <f t="shared" si="5"/>
        <v>0</v>
      </c>
      <c r="Y137" s="175">
        <f t="shared" si="6"/>
        <v>-34032000</v>
      </c>
    </row>
    <row r="138" spans="1:25" x14ac:dyDescent="0.25">
      <c r="A138" s="32"/>
      <c r="B138" s="32"/>
      <c r="C138" s="32"/>
      <c r="D138" s="32">
        <v>5</v>
      </c>
      <c r="E138" s="32">
        <v>2</v>
      </c>
      <c r="F138" s="32"/>
      <c r="G138" s="32"/>
      <c r="H138" s="66" t="str">
        <f>'BID I'!B663</f>
        <v>Belanja Barang Jasa</v>
      </c>
      <c r="I138" s="32"/>
      <c r="J138" s="66"/>
      <c r="K138" s="470" t="s">
        <v>2988</v>
      </c>
      <c r="L138" s="1753"/>
      <c r="M138" s="1753"/>
      <c r="N138" s="1753"/>
      <c r="O138" s="1753"/>
      <c r="P138" s="1758"/>
      <c r="Q138" s="1758"/>
      <c r="R138" s="1758"/>
      <c r="S138" s="1758"/>
      <c r="T138" s="1762"/>
      <c r="U138" s="1762"/>
      <c r="V138" s="1762"/>
      <c r="W138" s="1762"/>
      <c r="X138" s="1750">
        <f t="shared" si="5"/>
        <v>0</v>
      </c>
      <c r="Y138" s="175">
        <f t="shared" si="6"/>
        <v>0</v>
      </c>
    </row>
    <row r="139" spans="1:25" ht="45" x14ac:dyDescent="0.25">
      <c r="A139" s="32"/>
      <c r="B139" s="32"/>
      <c r="C139" s="32"/>
      <c r="D139" s="32"/>
      <c r="E139" s="32"/>
      <c r="F139" s="32">
        <v>7</v>
      </c>
      <c r="G139" s="32"/>
      <c r="H139" s="66" t="str">
        <f>'BID I'!B664</f>
        <v>Belanja Barang dan Jasa yang Diserahkan Kepada Masyarakat</v>
      </c>
      <c r="I139" s="32"/>
      <c r="J139" s="66"/>
      <c r="K139" s="470" t="s">
        <v>2988</v>
      </c>
      <c r="L139" s="1753"/>
      <c r="M139" s="1753"/>
      <c r="N139" s="1753"/>
      <c r="O139" s="1753"/>
      <c r="P139" s="1758"/>
      <c r="Q139" s="1758"/>
      <c r="R139" s="1758"/>
      <c r="S139" s="1758"/>
      <c r="T139" s="1762"/>
      <c r="U139" s="1762"/>
      <c r="V139" s="1762"/>
      <c r="W139" s="1762"/>
      <c r="X139" s="1750">
        <f t="shared" si="5"/>
        <v>0</v>
      </c>
      <c r="Y139" s="175">
        <f t="shared" si="6"/>
        <v>0</v>
      </c>
    </row>
    <row r="140" spans="1:25" ht="45" x14ac:dyDescent="0.25">
      <c r="A140" s="32"/>
      <c r="B140" s="32"/>
      <c r="C140" s="32"/>
      <c r="D140" s="32"/>
      <c r="E140" s="32"/>
      <c r="F140" s="32"/>
      <c r="G140" s="1340" t="s">
        <v>2688</v>
      </c>
      <c r="H140" s="66" t="str">
        <f>'BID I'!B665</f>
        <v>Belanja Bahan Perlengkapan yang Diserahkan ke masyarakat</v>
      </c>
      <c r="I140" s="174">
        <f>SUM('BID I'!F666:F672)</f>
        <v>34032000</v>
      </c>
      <c r="J140" s="66" t="s">
        <v>2639</v>
      </c>
      <c r="K140" s="470" t="s">
        <v>2988</v>
      </c>
      <c r="L140" s="1753"/>
      <c r="M140" s="1753"/>
      <c r="N140" s="1753"/>
      <c r="O140" s="1753"/>
      <c r="P140" s="1758"/>
      <c r="Q140" s="1758"/>
      <c r="R140" s="1758"/>
      <c r="S140" s="1758"/>
      <c r="T140" s="1762"/>
      <c r="U140" s="1762"/>
      <c r="V140" s="1762"/>
      <c r="W140" s="1762"/>
      <c r="X140" s="1750">
        <f t="shared" si="5"/>
        <v>0</v>
      </c>
      <c r="Y140" s="175">
        <f t="shared" si="6"/>
        <v>-34032000</v>
      </c>
    </row>
    <row r="141" spans="1:25" ht="30" x14ac:dyDescent="0.25">
      <c r="A141" s="1344">
        <v>1</v>
      </c>
      <c r="B141" s="1344">
        <v>1</v>
      </c>
      <c r="C141" s="1344">
        <v>96</v>
      </c>
      <c r="D141" s="1344"/>
      <c r="E141" s="1344"/>
      <c r="F141" s="1344"/>
      <c r="G141" s="1344"/>
      <c r="H141" s="1345" t="str">
        <f>'BID I'!B716</f>
        <v>: Tambahan  Penghasilan Perbekel dari BKK</v>
      </c>
      <c r="I141" s="1350">
        <f>I144+I145</f>
        <v>22500000</v>
      </c>
      <c r="J141" s="1345" t="s">
        <v>2638</v>
      </c>
      <c r="K141" s="1347" t="s">
        <v>2988</v>
      </c>
      <c r="L141" s="1344"/>
      <c r="M141" s="1344"/>
      <c r="N141" s="1344"/>
      <c r="O141" s="1344"/>
      <c r="P141" s="1344"/>
      <c r="Q141" s="1344"/>
      <c r="R141" s="1344"/>
      <c r="S141" s="1344"/>
      <c r="T141" s="1344"/>
      <c r="U141" s="1344"/>
      <c r="V141" s="1344"/>
      <c r="W141" s="1344"/>
      <c r="X141" s="1353">
        <f t="shared" si="5"/>
        <v>0</v>
      </c>
      <c r="Y141" s="175">
        <f t="shared" si="6"/>
        <v>-22500000</v>
      </c>
    </row>
    <row r="142" spans="1:25" x14ac:dyDescent="0.25">
      <c r="A142" s="32"/>
      <c r="B142" s="32"/>
      <c r="C142" s="32"/>
      <c r="D142" s="32">
        <v>5</v>
      </c>
      <c r="E142" s="32">
        <v>1</v>
      </c>
      <c r="F142" s="32"/>
      <c r="G142" s="32"/>
      <c r="H142" s="32" t="str">
        <f>'BID I'!B722</f>
        <v xml:space="preserve">Belanja Pegawai </v>
      </c>
      <c r="I142" s="32"/>
      <c r="J142" s="66"/>
      <c r="K142" s="470" t="s">
        <v>2988</v>
      </c>
      <c r="L142" s="1753"/>
      <c r="M142" s="1753"/>
      <c r="N142" s="1753"/>
      <c r="O142" s="1753"/>
      <c r="P142" s="1758"/>
      <c r="Q142" s="1758"/>
      <c r="R142" s="1758"/>
      <c r="S142" s="1758"/>
      <c r="T142" s="1762"/>
      <c r="U142" s="1762"/>
      <c r="V142" s="1762"/>
      <c r="W142" s="1762"/>
      <c r="X142" s="1750">
        <f t="shared" si="5"/>
        <v>0</v>
      </c>
      <c r="Y142" s="175">
        <f t="shared" si="6"/>
        <v>0</v>
      </c>
    </row>
    <row r="143" spans="1:25" ht="30" x14ac:dyDescent="0.25">
      <c r="A143" s="32"/>
      <c r="B143" s="32"/>
      <c r="C143" s="32"/>
      <c r="D143" s="32"/>
      <c r="E143" s="32"/>
      <c r="F143" s="32">
        <v>1</v>
      </c>
      <c r="G143" s="32"/>
      <c r="H143" s="66" t="str">
        <f>'BID I'!B723</f>
        <v>Penghasilan tetap dan Tunjangan Perbekel</v>
      </c>
      <c r="I143" s="32"/>
      <c r="J143" s="66"/>
      <c r="K143" s="470" t="s">
        <v>2988</v>
      </c>
      <c r="L143" s="1753"/>
      <c r="M143" s="1753"/>
      <c r="N143" s="1753"/>
      <c r="O143" s="1753"/>
      <c r="P143" s="1758"/>
      <c r="Q143" s="1758"/>
      <c r="R143" s="1758"/>
      <c r="S143" s="1758"/>
      <c r="T143" s="1762"/>
      <c r="U143" s="1762"/>
      <c r="V143" s="1762"/>
      <c r="W143" s="1762"/>
      <c r="X143" s="1750">
        <f t="shared" si="5"/>
        <v>0</v>
      </c>
      <c r="Y143" s="175">
        <f t="shared" si="6"/>
        <v>0</v>
      </c>
    </row>
    <row r="144" spans="1:25" ht="30" x14ac:dyDescent="0.25">
      <c r="A144" s="32"/>
      <c r="B144" s="32"/>
      <c r="C144" s="32"/>
      <c r="D144" s="32"/>
      <c r="E144" s="32"/>
      <c r="F144" s="32"/>
      <c r="G144" s="1340">
        <v>90</v>
      </c>
      <c r="H144" s="66" t="str">
        <f>'BID I'!B724</f>
        <v>Tambahan Penghasilan Perbekel Dari BKK</v>
      </c>
      <c r="I144" s="513">
        <f>'BID I'!F724</f>
        <v>18000000</v>
      </c>
      <c r="J144" s="66" t="s">
        <v>2638</v>
      </c>
      <c r="K144" s="470" t="s">
        <v>2988</v>
      </c>
      <c r="L144" s="1753"/>
      <c r="M144" s="1753"/>
      <c r="N144" s="1753"/>
      <c r="O144" s="1753"/>
      <c r="P144" s="1758"/>
      <c r="Q144" s="1758"/>
      <c r="R144" s="1758"/>
      <c r="S144" s="1758"/>
      <c r="T144" s="1762"/>
      <c r="U144" s="1762"/>
      <c r="V144" s="1762"/>
      <c r="W144" s="1762"/>
      <c r="X144" s="1750">
        <f t="shared" si="5"/>
        <v>0</v>
      </c>
      <c r="Y144" s="175">
        <f t="shared" si="6"/>
        <v>-18000000</v>
      </c>
    </row>
    <row r="145" spans="1:25" ht="30" x14ac:dyDescent="0.25">
      <c r="A145" s="32"/>
      <c r="B145" s="32"/>
      <c r="C145" s="32"/>
      <c r="D145" s="32"/>
      <c r="E145" s="32"/>
      <c r="F145" s="32"/>
      <c r="G145" s="1340">
        <v>91</v>
      </c>
      <c r="H145" s="66" t="str">
        <f>'BID I'!B725</f>
        <v>Kekurangan Tambaha Penghasilan Perbekel</v>
      </c>
      <c r="I145" s="513">
        <f>'BID I'!F725</f>
        <v>4500000</v>
      </c>
      <c r="J145" s="66" t="s">
        <v>2638</v>
      </c>
      <c r="K145" s="470" t="s">
        <v>2988</v>
      </c>
      <c r="L145" s="1753"/>
      <c r="M145" s="1753"/>
      <c r="N145" s="1753"/>
      <c r="O145" s="1753"/>
      <c r="P145" s="1758"/>
      <c r="Q145" s="1758"/>
      <c r="R145" s="1758"/>
      <c r="S145" s="1758"/>
      <c r="T145" s="1762"/>
      <c r="U145" s="1762"/>
      <c r="V145" s="1762"/>
      <c r="W145" s="1762"/>
      <c r="X145" s="1750">
        <f t="shared" si="5"/>
        <v>0</v>
      </c>
      <c r="Y145" s="175">
        <f t="shared" si="6"/>
        <v>-4500000</v>
      </c>
    </row>
    <row r="146" spans="1:25" ht="30" x14ac:dyDescent="0.25">
      <c r="A146" s="1344">
        <v>1</v>
      </c>
      <c r="B146" s="1344">
        <v>1</v>
      </c>
      <c r="C146" s="1344">
        <v>97</v>
      </c>
      <c r="D146" s="1344"/>
      <c r="E146" s="1344"/>
      <c r="F146" s="1344"/>
      <c r="G146" s="1344"/>
      <c r="H146" s="1345" t="str">
        <f>'BID I'!B742</f>
        <v>: Tambahan  Penghasilan Perangkat Desa dari BKK</v>
      </c>
      <c r="I146" s="1347">
        <f>I149+I150</f>
        <v>70500000</v>
      </c>
      <c r="J146" s="1345" t="s">
        <v>2638</v>
      </c>
      <c r="K146" s="1347" t="s">
        <v>2988</v>
      </c>
      <c r="L146" s="1344"/>
      <c r="M146" s="1344"/>
      <c r="N146" s="1344"/>
      <c r="O146" s="1344"/>
      <c r="P146" s="1344"/>
      <c r="Q146" s="1344"/>
      <c r="R146" s="1344"/>
      <c r="S146" s="1344"/>
      <c r="T146" s="1344"/>
      <c r="U146" s="1344"/>
      <c r="V146" s="1344"/>
      <c r="W146" s="1344"/>
      <c r="X146" s="1353">
        <f t="shared" si="5"/>
        <v>0</v>
      </c>
      <c r="Y146" s="175">
        <f t="shared" si="6"/>
        <v>-70500000</v>
      </c>
    </row>
    <row r="147" spans="1:25" x14ac:dyDescent="0.25">
      <c r="A147" s="32"/>
      <c r="B147" s="32"/>
      <c r="C147" s="32"/>
      <c r="D147" s="32">
        <v>5</v>
      </c>
      <c r="E147" s="32">
        <v>1</v>
      </c>
      <c r="F147" s="32"/>
      <c r="G147" s="32"/>
      <c r="H147" s="66" t="str">
        <f>'BID I'!B748</f>
        <v xml:space="preserve">Belanja Pegawai </v>
      </c>
      <c r="I147" s="32"/>
      <c r="J147" s="66"/>
      <c r="K147" s="470" t="s">
        <v>2988</v>
      </c>
      <c r="L147" s="1753"/>
      <c r="M147" s="1753"/>
      <c r="N147" s="1753"/>
      <c r="O147" s="1753"/>
      <c r="P147" s="1758"/>
      <c r="Q147" s="1758"/>
      <c r="R147" s="1758"/>
      <c r="S147" s="1758"/>
      <c r="T147" s="1762"/>
      <c r="U147" s="1762"/>
      <c r="V147" s="1762"/>
      <c r="W147" s="1762"/>
      <c r="X147" s="1750">
        <f t="shared" si="5"/>
        <v>0</v>
      </c>
      <c r="Y147" s="175">
        <f t="shared" si="6"/>
        <v>0</v>
      </c>
    </row>
    <row r="148" spans="1:25" ht="30" x14ac:dyDescent="0.25">
      <c r="A148" s="32"/>
      <c r="B148" s="32"/>
      <c r="C148" s="32"/>
      <c r="D148" s="32"/>
      <c r="E148" s="32"/>
      <c r="F148" s="32">
        <v>2</v>
      </c>
      <c r="G148" s="32"/>
      <c r="H148" s="66" t="str">
        <f>'BID I'!B749</f>
        <v>Penghasilan tetap dan Tunjangan Perangkat</v>
      </c>
      <c r="I148" s="32"/>
      <c r="J148" s="66"/>
      <c r="K148" s="470" t="s">
        <v>2988</v>
      </c>
      <c r="L148" s="1753"/>
      <c r="M148" s="1753"/>
      <c r="N148" s="1753"/>
      <c r="O148" s="1753"/>
      <c r="P148" s="1758"/>
      <c r="Q148" s="1758"/>
      <c r="R148" s="1758"/>
      <c r="S148" s="1758"/>
      <c r="T148" s="1762"/>
      <c r="U148" s="1762"/>
      <c r="V148" s="1762"/>
      <c r="W148" s="1762"/>
      <c r="X148" s="1750">
        <f t="shared" si="5"/>
        <v>0</v>
      </c>
      <c r="Y148" s="175">
        <f t="shared" si="6"/>
        <v>0</v>
      </c>
    </row>
    <row r="149" spans="1:25" ht="30" x14ac:dyDescent="0.25">
      <c r="A149" s="32"/>
      <c r="B149" s="32"/>
      <c r="C149" s="32"/>
      <c r="D149" s="32"/>
      <c r="E149" s="32"/>
      <c r="F149" s="32"/>
      <c r="G149" s="1340">
        <v>90</v>
      </c>
      <c r="H149" s="66" t="str">
        <f>'BID I'!B750</f>
        <v>Tambahan Penghasilan Perangkat Desa Dari BKK</v>
      </c>
      <c r="I149" s="513">
        <f>SUM('BID I'!F751:F754)</f>
        <v>56400000</v>
      </c>
      <c r="J149" s="66" t="s">
        <v>2638</v>
      </c>
      <c r="K149" s="470" t="s">
        <v>2988</v>
      </c>
      <c r="L149" s="1753"/>
      <c r="M149" s="1753"/>
      <c r="N149" s="1753"/>
      <c r="O149" s="1753"/>
      <c r="P149" s="1758"/>
      <c r="Q149" s="1758"/>
      <c r="R149" s="1758"/>
      <c r="S149" s="1758"/>
      <c r="T149" s="1762"/>
      <c r="U149" s="1762"/>
      <c r="V149" s="1762"/>
      <c r="W149" s="1762"/>
      <c r="X149" s="1750">
        <f t="shared" si="5"/>
        <v>0</v>
      </c>
      <c r="Y149" s="175">
        <f t="shared" si="6"/>
        <v>-56400000</v>
      </c>
    </row>
    <row r="150" spans="1:25" ht="45" x14ac:dyDescent="0.25">
      <c r="A150" s="32"/>
      <c r="B150" s="32"/>
      <c r="C150" s="32"/>
      <c r="D150" s="32"/>
      <c r="E150" s="32"/>
      <c r="F150" s="32"/>
      <c r="G150" s="1340">
        <v>91</v>
      </c>
      <c r="H150" s="66" t="str">
        <f>'BID I'!B755</f>
        <v>Kekurangan Tambahan Penghasilan Perangkat Desa Dari BKK</v>
      </c>
      <c r="I150" s="513">
        <f>SUM('BID I'!F756:F759)</f>
        <v>14100000</v>
      </c>
      <c r="J150" s="66" t="s">
        <v>2638</v>
      </c>
      <c r="K150" s="470" t="s">
        <v>2988</v>
      </c>
      <c r="L150" s="1753"/>
      <c r="M150" s="1753"/>
      <c r="N150" s="1753"/>
      <c r="O150" s="1753"/>
      <c r="P150" s="1758"/>
      <c r="Q150" s="1758"/>
      <c r="R150" s="1758"/>
      <c r="S150" s="1758"/>
      <c r="T150" s="1762"/>
      <c r="U150" s="1762"/>
      <c r="V150" s="1762"/>
      <c r="W150" s="1762"/>
      <c r="X150" s="1750">
        <f t="shared" si="5"/>
        <v>0</v>
      </c>
      <c r="Y150" s="175">
        <f t="shared" si="6"/>
        <v>-14100000</v>
      </c>
    </row>
    <row r="151" spans="1:25" ht="30" x14ac:dyDescent="0.25">
      <c r="A151" s="1344">
        <v>1</v>
      </c>
      <c r="B151" s="1344">
        <v>2</v>
      </c>
      <c r="C151" s="1344"/>
      <c r="D151" s="1344"/>
      <c r="E151" s="1344"/>
      <c r="F151" s="1344"/>
      <c r="G151" s="1346"/>
      <c r="H151" s="1345" t="str">
        <f>'BID I'!B777</f>
        <v>: Sarana dan Prasarana Pemerintah Desa</v>
      </c>
      <c r="I151" s="1350"/>
      <c r="J151" s="1345"/>
      <c r="K151" s="1344"/>
      <c r="L151" s="1344"/>
      <c r="M151" s="1344"/>
      <c r="N151" s="1344"/>
      <c r="O151" s="1344"/>
      <c r="P151" s="1344"/>
      <c r="Q151" s="1344"/>
      <c r="R151" s="1344"/>
      <c r="S151" s="1344"/>
      <c r="T151" s="1344"/>
      <c r="U151" s="1344"/>
      <c r="V151" s="1344"/>
      <c r="W151" s="1344"/>
      <c r="X151" s="1353">
        <f t="shared" si="5"/>
        <v>0</v>
      </c>
      <c r="Y151" s="175">
        <f t="shared" si="6"/>
        <v>0</v>
      </c>
    </row>
    <row r="152" spans="1:25" ht="30" x14ac:dyDescent="0.25">
      <c r="A152" s="1344">
        <v>1</v>
      </c>
      <c r="B152" s="1344">
        <v>2</v>
      </c>
      <c r="C152" s="1344">
        <v>1</v>
      </c>
      <c r="D152" s="1344"/>
      <c r="E152" s="1344"/>
      <c r="F152" s="1344"/>
      <c r="G152" s="1344"/>
      <c r="H152" s="1345" t="str">
        <f>'BID I'!B778</f>
        <v>: Penyediaan Aset Tetap (Prasarana Kantor Desa)</v>
      </c>
      <c r="I152" s="1347">
        <f>SUM(I153:I163)</f>
        <v>84962003.659999996</v>
      </c>
      <c r="J152" s="1345"/>
      <c r="K152" s="1347" t="s">
        <v>2988</v>
      </c>
      <c r="L152" s="1349"/>
      <c r="M152" s="1344"/>
      <c r="N152" s="1344"/>
      <c r="O152" s="1344"/>
      <c r="P152" s="1344"/>
      <c r="Q152" s="1344"/>
      <c r="R152" s="1344"/>
      <c r="S152" s="1344"/>
      <c r="T152" s="1344"/>
      <c r="U152" s="1344"/>
      <c r="V152" s="1344"/>
      <c r="W152" s="1344"/>
      <c r="X152" s="1353">
        <f t="shared" si="5"/>
        <v>0</v>
      </c>
      <c r="Y152" s="175">
        <f t="shared" si="6"/>
        <v>-84962003.659999996</v>
      </c>
    </row>
    <row r="153" spans="1:25" x14ac:dyDescent="0.25">
      <c r="A153" s="32"/>
      <c r="B153" s="32"/>
      <c r="C153" s="32"/>
      <c r="D153" s="32">
        <v>5</v>
      </c>
      <c r="E153" s="32">
        <v>3</v>
      </c>
      <c r="F153" s="32"/>
      <c r="G153" s="32"/>
      <c r="H153" s="66" t="str">
        <f>'BID I'!B783</f>
        <v>Belanja Modal</v>
      </c>
      <c r="I153" s="32"/>
      <c r="J153" s="66"/>
      <c r="K153" s="470" t="s">
        <v>2988</v>
      </c>
      <c r="L153" s="1753"/>
      <c r="M153" s="1753"/>
      <c r="N153" s="1753"/>
      <c r="O153" s="1753"/>
      <c r="P153" s="1758"/>
      <c r="Q153" s="1758"/>
      <c r="R153" s="1758"/>
      <c r="S153" s="1758"/>
      <c r="T153" s="1762"/>
      <c r="U153" s="1762"/>
      <c r="V153" s="1762"/>
      <c r="W153" s="1762"/>
      <c r="X153" s="1750">
        <f t="shared" si="5"/>
        <v>0</v>
      </c>
      <c r="Y153" s="175">
        <f t="shared" si="6"/>
        <v>0</v>
      </c>
    </row>
    <row r="154" spans="1:25" ht="30" x14ac:dyDescent="0.25">
      <c r="A154" s="32"/>
      <c r="B154" s="32"/>
      <c r="C154" s="32"/>
      <c r="D154" s="32"/>
      <c r="E154" s="32"/>
      <c r="F154" s="32">
        <v>2</v>
      </c>
      <c r="G154" s="32"/>
      <c r="H154" s="66" t="str">
        <f>'BID I'!B784</f>
        <v>Belanja Modal Peralatan, Mesin, dan Alat Berat</v>
      </c>
      <c r="I154" s="32"/>
      <c r="J154" s="66"/>
      <c r="K154" s="470" t="s">
        <v>2988</v>
      </c>
      <c r="L154" s="1753"/>
      <c r="M154" s="1753"/>
      <c r="N154" s="1753"/>
      <c r="O154" s="1753"/>
      <c r="P154" s="1758"/>
      <c r="Q154" s="1758"/>
      <c r="R154" s="1758"/>
      <c r="S154" s="1758"/>
      <c r="T154" s="1762"/>
      <c r="U154" s="1762"/>
      <c r="V154" s="1762"/>
      <c r="W154" s="1762"/>
      <c r="X154" s="1750">
        <f t="shared" ref="X154:X217" si="8">SUM(L154:W154)</f>
        <v>0</v>
      </c>
      <c r="Y154" s="175">
        <f t="shared" ref="Y154:Y217" si="9">X154-I154</f>
        <v>0</v>
      </c>
    </row>
    <row r="155" spans="1:25" ht="45" x14ac:dyDescent="0.25">
      <c r="A155" s="32"/>
      <c r="B155" s="32"/>
      <c r="C155" s="32"/>
      <c r="D155" s="32"/>
      <c r="E155" s="32"/>
      <c r="F155" s="32"/>
      <c r="G155" s="1340" t="s">
        <v>2688</v>
      </c>
      <c r="H155" s="66" t="str">
        <f>'BID I'!B785</f>
        <v>Belanja modal honor tim yang melaksanakan kegiatan</v>
      </c>
      <c r="I155" s="174">
        <f>SUM('BID I'!F786:F788)</f>
        <v>750000</v>
      </c>
      <c r="J155" s="66" t="s">
        <v>2626</v>
      </c>
      <c r="K155" s="470" t="s">
        <v>2988</v>
      </c>
      <c r="L155" s="1753"/>
      <c r="M155" s="1753"/>
      <c r="N155" s="1753"/>
      <c r="O155" s="1753"/>
      <c r="P155" s="1758"/>
      <c r="Q155" s="1758"/>
      <c r="R155" s="1758"/>
      <c r="S155" s="1758"/>
      <c r="T155" s="1762"/>
      <c r="U155" s="1762"/>
      <c r="V155" s="1762"/>
      <c r="W155" s="1762"/>
      <c r="X155" s="1750">
        <f t="shared" si="8"/>
        <v>0</v>
      </c>
      <c r="Y155" s="175">
        <f t="shared" si="9"/>
        <v>-750000</v>
      </c>
    </row>
    <row r="156" spans="1:25" ht="45" x14ac:dyDescent="0.25">
      <c r="A156" s="32"/>
      <c r="B156" s="32"/>
      <c r="C156" s="32"/>
      <c r="D156" s="32"/>
      <c r="E156" s="32"/>
      <c r="F156" s="32"/>
      <c r="G156" s="1340" t="s">
        <v>2702</v>
      </c>
      <c r="H156" s="66" t="str">
        <f>'BID I'!B791</f>
        <v>Belanja Modal Peralatan elektronik dan Alat Studio</v>
      </c>
      <c r="I156" s="174">
        <f>'BID I'!F792</f>
        <v>2483689</v>
      </c>
      <c r="J156" s="66" t="s">
        <v>2639</v>
      </c>
      <c r="K156" s="470" t="s">
        <v>2988</v>
      </c>
      <c r="L156" s="1753"/>
      <c r="M156" s="1753"/>
      <c r="N156" s="1753"/>
      <c r="O156" s="1753"/>
      <c r="P156" s="1758"/>
      <c r="Q156" s="1758"/>
      <c r="R156" s="1758"/>
      <c r="S156" s="1758"/>
      <c r="T156" s="1762"/>
      <c r="U156" s="1762"/>
      <c r="V156" s="1762"/>
      <c r="W156" s="1762"/>
      <c r="X156" s="1750">
        <f t="shared" si="8"/>
        <v>0</v>
      </c>
      <c r="Y156" s="175">
        <f t="shared" si="9"/>
        <v>-2483689</v>
      </c>
    </row>
    <row r="157" spans="1:25" ht="45" x14ac:dyDescent="0.25">
      <c r="A157" s="32"/>
      <c r="B157" s="32"/>
      <c r="C157" s="32"/>
      <c r="D157" s="32"/>
      <c r="E157" s="32"/>
      <c r="F157" s="32"/>
      <c r="G157" s="1340" t="s">
        <v>2702</v>
      </c>
      <c r="H157" s="66" t="str">
        <f>'BID I'!B791</f>
        <v>Belanja Modal Peralatan elektronik dan Alat Studio</v>
      </c>
      <c r="I157" s="174">
        <f>'BID I'!F793</f>
        <v>3527047</v>
      </c>
      <c r="J157" s="66" t="s">
        <v>2621</v>
      </c>
      <c r="K157" s="470" t="s">
        <v>2988</v>
      </c>
      <c r="L157" s="1753"/>
      <c r="M157" s="1753"/>
      <c r="N157" s="1753"/>
      <c r="O157" s="1753"/>
      <c r="P157" s="1758"/>
      <c r="Q157" s="1758"/>
      <c r="R157" s="1758"/>
      <c r="S157" s="1758"/>
      <c r="T157" s="1762"/>
      <c r="U157" s="1762"/>
      <c r="V157" s="1762"/>
      <c r="W157" s="1762"/>
      <c r="X157" s="1750">
        <f t="shared" si="8"/>
        <v>0</v>
      </c>
      <c r="Y157" s="175">
        <f t="shared" si="9"/>
        <v>-3527047</v>
      </c>
    </row>
    <row r="158" spans="1:25" ht="45" x14ac:dyDescent="0.25">
      <c r="A158" s="32"/>
      <c r="B158" s="32"/>
      <c r="C158" s="32"/>
      <c r="D158" s="32"/>
      <c r="E158" s="32"/>
      <c r="F158" s="32"/>
      <c r="G158" s="1340" t="s">
        <v>2702</v>
      </c>
      <c r="H158" s="66" t="str">
        <f>'BID I'!B791</f>
        <v>Belanja Modal Peralatan elektronik dan Alat Studio</v>
      </c>
      <c r="I158" s="174">
        <f>'BID I'!F794</f>
        <v>16780704</v>
      </c>
      <c r="J158" s="66" t="s">
        <v>2620</v>
      </c>
      <c r="K158" s="470" t="s">
        <v>2988</v>
      </c>
      <c r="L158" s="1753"/>
      <c r="M158" s="1753"/>
      <c r="N158" s="1753"/>
      <c r="O158" s="1753"/>
      <c r="P158" s="1758"/>
      <c r="Q158" s="1758"/>
      <c r="R158" s="1758"/>
      <c r="S158" s="1758"/>
      <c r="T158" s="1762"/>
      <c r="U158" s="1762"/>
      <c r="V158" s="1762"/>
      <c r="W158" s="1762"/>
      <c r="X158" s="1750">
        <f t="shared" si="8"/>
        <v>0</v>
      </c>
      <c r="Y158" s="175">
        <f t="shared" si="9"/>
        <v>-16780704</v>
      </c>
    </row>
    <row r="159" spans="1:25" ht="45" x14ac:dyDescent="0.25">
      <c r="A159" s="32"/>
      <c r="B159" s="32"/>
      <c r="C159" s="32"/>
      <c r="D159" s="32"/>
      <c r="E159" s="32"/>
      <c r="F159" s="32"/>
      <c r="G159" s="1340" t="s">
        <v>2702</v>
      </c>
      <c r="H159" s="66" t="str">
        <f>'BID I'!B791</f>
        <v>Belanja Modal Peralatan elektronik dan Alat Studio</v>
      </c>
      <c r="I159" s="174">
        <f>'BID I'!F796</f>
        <v>4290193</v>
      </c>
      <c r="J159" s="66" t="s">
        <v>2626</v>
      </c>
      <c r="K159" s="470" t="s">
        <v>2988</v>
      </c>
      <c r="L159" s="1753"/>
      <c r="M159" s="1753"/>
      <c r="N159" s="1753"/>
      <c r="O159" s="1753"/>
      <c r="P159" s="1758"/>
      <c r="Q159" s="1758"/>
      <c r="R159" s="1758"/>
      <c r="S159" s="1758"/>
      <c r="T159" s="1762"/>
      <c r="U159" s="1762"/>
      <c r="V159" s="1762"/>
      <c r="W159" s="1762"/>
      <c r="X159" s="1750">
        <f t="shared" si="8"/>
        <v>0</v>
      </c>
      <c r="Y159" s="175">
        <f t="shared" si="9"/>
        <v>-4290193</v>
      </c>
    </row>
    <row r="160" spans="1:25" ht="45" x14ac:dyDescent="0.25">
      <c r="A160" s="32"/>
      <c r="B160" s="32"/>
      <c r="C160" s="32"/>
      <c r="D160" s="32"/>
      <c r="E160" s="32"/>
      <c r="F160" s="32"/>
      <c r="G160" s="1340" t="s">
        <v>2702</v>
      </c>
      <c r="H160" s="1352" t="str">
        <f>'BID I'!B791</f>
        <v>Belanja Modal Peralatan elektronik dan Alat Studio</v>
      </c>
      <c r="I160" s="174">
        <f>'BID I'!F795</f>
        <v>11000000</v>
      </c>
      <c r="J160" s="66" t="s">
        <v>1690</v>
      </c>
      <c r="K160" s="470" t="s">
        <v>2988</v>
      </c>
      <c r="L160" s="1753"/>
      <c r="M160" s="1753"/>
      <c r="N160" s="1753"/>
      <c r="O160" s="1753"/>
      <c r="P160" s="1758"/>
      <c r="Q160" s="1758"/>
      <c r="R160" s="1758"/>
      <c r="S160" s="1758"/>
      <c r="T160" s="1762"/>
      <c r="U160" s="1762"/>
      <c r="V160" s="1762"/>
      <c r="W160" s="1762"/>
      <c r="X160" s="1750">
        <f t="shared" si="8"/>
        <v>0</v>
      </c>
      <c r="Y160" s="175">
        <f t="shared" si="9"/>
        <v>-11000000</v>
      </c>
    </row>
    <row r="161" spans="1:25" ht="45" x14ac:dyDescent="0.25">
      <c r="A161" s="32"/>
      <c r="B161" s="32"/>
      <c r="C161" s="32"/>
      <c r="D161" s="32"/>
      <c r="E161" s="32"/>
      <c r="F161" s="32"/>
      <c r="G161" s="1340" t="s">
        <v>2702</v>
      </c>
      <c r="H161" s="1352" t="str">
        <f>'BID I'!B791</f>
        <v>Belanja Modal Peralatan elektronik dan Alat Studio</v>
      </c>
      <c r="I161" s="174">
        <f>'BID I'!F797</f>
        <v>25000000</v>
      </c>
      <c r="J161" s="66" t="s">
        <v>2623</v>
      </c>
      <c r="K161" s="470" t="s">
        <v>2988</v>
      </c>
      <c r="L161" s="1753"/>
      <c r="M161" s="1753"/>
      <c r="N161" s="1753"/>
      <c r="O161" s="1753"/>
      <c r="P161" s="1758"/>
      <c r="Q161" s="1758"/>
      <c r="R161" s="1758"/>
      <c r="S161" s="1758"/>
      <c r="T161" s="1762"/>
      <c r="U161" s="1762"/>
      <c r="V161" s="1762"/>
      <c r="W161" s="1762"/>
      <c r="X161" s="1750">
        <f t="shared" si="8"/>
        <v>0</v>
      </c>
      <c r="Y161" s="175">
        <f t="shared" si="9"/>
        <v>-25000000</v>
      </c>
    </row>
    <row r="162" spans="1:25" ht="45" x14ac:dyDescent="0.25">
      <c r="A162" s="32"/>
      <c r="B162" s="32"/>
      <c r="C162" s="32"/>
      <c r="D162" s="32"/>
      <c r="E162" s="32"/>
      <c r="F162" s="32"/>
      <c r="G162" s="1340" t="s">
        <v>2704</v>
      </c>
      <c r="H162" s="1352" t="str">
        <f>'BID I'!B798</f>
        <v>Belanja Modal Peralatan mebeulair dan Aksesori ruangan</v>
      </c>
      <c r="I162" s="174">
        <f>SUM('BID I'!F799:F800)</f>
        <v>10630370.66</v>
      </c>
      <c r="J162" s="66" t="s">
        <v>2635</v>
      </c>
      <c r="K162" s="470" t="s">
        <v>2988</v>
      </c>
      <c r="L162" s="1753"/>
      <c r="M162" s="1753"/>
      <c r="N162" s="1753"/>
      <c r="O162" s="1753"/>
      <c r="P162" s="1758"/>
      <c r="Q162" s="1758"/>
      <c r="R162" s="1758"/>
      <c r="S162" s="1758"/>
      <c r="T162" s="1762"/>
      <c r="U162" s="1762"/>
      <c r="V162" s="1762"/>
      <c r="W162" s="1762"/>
      <c r="X162" s="1750">
        <f t="shared" si="8"/>
        <v>0</v>
      </c>
      <c r="Y162" s="175">
        <f t="shared" si="9"/>
        <v>-10630370.66</v>
      </c>
    </row>
    <row r="163" spans="1:25" ht="45" x14ac:dyDescent="0.25">
      <c r="A163" s="32"/>
      <c r="B163" s="32"/>
      <c r="C163" s="32"/>
      <c r="D163" s="32"/>
      <c r="E163" s="32"/>
      <c r="F163" s="32"/>
      <c r="G163" s="1340" t="s">
        <v>2704</v>
      </c>
      <c r="H163" s="66" t="str">
        <f>'BID I'!B798</f>
        <v>Belanja Modal Peralatan mebeulair dan Aksesori ruangan</v>
      </c>
      <c r="I163" s="174">
        <f>'BID I'!F801</f>
        <v>10500000</v>
      </c>
      <c r="J163" s="66" t="s">
        <v>1690</v>
      </c>
      <c r="K163" s="470" t="s">
        <v>2988</v>
      </c>
      <c r="L163" s="1753"/>
      <c r="M163" s="1753"/>
      <c r="N163" s="1753"/>
      <c r="O163" s="1753"/>
      <c r="P163" s="1758"/>
      <c r="Q163" s="1758"/>
      <c r="R163" s="1758"/>
      <c r="S163" s="1758"/>
      <c r="T163" s="1762"/>
      <c r="U163" s="1762"/>
      <c r="V163" s="1762"/>
      <c r="W163" s="1762"/>
      <c r="X163" s="1750">
        <f t="shared" si="8"/>
        <v>0</v>
      </c>
      <c r="Y163" s="175">
        <f t="shared" si="9"/>
        <v>-10500000</v>
      </c>
    </row>
    <row r="164" spans="1:25" ht="45" x14ac:dyDescent="0.25">
      <c r="A164" s="1344">
        <v>1</v>
      </c>
      <c r="B164" s="1344">
        <v>2</v>
      </c>
      <c r="C164" s="1346" t="s">
        <v>2702</v>
      </c>
      <c r="D164" s="1344"/>
      <c r="E164" s="1344"/>
      <c r="F164" s="1344"/>
      <c r="G164" s="1344"/>
      <c r="H164" s="1345" t="str">
        <f>'Penjabaran APBDesa'!H180</f>
        <v>Pemeliharaan Gedung/Prasarana Kantor Desa (Ruang Rapat)</v>
      </c>
      <c r="I164" s="1347">
        <f>SUM(I165:I168)</f>
        <v>45676945</v>
      </c>
      <c r="J164" s="1345" t="s">
        <v>2626</v>
      </c>
      <c r="K164" s="1796" t="s">
        <v>3030</v>
      </c>
      <c r="L164" s="1344"/>
      <c r="M164" s="1344"/>
      <c r="N164" s="1344"/>
      <c r="O164" s="1344"/>
      <c r="P164" s="1344"/>
      <c r="Q164" s="1344"/>
      <c r="R164" s="1344"/>
      <c r="S164" s="1344"/>
      <c r="T164" s="1344"/>
      <c r="U164" s="1344"/>
      <c r="V164" s="1344"/>
      <c r="W164" s="1344"/>
      <c r="X164" s="1353">
        <f t="shared" si="8"/>
        <v>0</v>
      </c>
      <c r="Y164" s="175">
        <f t="shared" si="9"/>
        <v>-45676945</v>
      </c>
    </row>
    <row r="165" spans="1:25" ht="30" x14ac:dyDescent="0.25">
      <c r="A165" s="32"/>
      <c r="B165" s="32"/>
      <c r="C165" s="32"/>
      <c r="D165" s="32">
        <v>5</v>
      </c>
      <c r="E165" s="32">
        <v>3</v>
      </c>
      <c r="F165" s="32"/>
      <c r="G165" s="32"/>
      <c r="H165" s="66" t="str">
        <f>'Penjabaran APBDesa'!H181</f>
        <v>Belanja Modal</v>
      </c>
      <c r="I165" s="32"/>
      <c r="J165" s="66"/>
      <c r="K165" s="851" t="s">
        <v>3030</v>
      </c>
      <c r="L165" s="1753"/>
      <c r="M165" s="1753"/>
      <c r="N165" s="1753"/>
      <c r="O165" s="1753"/>
      <c r="P165" s="1758"/>
      <c r="Q165" s="1758"/>
      <c r="R165" s="1758"/>
      <c r="S165" s="1758"/>
      <c r="T165" s="1762"/>
      <c r="U165" s="1762"/>
      <c r="V165" s="1762"/>
      <c r="W165" s="1762"/>
      <c r="X165" s="1750">
        <f t="shared" si="8"/>
        <v>0</v>
      </c>
      <c r="Y165" s="175">
        <f t="shared" si="9"/>
        <v>0</v>
      </c>
    </row>
    <row r="166" spans="1:25" ht="30" x14ac:dyDescent="0.25">
      <c r="A166" s="32"/>
      <c r="B166" s="32"/>
      <c r="C166" s="32"/>
      <c r="D166" s="32"/>
      <c r="E166" s="32"/>
      <c r="F166" s="32">
        <v>4</v>
      </c>
      <c r="G166" s="32"/>
      <c r="H166" s="66" t="str">
        <f>'Penjabaran APBDesa'!H182</f>
        <v>Belanja modal Gedung, Bangunan, Tanaman</v>
      </c>
      <c r="I166" s="32"/>
      <c r="J166" s="66"/>
      <c r="K166" s="851" t="s">
        <v>3030</v>
      </c>
      <c r="L166" s="1753"/>
      <c r="M166" s="1753"/>
      <c r="N166" s="1753"/>
      <c r="O166" s="1753"/>
      <c r="P166" s="1758"/>
      <c r="Q166" s="1758"/>
      <c r="R166" s="1758"/>
      <c r="S166" s="1758"/>
      <c r="T166" s="1762"/>
      <c r="U166" s="1762"/>
      <c r="V166" s="1762"/>
      <c r="W166" s="1762"/>
      <c r="X166" s="1750">
        <f t="shared" si="8"/>
        <v>0</v>
      </c>
      <c r="Y166" s="175">
        <f t="shared" si="9"/>
        <v>0</v>
      </c>
    </row>
    <row r="167" spans="1:25" ht="45" x14ac:dyDescent="0.25">
      <c r="A167" s="32"/>
      <c r="B167" s="32"/>
      <c r="C167" s="32"/>
      <c r="D167" s="32"/>
      <c r="E167" s="32"/>
      <c r="F167" s="32"/>
      <c r="G167" s="1340" t="s">
        <v>2688</v>
      </c>
      <c r="H167" s="66" t="str">
        <f>'Penjabaran APBDesa'!H183</f>
        <v>Belanja modal oprasional tim yang melaksanakan kegiatan</v>
      </c>
      <c r="I167" s="174">
        <f>'Penjabaran APBDesa'!K183</f>
        <v>890000</v>
      </c>
      <c r="J167" s="66" t="s">
        <v>2626</v>
      </c>
      <c r="K167" s="851" t="s">
        <v>3030</v>
      </c>
      <c r="L167" s="1753"/>
      <c r="M167" s="1753"/>
      <c r="N167" s="1754">
        <v>890000</v>
      </c>
      <c r="O167" s="1753"/>
      <c r="P167" s="1758"/>
      <c r="Q167" s="1758"/>
      <c r="R167" s="1758"/>
      <c r="S167" s="1758"/>
      <c r="T167" s="1762"/>
      <c r="U167" s="1762"/>
      <c r="V167" s="1762"/>
      <c r="W167" s="1762"/>
      <c r="X167" s="1750">
        <f t="shared" si="8"/>
        <v>890000</v>
      </c>
      <c r="Y167" s="175">
        <f t="shared" si="9"/>
        <v>0</v>
      </c>
    </row>
    <row r="168" spans="1:25" ht="30" x14ac:dyDescent="0.25">
      <c r="A168" s="32"/>
      <c r="B168" s="32"/>
      <c r="C168" s="32"/>
      <c r="D168" s="32"/>
      <c r="E168" s="32"/>
      <c r="F168" s="32"/>
      <c r="G168" s="1340" t="s">
        <v>2703</v>
      </c>
      <c r="H168" s="66" t="str">
        <f>'Penjabaran APBDesa'!H184</f>
        <v>Belanja modal bahan baku</v>
      </c>
      <c r="I168" s="174">
        <f>'Penjabaran APBDesa'!K184</f>
        <v>44786945</v>
      </c>
      <c r="J168" s="66" t="s">
        <v>2626</v>
      </c>
      <c r="K168" s="851" t="s">
        <v>3030</v>
      </c>
      <c r="L168" s="1753"/>
      <c r="M168" s="1753"/>
      <c r="N168" s="1754">
        <v>44786945</v>
      </c>
      <c r="O168" s="1753"/>
      <c r="P168" s="1758"/>
      <c r="Q168" s="1758"/>
      <c r="R168" s="1758"/>
      <c r="S168" s="1758"/>
      <c r="T168" s="1762"/>
      <c r="U168" s="1762"/>
      <c r="V168" s="1762"/>
      <c r="W168" s="1762"/>
      <c r="X168" s="1750">
        <f t="shared" si="8"/>
        <v>44786945</v>
      </c>
      <c r="Y168" s="175">
        <f t="shared" si="9"/>
        <v>0</v>
      </c>
    </row>
    <row r="169" spans="1:25" ht="60" x14ac:dyDescent="0.25">
      <c r="A169" s="1344">
        <v>1</v>
      </c>
      <c r="B169" s="1344">
        <v>2</v>
      </c>
      <c r="C169" s="1346" t="s">
        <v>2702</v>
      </c>
      <c r="D169" s="1344"/>
      <c r="E169" s="1344"/>
      <c r="F169" s="1344"/>
      <c r="G169" s="1344"/>
      <c r="H169" s="1345" t="str">
        <f>'BID I'!B853:B853</f>
        <v xml:space="preserve">Pemeliharaan Gedung/Prasarana Kantor Desa (Pengelasan Atap Parkir) </v>
      </c>
      <c r="I169" s="1347">
        <f>SUM(I170:I173)</f>
        <v>22899750</v>
      </c>
      <c r="J169" s="1345" t="s">
        <v>2626</v>
      </c>
      <c r="K169" s="1796" t="s">
        <v>3030</v>
      </c>
      <c r="L169" s="1344"/>
      <c r="M169" s="1344"/>
      <c r="N169" s="1344"/>
      <c r="O169" s="1344"/>
      <c r="P169" s="1344"/>
      <c r="Q169" s="1344"/>
      <c r="R169" s="1344"/>
      <c r="S169" s="1344"/>
      <c r="T169" s="1344"/>
      <c r="U169" s="1344"/>
      <c r="V169" s="1344"/>
      <c r="W169" s="1344"/>
      <c r="X169" s="1353">
        <f t="shared" si="8"/>
        <v>0</v>
      </c>
      <c r="Y169" s="175">
        <f t="shared" si="9"/>
        <v>-22899750</v>
      </c>
    </row>
    <row r="170" spans="1:25" ht="30" x14ac:dyDescent="0.25">
      <c r="A170" s="32"/>
      <c r="B170" s="32"/>
      <c r="C170" s="32"/>
      <c r="D170" s="32">
        <v>5</v>
      </c>
      <c r="E170" s="32">
        <v>3</v>
      </c>
      <c r="F170" s="32"/>
      <c r="G170" s="32"/>
      <c r="H170" s="66" t="str">
        <f>'BID I'!B860</f>
        <v>Belanja Modal</v>
      </c>
      <c r="I170" s="32"/>
      <c r="J170" s="66"/>
      <c r="K170" s="851" t="s">
        <v>3030</v>
      </c>
      <c r="L170" s="1753"/>
      <c r="M170" s="1753"/>
      <c r="N170" s="1753"/>
      <c r="O170" s="1753"/>
      <c r="P170" s="1758"/>
      <c r="Q170" s="1758"/>
      <c r="R170" s="1758"/>
      <c r="S170" s="1758"/>
      <c r="T170" s="1762"/>
      <c r="U170" s="1762"/>
      <c r="V170" s="1762"/>
      <c r="W170" s="1762"/>
      <c r="X170" s="1750">
        <f t="shared" si="8"/>
        <v>0</v>
      </c>
      <c r="Y170" s="175">
        <f t="shared" si="9"/>
        <v>0</v>
      </c>
    </row>
    <row r="171" spans="1:25" ht="30" x14ac:dyDescent="0.25">
      <c r="A171" s="32"/>
      <c r="B171" s="32"/>
      <c r="C171" s="32"/>
      <c r="D171" s="32"/>
      <c r="E171" s="32"/>
      <c r="F171" s="32">
        <v>4</v>
      </c>
      <c r="G171" s="32"/>
      <c r="H171" s="66" t="str">
        <f>'BID I'!B861</f>
        <v>Belanja modal Gedung, Bangunan, Tanaman</v>
      </c>
      <c r="I171" s="32"/>
      <c r="J171" s="66"/>
      <c r="K171" s="851" t="s">
        <v>3030</v>
      </c>
      <c r="L171" s="1753"/>
      <c r="M171" s="1753"/>
      <c r="N171" s="1753"/>
      <c r="O171" s="1753"/>
      <c r="P171" s="1758"/>
      <c r="Q171" s="1758"/>
      <c r="R171" s="1758"/>
      <c r="S171" s="1758"/>
      <c r="T171" s="1762"/>
      <c r="U171" s="1762"/>
      <c r="V171" s="1762"/>
      <c r="W171" s="1762"/>
      <c r="X171" s="1750">
        <f t="shared" si="8"/>
        <v>0</v>
      </c>
      <c r="Y171" s="175">
        <f t="shared" si="9"/>
        <v>0</v>
      </c>
    </row>
    <row r="172" spans="1:25" ht="45" x14ac:dyDescent="0.25">
      <c r="A172" s="32"/>
      <c r="B172" s="32"/>
      <c r="C172" s="32"/>
      <c r="D172" s="32"/>
      <c r="E172" s="32"/>
      <c r="F172" s="32"/>
      <c r="G172" s="1340" t="s">
        <v>2688</v>
      </c>
      <c r="H172" s="66" t="str">
        <f>'BID I'!B862</f>
        <v>Belanja modal oprasional tim yang melaksanakan kegiatan</v>
      </c>
      <c r="I172" s="174">
        <f>'BID I'!F864</f>
        <v>449000</v>
      </c>
      <c r="J172" s="66" t="s">
        <v>2626</v>
      </c>
      <c r="K172" s="851" t="s">
        <v>3030</v>
      </c>
      <c r="L172" s="1753"/>
      <c r="M172" s="1753"/>
      <c r="N172" s="1753"/>
      <c r="O172" s="1753"/>
      <c r="P172" s="1758"/>
      <c r="Q172" s="1758"/>
      <c r="R172" s="1758"/>
      <c r="S172" s="1758"/>
      <c r="T172" s="1762"/>
      <c r="U172" s="1762"/>
      <c r="V172" s="1762"/>
      <c r="W172" s="1762"/>
      <c r="X172" s="1750">
        <f t="shared" si="8"/>
        <v>0</v>
      </c>
      <c r="Y172" s="175">
        <f t="shared" si="9"/>
        <v>-449000</v>
      </c>
    </row>
    <row r="173" spans="1:25" ht="30" x14ac:dyDescent="0.25">
      <c r="A173" s="32"/>
      <c r="B173" s="32"/>
      <c r="C173" s="32"/>
      <c r="D173" s="32"/>
      <c r="E173" s="32"/>
      <c r="F173" s="32"/>
      <c r="G173" s="1340" t="s">
        <v>2703</v>
      </c>
      <c r="H173" s="32" t="str">
        <f>'BID I'!B865</f>
        <v>Belanja modal bahan baku</v>
      </c>
      <c r="I173" s="174">
        <f>'BID I'!F869</f>
        <v>22450750</v>
      </c>
      <c r="J173" s="66" t="s">
        <v>2626</v>
      </c>
      <c r="K173" s="851" t="s">
        <v>3030</v>
      </c>
      <c r="L173" s="1753"/>
      <c r="M173" s="1753"/>
      <c r="N173" s="1753"/>
      <c r="O173" s="1753"/>
      <c r="P173" s="1758"/>
      <c r="Q173" s="1758"/>
      <c r="R173" s="1758"/>
      <c r="S173" s="1758"/>
      <c r="T173" s="1762"/>
      <c r="U173" s="1762"/>
      <c r="V173" s="1762"/>
      <c r="W173" s="1762"/>
      <c r="X173" s="1750">
        <f t="shared" si="8"/>
        <v>0</v>
      </c>
      <c r="Y173" s="175">
        <f t="shared" si="9"/>
        <v>-22450750</v>
      </c>
    </row>
    <row r="174" spans="1:25" ht="90" x14ac:dyDescent="0.25">
      <c r="A174" s="1344">
        <v>1</v>
      </c>
      <c r="B174" s="1344">
        <v>2</v>
      </c>
      <c r="C174" s="1346" t="s">
        <v>2702</v>
      </c>
      <c r="D174" s="1344"/>
      <c r="E174" s="1344"/>
      <c r="F174" s="1344"/>
      <c r="G174" s="1344"/>
      <c r="H174" s="1345" t="str">
        <f>'BID I'!B884</f>
        <v>Pemeliharaan/ Rehabilitasi/ Peningkatan Gedung/ Prasarana Kantor Desa (Penataan Kebun dan Vertical Garden)</v>
      </c>
      <c r="I174" s="1347">
        <f>SUM(I175:I179)</f>
        <v>32007000</v>
      </c>
      <c r="J174" s="1345" t="s">
        <v>2627</v>
      </c>
      <c r="K174" s="1796" t="s">
        <v>3030</v>
      </c>
      <c r="L174" s="1344"/>
      <c r="M174" s="1344"/>
      <c r="N174" s="1344"/>
      <c r="O174" s="1344"/>
      <c r="P174" s="1344"/>
      <c r="Q174" s="1344"/>
      <c r="R174" s="1344"/>
      <c r="S174" s="1344"/>
      <c r="T174" s="1344"/>
      <c r="U174" s="1344"/>
      <c r="V174" s="1344"/>
      <c r="W174" s="1344"/>
      <c r="X174" s="1353">
        <f t="shared" si="8"/>
        <v>0</v>
      </c>
      <c r="Y174" s="175">
        <f t="shared" si="9"/>
        <v>-32007000</v>
      </c>
    </row>
    <row r="175" spans="1:25" ht="30" x14ac:dyDescent="0.25">
      <c r="A175" s="32"/>
      <c r="B175" s="32"/>
      <c r="C175" s="32"/>
      <c r="D175" s="32">
        <v>5</v>
      </c>
      <c r="E175" s="32">
        <v>3</v>
      </c>
      <c r="F175" s="32"/>
      <c r="G175" s="32"/>
      <c r="H175" s="66" t="str">
        <f>'BID I'!B891</f>
        <v>Belanja Modal</v>
      </c>
      <c r="I175" s="32"/>
      <c r="J175" s="66"/>
      <c r="K175" s="851" t="s">
        <v>3030</v>
      </c>
      <c r="L175" s="1753"/>
      <c r="M175" s="1753"/>
      <c r="N175" s="1753"/>
      <c r="O175" s="1753"/>
      <c r="P175" s="1758"/>
      <c r="Q175" s="1758"/>
      <c r="R175" s="1758"/>
      <c r="S175" s="1758"/>
      <c r="T175" s="1762"/>
      <c r="U175" s="1762"/>
      <c r="V175" s="1762"/>
      <c r="W175" s="1762"/>
      <c r="X175" s="1750">
        <f t="shared" si="8"/>
        <v>0</v>
      </c>
      <c r="Y175" s="175">
        <f t="shared" si="9"/>
        <v>0</v>
      </c>
    </row>
    <row r="176" spans="1:25" ht="30" x14ac:dyDescent="0.25">
      <c r="A176" s="32"/>
      <c r="B176" s="32"/>
      <c r="C176" s="32"/>
      <c r="D176" s="32"/>
      <c r="E176" s="32"/>
      <c r="F176" s="32">
        <v>4</v>
      </c>
      <c r="G176" s="32"/>
      <c r="H176" s="66" t="str">
        <f>'BID I'!B892</f>
        <v>Belanja modal Gedung, Bangunan, Tanaman</v>
      </c>
      <c r="I176" s="32"/>
      <c r="J176" s="66"/>
      <c r="K176" s="851" t="s">
        <v>3030</v>
      </c>
      <c r="L176" s="1753"/>
      <c r="M176" s="1753"/>
      <c r="N176" s="1753"/>
      <c r="O176" s="1753"/>
      <c r="P176" s="1758"/>
      <c r="Q176" s="1758"/>
      <c r="R176" s="1758"/>
      <c r="S176" s="1758"/>
      <c r="T176" s="1762"/>
      <c r="U176" s="1762"/>
      <c r="V176" s="1762"/>
      <c r="W176" s="1762"/>
      <c r="X176" s="1750">
        <f t="shared" si="8"/>
        <v>0</v>
      </c>
      <c r="Y176" s="175">
        <f t="shared" si="9"/>
        <v>0</v>
      </c>
    </row>
    <row r="177" spans="1:25" ht="45" x14ac:dyDescent="0.25">
      <c r="A177" s="32"/>
      <c r="B177" s="32"/>
      <c r="C177" s="32"/>
      <c r="D177" s="32"/>
      <c r="E177" s="32"/>
      <c r="F177" s="32"/>
      <c r="G177" s="1340" t="s">
        <v>2688</v>
      </c>
      <c r="H177" s="66" t="str">
        <f>'BID I'!B893</f>
        <v>Belanja modal oprasional tim yang melaksanakan kegiatan</v>
      </c>
      <c r="I177" s="174">
        <f>'BID I'!F895</f>
        <v>627000</v>
      </c>
      <c r="J177" s="66" t="s">
        <v>2627</v>
      </c>
      <c r="K177" s="851" t="s">
        <v>3030</v>
      </c>
      <c r="L177" s="1753"/>
      <c r="M177" s="1753"/>
      <c r="N177" s="1753"/>
      <c r="O177" s="1753"/>
      <c r="P177" s="1758"/>
      <c r="Q177" s="1758"/>
      <c r="R177" s="1758"/>
      <c r="S177" s="1758"/>
      <c r="T177" s="1762"/>
      <c r="U177" s="1762"/>
      <c r="V177" s="1762"/>
      <c r="W177" s="1762"/>
      <c r="X177" s="1750">
        <f t="shared" si="8"/>
        <v>0</v>
      </c>
      <c r="Y177" s="175">
        <f t="shared" si="9"/>
        <v>-627000</v>
      </c>
    </row>
    <row r="178" spans="1:25" ht="30" x14ac:dyDescent="0.25">
      <c r="A178" s="32"/>
      <c r="B178" s="32"/>
      <c r="C178" s="32"/>
      <c r="D178" s="32"/>
      <c r="E178" s="32"/>
      <c r="F178" s="32"/>
      <c r="G178" s="1340" t="s">
        <v>2702</v>
      </c>
      <c r="H178" s="66" t="str">
        <f>'BID I'!B896</f>
        <v>Belanja modal upah tenaga kerja</v>
      </c>
      <c r="I178" s="174">
        <f>'BID I'!F899</f>
        <v>2600000</v>
      </c>
      <c r="J178" s="66" t="s">
        <v>2627</v>
      </c>
      <c r="K178" s="851" t="s">
        <v>3030</v>
      </c>
      <c r="L178" s="1753"/>
      <c r="M178" s="1753"/>
      <c r="N178" s="1753"/>
      <c r="O178" s="1753"/>
      <c r="P178" s="1758"/>
      <c r="Q178" s="1758"/>
      <c r="R178" s="1758"/>
      <c r="S178" s="1758"/>
      <c r="T178" s="1762"/>
      <c r="U178" s="1762"/>
      <c r="V178" s="1762"/>
      <c r="W178" s="1762"/>
      <c r="X178" s="1750">
        <f t="shared" si="8"/>
        <v>0</v>
      </c>
      <c r="Y178" s="175">
        <f t="shared" si="9"/>
        <v>-2600000</v>
      </c>
    </row>
    <row r="179" spans="1:25" ht="30" x14ac:dyDescent="0.25">
      <c r="A179" s="32"/>
      <c r="B179" s="32"/>
      <c r="C179" s="32"/>
      <c r="D179" s="32"/>
      <c r="E179" s="32"/>
      <c r="F179" s="32"/>
      <c r="G179" s="1340" t="s">
        <v>2703</v>
      </c>
      <c r="H179" s="66" t="str">
        <f>'BID I'!B900</f>
        <v>Belanja modal bahan baku</v>
      </c>
      <c r="I179" s="174">
        <f>'BID I'!F904</f>
        <v>28780000</v>
      </c>
      <c r="J179" s="66" t="s">
        <v>2627</v>
      </c>
      <c r="K179" s="851" t="s">
        <v>3030</v>
      </c>
      <c r="L179" s="1753"/>
      <c r="M179" s="1753"/>
      <c r="N179" s="1753"/>
      <c r="O179" s="1753"/>
      <c r="P179" s="1758"/>
      <c r="Q179" s="1758"/>
      <c r="R179" s="1758"/>
      <c r="S179" s="1758"/>
      <c r="T179" s="1762"/>
      <c r="U179" s="1762"/>
      <c r="V179" s="1762"/>
      <c r="W179" s="1762"/>
      <c r="X179" s="1750">
        <f t="shared" si="8"/>
        <v>0</v>
      </c>
      <c r="Y179" s="175">
        <f t="shared" si="9"/>
        <v>-28780000</v>
      </c>
    </row>
    <row r="180" spans="1:25" ht="75" x14ac:dyDescent="0.25">
      <c r="A180" s="1344">
        <v>1</v>
      </c>
      <c r="B180" s="1344">
        <v>3</v>
      </c>
      <c r="C180" s="1346" t="s">
        <v>2702</v>
      </c>
      <c r="D180" s="1344"/>
      <c r="E180" s="1344"/>
      <c r="F180" s="1344"/>
      <c r="G180" s="1344"/>
      <c r="H180" s="1345" t="str">
        <f>'BID I'!B919</f>
        <v>: Penyusunan/ Pendataan/Pemuktahiran Profil Desa (Profil Kependudukan dan potensi Desa )</v>
      </c>
      <c r="I180" s="1347">
        <f>SUM(I181:I192)</f>
        <v>51506000</v>
      </c>
      <c r="J180" s="1345" t="s">
        <v>2627</v>
      </c>
      <c r="K180" s="1345" t="s">
        <v>2992</v>
      </c>
      <c r="L180" s="1344"/>
      <c r="M180" s="1344"/>
      <c r="N180" s="1344"/>
      <c r="O180" s="1344"/>
      <c r="P180" s="1344"/>
      <c r="Q180" s="1344"/>
      <c r="R180" s="1344"/>
      <c r="S180" s="1344"/>
      <c r="T180" s="1344"/>
      <c r="U180" s="1344"/>
      <c r="V180" s="1344"/>
      <c r="W180" s="1344"/>
      <c r="X180" s="1353">
        <f t="shared" si="8"/>
        <v>0</v>
      </c>
      <c r="Y180" s="175">
        <f t="shared" si="9"/>
        <v>-51506000</v>
      </c>
    </row>
    <row r="181" spans="1:25" ht="30" x14ac:dyDescent="0.25">
      <c r="A181" s="32"/>
      <c r="B181" s="32"/>
      <c r="C181" s="32"/>
      <c r="D181" s="32">
        <v>5</v>
      </c>
      <c r="E181" s="32">
        <v>2</v>
      </c>
      <c r="F181" s="32"/>
      <c r="G181" s="32"/>
      <c r="H181" s="66" t="str">
        <f>'BID I'!B927</f>
        <v>Belanja Barang Jasa</v>
      </c>
      <c r="I181" s="32"/>
      <c r="J181" s="66"/>
      <c r="K181" s="66" t="s">
        <v>2992</v>
      </c>
      <c r="L181" s="1753"/>
      <c r="M181" s="1753"/>
      <c r="N181" s="1753"/>
      <c r="O181" s="1753"/>
      <c r="P181" s="1758"/>
      <c r="Q181" s="1758"/>
      <c r="R181" s="1758"/>
      <c r="S181" s="1758"/>
      <c r="T181" s="1762"/>
      <c r="U181" s="1762"/>
      <c r="V181" s="1762"/>
      <c r="W181" s="1762"/>
      <c r="X181" s="1750">
        <f t="shared" si="8"/>
        <v>0</v>
      </c>
      <c r="Y181" s="175">
        <f t="shared" si="9"/>
        <v>0</v>
      </c>
    </row>
    <row r="182" spans="1:25" ht="30" x14ac:dyDescent="0.25">
      <c r="A182" s="32"/>
      <c r="B182" s="32"/>
      <c r="C182" s="32"/>
      <c r="D182" s="32"/>
      <c r="E182" s="32"/>
      <c r="F182" s="32">
        <v>1</v>
      </c>
      <c r="G182" s="32"/>
      <c r="H182" s="66" t="str">
        <f>'BID I'!B928</f>
        <v>Belanja Barang Perlengkapan</v>
      </c>
      <c r="I182" s="32"/>
      <c r="J182" s="66"/>
      <c r="K182" s="66" t="s">
        <v>2992</v>
      </c>
      <c r="L182" s="1753"/>
      <c r="M182" s="1753"/>
      <c r="N182" s="1753"/>
      <c r="O182" s="1753"/>
      <c r="P182" s="1758"/>
      <c r="Q182" s="1758"/>
      <c r="R182" s="1758"/>
      <c r="S182" s="1758"/>
      <c r="T182" s="1762"/>
      <c r="U182" s="1762"/>
      <c r="V182" s="1762"/>
      <c r="W182" s="1762"/>
      <c r="X182" s="1750">
        <f t="shared" si="8"/>
        <v>0</v>
      </c>
      <c r="Y182" s="175">
        <f t="shared" si="9"/>
        <v>0</v>
      </c>
    </row>
    <row r="183" spans="1:25" ht="30" x14ac:dyDescent="0.25">
      <c r="A183" s="32"/>
      <c r="B183" s="32"/>
      <c r="C183" s="32"/>
      <c r="D183" s="32"/>
      <c r="E183" s="32"/>
      <c r="F183" s="32"/>
      <c r="G183" s="1340" t="s">
        <v>2705</v>
      </c>
      <c r="H183" s="66" t="str">
        <f>'BID I'!B929</f>
        <v>Belanja Perlengkapan Barang Konsumsi</v>
      </c>
      <c r="I183" s="174">
        <f>'BID I'!F930</f>
        <v>750000</v>
      </c>
      <c r="J183" s="66" t="s">
        <v>2627</v>
      </c>
      <c r="K183" s="66" t="s">
        <v>2992</v>
      </c>
      <c r="L183" s="1753"/>
      <c r="M183" s="1753"/>
      <c r="N183" s="1753"/>
      <c r="O183" s="1753"/>
      <c r="P183" s="1758"/>
      <c r="Q183" s="1758"/>
      <c r="R183" s="1758"/>
      <c r="S183" s="1758"/>
      <c r="T183" s="1762"/>
      <c r="U183" s="1762"/>
      <c r="V183" s="1762"/>
      <c r="W183" s="1762"/>
      <c r="X183" s="1750">
        <f t="shared" si="8"/>
        <v>0</v>
      </c>
      <c r="Y183" s="175">
        <f t="shared" si="9"/>
        <v>-750000</v>
      </c>
    </row>
    <row r="184" spans="1:25" ht="30" x14ac:dyDescent="0.25">
      <c r="A184" s="32"/>
      <c r="B184" s="32"/>
      <c r="C184" s="32"/>
      <c r="D184" s="32"/>
      <c r="E184" s="32"/>
      <c r="F184" s="32"/>
      <c r="G184" s="1340" t="s">
        <v>2707</v>
      </c>
      <c r="H184" s="66" t="str">
        <f>'BID I'!B932</f>
        <v>Belanja Bendera/ Umbul-umbul/ Spanduk</v>
      </c>
      <c r="I184" s="174">
        <f>'BID I'!F933</f>
        <v>90000</v>
      </c>
      <c r="J184" s="66" t="s">
        <v>2627</v>
      </c>
      <c r="K184" s="66" t="s">
        <v>2992</v>
      </c>
      <c r="L184" s="1753"/>
      <c r="M184" s="1753"/>
      <c r="N184" s="1753"/>
      <c r="O184" s="1753"/>
      <c r="P184" s="1758"/>
      <c r="Q184" s="1758"/>
      <c r="R184" s="1758"/>
      <c r="S184" s="1758"/>
      <c r="T184" s="1762"/>
      <c r="U184" s="1762"/>
      <c r="V184" s="1762"/>
      <c r="W184" s="1762"/>
      <c r="X184" s="1750">
        <f t="shared" si="8"/>
        <v>0</v>
      </c>
      <c r="Y184" s="175">
        <f t="shared" si="9"/>
        <v>-90000</v>
      </c>
    </row>
    <row r="185" spans="1:25" ht="30" x14ac:dyDescent="0.25">
      <c r="A185" s="32"/>
      <c r="B185" s="32"/>
      <c r="C185" s="32"/>
      <c r="D185" s="32"/>
      <c r="E185" s="32"/>
      <c r="F185" s="32"/>
      <c r="G185" s="32">
        <v>90</v>
      </c>
      <c r="H185" s="66" t="str">
        <f>'BID I'!B935</f>
        <v>Belanja Upakara, Upacara Dan Aci-aci</v>
      </c>
      <c r="I185" s="174">
        <f>SUM('BID I'!F936:F938)</f>
        <v>66000</v>
      </c>
      <c r="J185" s="66" t="s">
        <v>2627</v>
      </c>
      <c r="K185" s="66" t="s">
        <v>2992</v>
      </c>
      <c r="L185" s="1753"/>
      <c r="M185" s="1753"/>
      <c r="N185" s="1753"/>
      <c r="O185" s="1753"/>
      <c r="P185" s="1758"/>
      <c r="Q185" s="1758"/>
      <c r="R185" s="1758"/>
      <c r="S185" s="1758"/>
      <c r="T185" s="1762"/>
      <c r="U185" s="1762"/>
      <c r="V185" s="1762"/>
      <c r="W185" s="1762"/>
      <c r="X185" s="1750">
        <f t="shared" si="8"/>
        <v>0</v>
      </c>
      <c r="Y185" s="175">
        <f t="shared" si="9"/>
        <v>-66000</v>
      </c>
    </row>
    <row r="186" spans="1:25" ht="30" x14ac:dyDescent="0.25">
      <c r="A186" s="32"/>
      <c r="B186" s="32"/>
      <c r="C186" s="32"/>
      <c r="D186" s="32"/>
      <c r="E186" s="32"/>
      <c r="F186" s="32"/>
      <c r="G186" s="32"/>
      <c r="H186" s="32" t="str">
        <f>'BID I'!B940</f>
        <v>Pendataan</v>
      </c>
      <c r="I186" s="32"/>
      <c r="J186" s="66"/>
      <c r="K186" s="66" t="s">
        <v>2992</v>
      </c>
      <c r="L186" s="1753"/>
      <c r="M186" s="1753"/>
      <c r="N186" s="1753"/>
      <c r="O186" s="1753"/>
      <c r="P186" s="1758"/>
      <c r="Q186" s="1758"/>
      <c r="R186" s="1758"/>
      <c r="S186" s="1758"/>
      <c r="T186" s="1762"/>
      <c r="U186" s="1762"/>
      <c r="V186" s="1762"/>
      <c r="W186" s="1762"/>
      <c r="X186" s="1750">
        <f t="shared" si="8"/>
        <v>0</v>
      </c>
      <c r="Y186" s="175">
        <f t="shared" si="9"/>
        <v>0</v>
      </c>
    </row>
    <row r="187" spans="1:25" ht="30" x14ac:dyDescent="0.25">
      <c r="A187" s="32"/>
      <c r="B187" s="32"/>
      <c r="C187" s="32"/>
      <c r="D187" s="32">
        <v>5</v>
      </c>
      <c r="E187" s="32">
        <v>2</v>
      </c>
      <c r="F187" s="32"/>
      <c r="G187" s="32"/>
      <c r="H187" s="66" t="str">
        <f>'BID I'!B942</f>
        <v>Belanja Barang Jasa</v>
      </c>
      <c r="I187" s="32"/>
      <c r="J187" s="66"/>
      <c r="K187" s="66" t="s">
        <v>2992</v>
      </c>
      <c r="L187" s="1753"/>
      <c r="M187" s="1753"/>
      <c r="N187" s="1753"/>
      <c r="O187" s="1753"/>
      <c r="P187" s="1758"/>
      <c r="Q187" s="1758"/>
      <c r="R187" s="1758"/>
      <c r="S187" s="1758"/>
      <c r="T187" s="1762"/>
      <c r="U187" s="1762"/>
      <c r="V187" s="1762"/>
      <c r="W187" s="1762"/>
      <c r="X187" s="1750">
        <f t="shared" si="8"/>
        <v>0</v>
      </c>
      <c r="Y187" s="175">
        <f t="shared" si="9"/>
        <v>0</v>
      </c>
    </row>
    <row r="188" spans="1:25" ht="30" x14ac:dyDescent="0.25">
      <c r="A188" s="32"/>
      <c r="B188" s="32"/>
      <c r="C188" s="32"/>
      <c r="D188" s="32"/>
      <c r="E188" s="32"/>
      <c r="F188" s="32">
        <v>1</v>
      </c>
      <c r="G188" s="32"/>
      <c r="H188" s="66" t="str">
        <f>'BID I'!B943</f>
        <v>Belanja Barang Perlengkapan</v>
      </c>
      <c r="I188" s="32"/>
      <c r="J188" s="66"/>
      <c r="K188" s="66" t="s">
        <v>2992</v>
      </c>
      <c r="L188" s="1753"/>
      <c r="M188" s="1753"/>
      <c r="N188" s="1753"/>
      <c r="O188" s="1753"/>
      <c r="P188" s="1758"/>
      <c r="Q188" s="1758"/>
      <c r="R188" s="1758"/>
      <c r="S188" s="1758"/>
      <c r="T188" s="1762"/>
      <c r="U188" s="1762"/>
      <c r="V188" s="1762"/>
      <c r="W188" s="1762"/>
      <c r="X188" s="1750">
        <f t="shared" si="8"/>
        <v>0</v>
      </c>
      <c r="Y188" s="175">
        <f t="shared" si="9"/>
        <v>0</v>
      </c>
    </row>
    <row r="189" spans="1:25" ht="30" x14ac:dyDescent="0.25">
      <c r="A189" s="32"/>
      <c r="B189" s="32"/>
      <c r="C189" s="32"/>
      <c r="D189" s="32"/>
      <c r="E189" s="32"/>
      <c r="F189" s="32"/>
      <c r="G189" s="1340" t="s">
        <v>2706</v>
      </c>
      <c r="H189" s="66" t="str">
        <f>'BID I'!B944</f>
        <v>Belanja Perlengkapan Cetak</v>
      </c>
      <c r="I189" s="174">
        <f>SUM('BID I'!F945:F947)</f>
        <v>33400000</v>
      </c>
      <c r="J189" s="66" t="s">
        <v>2627</v>
      </c>
      <c r="K189" s="66" t="s">
        <v>2992</v>
      </c>
      <c r="L189" s="1753"/>
      <c r="M189" s="1753"/>
      <c r="N189" s="1753"/>
      <c r="O189" s="1753"/>
      <c r="P189" s="1758"/>
      <c r="Q189" s="1758"/>
      <c r="R189" s="1758"/>
      <c r="S189" s="1758"/>
      <c r="T189" s="1762"/>
      <c r="U189" s="1762"/>
      <c r="V189" s="1762"/>
      <c r="W189" s="1762"/>
      <c r="X189" s="1750">
        <f t="shared" si="8"/>
        <v>0</v>
      </c>
      <c r="Y189" s="175">
        <f t="shared" si="9"/>
        <v>-33400000</v>
      </c>
    </row>
    <row r="190" spans="1:25" ht="30" x14ac:dyDescent="0.25">
      <c r="A190" s="32"/>
      <c r="B190" s="32"/>
      <c r="C190" s="32"/>
      <c r="D190" s="32">
        <v>5</v>
      </c>
      <c r="E190" s="32">
        <v>2</v>
      </c>
      <c r="F190" s="32">
        <v>2</v>
      </c>
      <c r="G190" s="32"/>
      <c r="H190" s="66" t="str">
        <f>'BID I'!B949</f>
        <v xml:space="preserve">Belanja Jasa Honorarium </v>
      </c>
      <c r="I190" s="32"/>
      <c r="J190" s="66"/>
      <c r="K190" s="66" t="s">
        <v>2992</v>
      </c>
      <c r="L190" s="1753"/>
      <c r="M190" s="1753"/>
      <c r="N190" s="1753"/>
      <c r="O190" s="1753"/>
      <c r="P190" s="1758"/>
      <c r="Q190" s="1758"/>
      <c r="R190" s="1758"/>
      <c r="S190" s="1758"/>
      <c r="T190" s="1762"/>
      <c r="U190" s="1762"/>
      <c r="V190" s="1762"/>
      <c r="W190" s="1762"/>
      <c r="X190" s="1750">
        <f t="shared" si="8"/>
        <v>0</v>
      </c>
      <c r="Y190" s="175">
        <f t="shared" si="9"/>
        <v>0</v>
      </c>
    </row>
    <row r="191" spans="1:25" ht="45" x14ac:dyDescent="0.25">
      <c r="A191" s="32"/>
      <c r="B191" s="32"/>
      <c r="C191" s="32"/>
      <c r="D191" s="32"/>
      <c r="E191" s="32"/>
      <c r="F191" s="32"/>
      <c r="G191" s="1340" t="s">
        <v>2688</v>
      </c>
      <c r="H191" s="66" t="str">
        <f>'BID I'!B950</f>
        <v>Belanja Jasa Honorarium yang Melaksanakan Kegiatan</v>
      </c>
      <c r="I191" s="174">
        <f>SUM('BID I'!F951:F952)</f>
        <v>700000</v>
      </c>
      <c r="J191" s="66" t="s">
        <v>2627</v>
      </c>
      <c r="K191" s="66" t="s">
        <v>2992</v>
      </c>
      <c r="L191" s="1753"/>
      <c r="M191" s="1753"/>
      <c r="N191" s="1753"/>
      <c r="O191" s="1753"/>
      <c r="P191" s="1758"/>
      <c r="Q191" s="1758"/>
      <c r="R191" s="1758"/>
      <c r="S191" s="1758"/>
      <c r="T191" s="1762"/>
      <c r="U191" s="1762"/>
      <c r="V191" s="1762"/>
      <c r="W191" s="1762"/>
      <c r="X191" s="1750">
        <f t="shared" si="8"/>
        <v>0</v>
      </c>
      <c r="Y191" s="175">
        <f t="shared" si="9"/>
        <v>-700000</v>
      </c>
    </row>
    <row r="192" spans="1:25" ht="30" x14ac:dyDescent="0.25">
      <c r="A192" s="32"/>
      <c r="B192" s="32"/>
      <c r="C192" s="32"/>
      <c r="D192" s="32"/>
      <c r="E192" s="32"/>
      <c r="F192" s="32"/>
      <c r="G192" s="1340" t="s">
        <v>2706</v>
      </c>
      <c r="H192" s="66" t="str">
        <f>'BID I'!B954</f>
        <v>Belanja Jasa Honorarium Petugas</v>
      </c>
      <c r="I192" s="174">
        <f>SUM('BID I'!F955:F956)</f>
        <v>16500000</v>
      </c>
      <c r="J192" s="66" t="s">
        <v>2627</v>
      </c>
      <c r="K192" s="66" t="s">
        <v>2992</v>
      </c>
      <c r="L192" s="1753"/>
      <c r="M192" s="1753"/>
      <c r="N192" s="1753"/>
      <c r="O192" s="1753"/>
      <c r="P192" s="1758"/>
      <c r="Q192" s="1758"/>
      <c r="R192" s="1758"/>
      <c r="S192" s="1758"/>
      <c r="T192" s="1762"/>
      <c r="U192" s="1762"/>
      <c r="V192" s="1762"/>
      <c r="W192" s="1762"/>
      <c r="X192" s="1750">
        <f t="shared" si="8"/>
        <v>0</v>
      </c>
      <c r="Y192" s="175">
        <f t="shared" si="9"/>
        <v>-16500000</v>
      </c>
    </row>
    <row r="193" spans="1:25" ht="60" x14ac:dyDescent="0.25">
      <c r="A193" s="1344">
        <v>1</v>
      </c>
      <c r="B193" s="1344">
        <v>3</v>
      </c>
      <c r="C193" s="1344">
        <v>90</v>
      </c>
      <c r="D193" s="1344"/>
      <c r="E193" s="1344"/>
      <c r="F193" s="1344"/>
      <c r="G193" s="1344"/>
      <c r="H193" s="1345" t="str">
        <f>'BID I'!B975</f>
        <v>: Pengelolaan Administrasi dan Kearsipan pemerintahan Desa ( Pelatihan )</v>
      </c>
      <c r="I193" s="1347">
        <f>SUM(I194:I200)</f>
        <v>910000</v>
      </c>
      <c r="J193" s="1345" t="s">
        <v>2628</v>
      </c>
      <c r="K193" s="1347" t="s">
        <v>2988</v>
      </c>
      <c r="L193" s="1344"/>
      <c r="M193" s="1344"/>
      <c r="N193" s="1344"/>
      <c r="O193" s="1344"/>
      <c r="P193" s="1344"/>
      <c r="Q193" s="1344"/>
      <c r="R193" s="1344"/>
      <c r="S193" s="1344"/>
      <c r="T193" s="1344"/>
      <c r="U193" s="1344"/>
      <c r="V193" s="1344"/>
      <c r="W193" s="1344"/>
      <c r="X193" s="1353">
        <f t="shared" si="8"/>
        <v>0</v>
      </c>
      <c r="Y193" s="175">
        <f t="shared" si="9"/>
        <v>-910000</v>
      </c>
    </row>
    <row r="194" spans="1:25" x14ac:dyDescent="0.25">
      <c r="A194" s="32"/>
      <c r="B194" s="32"/>
      <c r="C194" s="32"/>
      <c r="D194" s="32">
        <v>5</v>
      </c>
      <c r="E194" s="32">
        <v>2</v>
      </c>
      <c r="F194" s="32"/>
      <c r="G194" s="32"/>
      <c r="H194" s="66" t="str">
        <f>'BID I'!B981</f>
        <v>Belanja Barang Jasa</v>
      </c>
      <c r="I194" s="32"/>
      <c r="J194" s="66"/>
      <c r="K194" s="470" t="s">
        <v>2988</v>
      </c>
      <c r="L194" s="1753"/>
      <c r="M194" s="1753"/>
      <c r="N194" s="1753"/>
      <c r="O194" s="1753"/>
      <c r="P194" s="1758"/>
      <c r="Q194" s="1758"/>
      <c r="R194" s="1758"/>
      <c r="S194" s="1758"/>
      <c r="T194" s="1762"/>
      <c r="U194" s="1762"/>
      <c r="V194" s="1762"/>
      <c r="W194" s="1762"/>
      <c r="X194" s="1750">
        <f t="shared" si="8"/>
        <v>0</v>
      </c>
      <c r="Y194" s="175">
        <f t="shared" si="9"/>
        <v>0</v>
      </c>
    </row>
    <row r="195" spans="1:25" ht="30" x14ac:dyDescent="0.25">
      <c r="A195" s="32"/>
      <c r="B195" s="32"/>
      <c r="C195" s="32"/>
      <c r="D195" s="32"/>
      <c r="E195" s="32"/>
      <c r="F195" s="32">
        <v>1</v>
      </c>
      <c r="G195" s="32"/>
      <c r="H195" s="66" t="str">
        <f>'BID I'!B982</f>
        <v>Belanja Barang Perlengkapan</v>
      </c>
      <c r="I195" s="32"/>
      <c r="J195" s="66"/>
      <c r="K195" s="470" t="s">
        <v>2988</v>
      </c>
      <c r="L195" s="1753"/>
      <c r="M195" s="1753"/>
      <c r="N195" s="1753"/>
      <c r="O195" s="1753"/>
      <c r="P195" s="1758"/>
      <c r="Q195" s="1758"/>
      <c r="R195" s="1758"/>
      <c r="S195" s="1758"/>
      <c r="T195" s="1762"/>
      <c r="U195" s="1762"/>
      <c r="V195" s="1762"/>
      <c r="W195" s="1762"/>
      <c r="X195" s="1750">
        <f t="shared" si="8"/>
        <v>0</v>
      </c>
      <c r="Y195" s="175">
        <f t="shared" si="9"/>
        <v>0</v>
      </c>
    </row>
    <row r="196" spans="1:25" ht="60" x14ac:dyDescent="0.25">
      <c r="A196" s="32"/>
      <c r="B196" s="32"/>
      <c r="C196" s="32"/>
      <c r="D196" s="32"/>
      <c r="E196" s="32"/>
      <c r="F196" s="32"/>
      <c r="G196" s="1340" t="s">
        <v>2706</v>
      </c>
      <c r="H196" s="66" t="str">
        <f>'BID I'!B983</f>
        <v>Belanja perlengkapan cetak/pengadaan - belanja barang cetak dan pengadaan</v>
      </c>
      <c r="I196" s="174">
        <f>SUM('BID I'!F984)</f>
        <v>90000</v>
      </c>
      <c r="J196" s="66" t="s">
        <v>2628</v>
      </c>
      <c r="K196" s="470" t="s">
        <v>2988</v>
      </c>
      <c r="L196" s="1753"/>
      <c r="M196" s="1753"/>
      <c r="N196" s="1753"/>
      <c r="O196" s="1753"/>
      <c r="P196" s="1758"/>
      <c r="Q196" s="1758"/>
      <c r="R196" s="1758"/>
      <c r="S196" s="1758"/>
      <c r="T196" s="1762"/>
      <c r="U196" s="1762"/>
      <c r="V196" s="1762"/>
      <c r="W196" s="1762"/>
      <c r="X196" s="1750">
        <f t="shared" si="8"/>
        <v>0</v>
      </c>
      <c r="Y196" s="175">
        <f t="shared" si="9"/>
        <v>-90000</v>
      </c>
    </row>
    <row r="197" spans="1:25" ht="60" x14ac:dyDescent="0.25">
      <c r="A197" s="32"/>
      <c r="B197" s="32"/>
      <c r="C197" s="32"/>
      <c r="D197" s="32"/>
      <c r="E197" s="32"/>
      <c r="F197" s="32"/>
      <c r="G197" s="1340" t="s">
        <v>2705</v>
      </c>
      <c r="H197" s="66" t="str">
        <f>'BID I'!B986</f>
        <v>Belanja perlengkapan barang konsumsi (makan/minum)- Belanja Barang Konsumsi</v>
      </c>
      <c r="I197" s="174">
        <f>'BID I'!F987</f>
        <v>450000</v>
      </c>
      <c r="J197" s="66" t="s">
        <v>2628</v>
      </c>
      <c r="K197" s="470" t="s">
        <v>2988</v>
      </c>
      <c r="L197" s="1753"/>
      <c r="M197" s="1753"/>
      <c r="N197" s="1753"/>
      <c r="O197" s="1753"/>
      <c r="P197" s="1758"/>
      <c r="Q197" s="1758"/>
      <c r="R197" s="1758"/>
      <c r="S197" s="1758"/>
      <c r="T197" s="1762"/>
      <c r="U197" s="1762"/>
      <c r="V197" s="1762"/>
      <c r="W197" s="1762"/>
      <c r="X197" s="1750">
        <f t="shared" si="8"/>
        <v>0</v>
      </c>
      <c r="Y197" s="175">
        <f t="shared" si="9"/>
        <v>-450000</v>
      </c>
    </row>
    <row r="198" spans="1:25" ht="30" x14ac:dyDescent="0.25">
      <c r="A198" s="32"/>
      <c r="B198" s="32"/>
      <c r="C198" s="32"/>
      <c r="D198" s="32"/>
      <c r="E198" s="32"/>
      <c r="F198" s="32"/>
      <c r="G198" s="1340" t="s">
        <v>2718</v>
      </c>
      <c r="H198" s="66" t="str">
        <f>'BID I'!B989</f>
        <v>Belanja Upakara, Upacara Dan Aci- Aci</v>
      </c>
      <c r="I198" s="174">
        <f>SUM('BID I'!F990:F992)</f>
        <v>70000</v>
      </c>
      <c r="J198" s="66" t="s">
        <v>2628</v>
      </c>
      <c r="K198" s="470" t="s">
        <v>2988</v>
      </c>
      <c r="L198" s="1753"/>
      <c r="M198" s="1753"/>
      <c r="N198" s="1753"/>
      <c r="O198" s="1753"/>
      <c r="P198" s="1758"/>
      <c r="Q198" s="1758"/>
      <c r="R198" s="1758"/>
      <c r="S198" s="1758"/>
      <c r="T198" s="1762"/>
      <c r="U198" s="1762"/>
      <c r="V198" s="1762"/>
      <c r="W198" s="1762"/>
      <c r="X198" s="1750">
        <f t="shared" si="8"/>
        <v>0</v>
      </c>
      <c r="Y198" s="175">
        <f t="shared" si="9"/>
        <v>-70000</v>
      </c>
    </row>
    <row r="199" spans="1:25" x14ac:dyDescent="0.25">
      <c r="A199" s="32"/>
      <c r="B199" s="32"/>
      <c r="C199" s="32"/>
      <c r="D199" s="32">
        <v>5</v>
      </c>
      <c r="E199" s="32">
        <v>2</v>
      </c>
      <c r="F199" s="32">
        <v>2</v>
      </c>
      <c r="G199" s="32"/>
      <c r="H199" s="66" t="str">
        <f>'BID I'!B994</f>
        <v>Belanja  Jasa Honorarium</v>
      </c>
      <c r="I199" s="32"/>
      <c r="J199" s="66"/>
      <c r="K199" s="470" t="s">
        <v>2988</v>
      </c>
      <c r="L199" s="1753"/>
      <c r="M199" s="1753"/>
      <c r="N199" s="1753"/>
      <c r="O199" s="1753"/>
      <c r="P199" s="1758"/>
      <c r="Q199" s="1758"/>
      <c r="R199" s="1758"/>
      <c r="S199" s="1758"/>
      <c r="T199" s="1762"/>
      <c r="U199" s="1762"/>
      <c r="V199" s="1762"/>
      <c r="W199" s="1762"/>
      <c r="X199" s="1750">
        <f t="shared" si="8"/>
        <v>0</v>
      </c>
      <c r="Y199" s="175">
        <f t="shared" si="9"/>
        <v>0</v>
      </c>
    </row>
    <row r="200" spans="1:25" ht="45" x14ac:dyDescent="0.25">
      <c r="A200" s="32"/>
      <c r="B200" s="32"/>
      <c r="C200" s="32"/>
      <c r="D200" s="32"/>
      <c r="E200" s="32"/>
      <c r="F200" s="32"/>
      <c r="G200" s="1340" t="s">
        <v>2706</v>
      </c>
      <c r="H200" s="66" t="str">
        <f>'BID I'!B995</f>
        <v>Belanja Jasa Honorarium Ahli/Profesi/Konsultan/Narasumber</v>
      </c>
      <c r="I200" s="174">
        <f>SUM('BID I'!F996)</f>
        <v>300000</v>
      </c>
      <c r="J200" s="66" t="s">
        <v>2628</v>
      </c>
      <c r="K200" s="470" t="s">
        <v>2988</v>
      </c>
      <c r="L200" s="1753"/>
      <c r="M200" s="1753"/>
      <c r="N200" s="1753"/>
      <c r="O200" s="1753"/>
      <c r="P200" s="1758"/>
      <c r="Q200" s="1758"/>
      <c r="R200" s="1758"/>
      <c r="S200" s="1758"/>
      <c r="T200" s="1762"/>
      <c r="U200" s="1762"/>
      <c r="V200" s="1762"/>
      <c r="W200" s="1762"/>
      <c r="X200" s="1750">
        <f t="shared" si="8"/>
        <v>0</v>
      </c>
      <c r="Y200" s="175">
        <f t="shared" si="9"/>
        <v>-300000</v>
      </c>
    </row>
    <row r="201" spans="1:25" ht="75" x14ac:dyDescent="0.25">
      <c r="A201" s="1344">
        <v>1</v>
      </c>
      <c r="B201" s="1344">
        <v>3</v>
      </c>
      <c r="C201" s="1344">
        <v>90</v>
      </c>
      <c r="D201" s="1344"/>
      <c r="E201" s="1344"/>
      <c r="F201" s="1344"/>
      <c r="G201" s="1344"/>
      <c r="H201" s="1345" t="str">
        <f>'BID I'!B1013</f>
        <v>: Pendataan Administrasi Penduduk Non Permanen (Penertiban Penduduk Pendatang dan Sidak Dialogis)</v>
      </c>
      <c r="I201" s="1347">
        <f>SUM(I202:I208)</f>
        <v>41205000</v>
      </c>
      <c r="J201" s="1345" t="s">
        <v>1682</v>
      </c>
      <c r="K201" s="1345" t="s">
        <v>2992</v>
      </c>
      <c r="L201" s="1347"/>
      <c r="M201" s="1347"/>
      <c r="N201" s="1349"/>
      <c r="O201" s="1344"/>
      <c r="P201" s="1347"/>
      <c r="Q201" s="1349"/>
      <c r="R201" s="1344"/>
      <c r="S201" s="1344"/>
      <c r="T201" s="1347"/>
      <c r="U201" s="1344"/>
      <c r="V201" s="1344"/>
      <c r="W201" s="1344"/>
      <c r="X201" s="1353">
        <f t="shared" si="8"/>
        <v>0</v>
      </c>
      <c r="Y201" s="175">
        <f t="shared" si="9"/>
        <v>-41205000</v>
      </c>
    </row>
    <row r="202" spans="1:25" ht="30" x14ac:dyDescent="0.25">
      <c r="A202" s="32"/>
      <c r="B202" s="32"/>
      <c r="C202" s="32"/>
      <c r="D202" s="32">
        <v>5</v>
      </c>
      <c r="E202" s="32">
        <v>2</v>
      </c>
      <c r="F202" s="32"/>
      <c r="G202" s="32"/>
      <c r="H202" s="66" t="str">
        <f>'BID I'!B1019</f>
        <v>Belanja Barang dan Jasa</v>
      </c>
      <c r="I202" s="32"/>
      <c r="J202" s="66"/>
      <c r="K202" s="66" t="s">
        <v>2992</v>
      </c>
      <c r="L202" s="1753"/>
      <c r="M202" s="1753"/>
      <c r="N202" s="1753"/>
      <c r="O202" s="1754"/>
      <c r="P202" s="1759"/>
      <c r="Q202" s="1758"/>
      <c r="R202" s="1758"/>
      <c r="S202" s="1758"/>
      <c r="T202" s="1763"/>
      <c r="U202" s="1762"/>
      <c r="V202" s="1762"/>
      <c r="W202" s="1762"/>
      <c r="X202" s="1750">
        <f t="shared" si="8"/>
        <v>0</v>
      </c>
      <c r="Y202" s="175">
        <f t="shared" si="9"/>
        <v>0</v>
      </c>
    </row>
    <row r="203" spans="1:25" ht="30" x14ac:dyDescent="0.25">
      <c r="A203" s="32"/>
      <c r="B203" s="32"/>
      <c r="C203" s="32"/>
      <c r="D203" s="32"/>
      <c r="E203" s="32"/>
      <c r="F203" s="32">
        <v>1</v>
      </c>
      <c r="G203" s="32"/>
      <c r="H203" s="66" t="str">
        <f>'BID I'!B1020</f>
        <v>Belanja Barang Perlengkapan</v>
      </c>
      <c r="I203" s="32"/>
      <c r="J203" s="66"/>
      <c r="K203" s="66" t="s">
        <v>2992</v>
      </c>
      <c r="L203" s="1753"/>
      <c r="M203" s="1753"/>
      <c r="N203" s="1753"/>
      <c r="O203" s="1753"/>
      <c r="P203" s="1758"/>
      <c r="Q203" s="1758"/>
      <c r="R203" s="1758"/>
      <c r="S203" s="1758"/>
      <c r="T203" s="1762"/>
      <c r="U203" s="1762"/>
      <c r="V203" s="1762"/>
      <c r="W203" s="1762"/>
      <c r="X203" s="1750">
        <f t="shared" si="8"/>
        <v>0</v>
      </c>
      <c r="Y203" s="175">
        <f t="shared" si="9"/>
        <v>0</v>
      </c>
    </row>
    <row r="204" spans="1:25" ht="60" x14ac:dyDescent="0.25">
      <c r="A204" s="32"/>
      <c r="B204" s="32"/>
      <c r="C204" s="32"/>
      <c r="D204" s="32"/>
      <c r="E204" s="32"/>
      <c r="F204" s="32"/>
      <c r="G204" s="1340" t="s">
        <v>2706</v>
      </c>
      <c r="H204" s="66" t="str">
        <f>'BID I'!B1021</f>
        <v>Belanja perlengkapan cetak/pengadaan - belanja barang cetak dan pengadaan</v>
      </c>
      <c r="I204" s="174">
        <f>SUM('BID I'!F1022)</f>
        <v>500000</v>
      </c>
      <c r="J204" s="66" t="s">
        <v>1682</v>
      </c>
      <c r="K204" s="66" t="s">
        <v>2992</v>
      </c>
      <c r="L204" s="1754"/>
      <c r="M204" s="1753"/>
      <c r="N204" s="1755"/>
      <c r="O204" s="1754"/>
      <c r="P204" s="1759">
        <v>135000</v>
      </c>
      <c r="Q204" s="1758"/>
      <c r="R204" s="1758"/>
      <c r="S204" s="1758"/>
      <c r="T204" s="1763">
        <v>365000</v>
      </c>
      <c r="U204" s="1762"/>
      <c r="V204" s="1762"/>
      <c r="W204" s="1762"/>
      <c r="X204" s="1750">
        <f t="shared" si="8"/>
        <v>500000</v>
      </c>
      <c r="Y204" s="175">
        <f t="shared" si="9"/>
        <v>0</v>
      </c>
    </row>
    <row r="205" spans="1:25" ht="30" x14ac:dyDescent="0.25">
      <c r="A205" s="32"/>
      <c r="B205" s="32"/>
      <c r="C205" s="32"/>
      <c r="D205" s="32"/>
      <c r="E205" s="32"/>
      <c r="F205" s="32"/>
      <c r="G205" s="1340" t="s">
        <v>2705</v>
      </c>
      <c r="H205" s="66" t="str">
        <f>'BID I'!B1024</f>
        <v>Belanja Perlengkapan Barang Konsumsi</v>
      </c>
      <c r="I205" s="174">
        <f>SUM('BID I'!F1025:F1027)</f>
        <v>10020000</v>
      </c>
      <c r="J205" s="66" t="s">
        <v>1682</v>
      </c>
      <c r="K205" s="66" t="s">
        <v>2992</v>
      </c>
      <c r="L205" s="1753"/>
      <c r="M205" s="1753"/>
      <c r="N205" s="1754"/>
      <c r="O205" s="1754">
        <v>5250000</v>
      </c>
      <c r="P205" s="1758"/>
      <c r="Q205" s="1758"/>
      <c r="R205" s="1760"/>
      <c r="S205" s="1758"/>
      <c r="T205" s="1763">
        <v>4770000</v>
      </c>
      <c r="U205" s="1762"/>
      <c r="V205" s="1762"/>
      <c r="W205" s="1762"/>
      <c r="X205" s="1750">
        <f t="shared" si="8"/>
        <v>10020000</v>
      </c>
      <c r="Y205" s="175">
        <f t="shared" si="9"/>
        <v>0</v>
      </c>
    </row>
    <row r="206" spans="1:25" ht="30" x14ac:dyDescent="0.25">
      <c r="A206" s="32"/>
      <c r="B206" s="32"/>
      <c r="C206" s="32"/>
      <c r="D206" s="32"/>
      <c r="E206" s="32"/>
      <c r="F206" s="32"/>
      <c r="G206" s="1340" t="s">
        <v>2708</v>
      </c>
      <c r="H206" s="66" t="str">
        <f>'BID I'!B1029</f>
        <v>Belanaja Bahan Meterial</v>
      </c>
      <c r="I206" s="513">
        <f>SUM('BID I'!F1030:F1031)</f>
        <v>3485000</v>
      </c>
      <c r="J206" s="66" t="s">
        <v>1682</v>
      </c>
      <c r="K206" s="66" t="s">
        <v>2992</v>
      </c>
      <c r="L206" s="1753"/>
      <c r="M206" s="1753"/>
      <c r="N206" s="1753"/>
      <c r="O206" s="1754">
        <v>3485000</v>
      </c>
      <c r="P206" s="1758"/>
      <c r="Q206" s="1758"/>
      <c r="R206" s="1758"/>
      <c r="S206" s="1758"/>
      <c r="T206" s="1763"/>
      <c r="U206" s="1762"/>
      <c r="V206" s="1762"/>
      <c r="W206" s="1762"/>
      <c r="X206" s="1750">
        <f t="shared" si="8"/>
        <v>3485000</v>
      </c>
      <c r="Y206" s="175">
        <f t="shared" si="9"/>
        <v>0</v>
      </c>
    </row>
    <row r="207" spans="1:25" ht="30" x14ac:dyDescent="0.25">
      <c r="A207" s="32"/>
      <c r="B207" s="32"/>
      <c r="C207" s="32"/>
      <c r="D207" s="32">
        <v>5</v>
      </c>
      <c r="E207" s="32">
        <v>2</v>
      </c>
      <c r="F207" s="32">
        <v>2</v>
      </c>
      <c r="G207" s="32"/>
      <c r="H207" s="66" t="str">
        <f>'BID I'!B1033</f>
        <v>Belanja Jasa Honorarium</v>
      </c>
      <c r="I207" s="32"/>
      <c r="J207" s="66"/>
      <c r="K207" s="66" t="s">
        <v>2992</v>
      </c>
      <c r="L207" s="1753"/>
      <c r="M207" s="1753"/>
      <c r="N207" s="1753"/>
      <c r="O207" s="1753"/>
      <c r="P207" s="1758"/>
      <c r="Q207" s="1758"/>
      <c r="R207" s="1758"/>
      <c r="S207" s="1758"/>
      <c r="T207" s="1763"/>
      <c r="U207" s="1762"/>
      <c r="V207" s="1762"/>
      <c r="W207" s="1762"/>
      <c r="X207" s="1750">
        <f t="shared" si="8"/>
        <v>0</v>
      </c>
      <c r="Y207" s="175">
        <f t="shared" si="9"/>
        <v>0</v>
      </c>
    </row>
    <row r="208" spans="1:25" ht="30" x14ac:dyDescent="0.25">
      <c r="A208" s="32"/>
      <c r="B208" s="32"/>
      <c r="C208" s="32"/>
      <c r="D208" s="32"/>
      <c r="E208" s="32"/>
      <c r="F208" s="32"/>
      <c r="G208" s="1340" t="s">
        <v>2706</v>
      </c>
      <c r="H208" s="66" t="str">
        <f>'BID I'!B1034</f>
        <v>Belanja Jasa Honorium Petugas</v>
      </c>
      <c r="I208" s="513">
        <f>SUM('BID I'!F1035)</f>
        <v>27200000</v>
      </c>
      <c r="J208" s="66" t="s">
        <v>1682</v>
      </c>
      <c r="K208" s="66" t="s">
        <v>2992</v>
      </c>
      <c r="L208" s="1753"/>
      <c r="M208" s="1753"/>
      <c r="N208" s="1753"/>
      <c r="O208" s="1754">
        <v>5000000</v>
      </c>
      <c r="P208" s="1759">
        <v>13600000</v>
      </c>
      <c r="Q208" s="1758"/>
      <c r="R208" s="1759"/>
      <c r="S208" s="1758"/>
      <c r="T208" s="1763">
        <v>8600000</v>
      </c>
      <c r="U208" s="1762"/>
      <c r="V208" s="1762"/>
      <c r="W208" s="1762"/>
      <c r="X208" s="1750">
        <f t="shared" si="8"/>
        <v>27200000</v>
      </c>
      <c r="Y208" s="175">
        <f t="shared" si="9"/>
        <v>0</v>
      </c>
    </row>
    <row r="209" spans="1:25" ht="60" x14ac:dyDescent="0.25">
      <c r="A209" s="1344">
        <v>1</v>
      </c>
      <c r="B209" s="1344">
        <v>4</v>
      </c>
      <c r="C209" s="1346" t="s">
        <v>2688</v>
      </c>
      <c r="D209" s="1344"/>
      <c r="E209" s="1344"/>
      <c r="F209" s="1344"/>
      <c r="G209" s="1344"/>
      <c r="H209" s="1345" t="str">
        <f>'BID I'!B1054</f>
        <v>Penyelenggaraan Musyawarah Desa/ Pembahasan APBDes (Musrenbangdes)</v>
      </c>
      <c r="I209" s="1347">
        <f>SUM(I210:I218)</f>
        <v>22595200</v>
      </c>
      <c r="J209" s="1345" t="s">
        <v>2620</v>
      </c>
      <c r="K209" s="1344" t="s">
        <v>2994</v>
      </c>
      <c r="L209" s="1344"/>
      <c r="M209" s="1344"/>
      <c r="N209" s="1344"/>
      <c r="O209" s="1344"/>
      <c r="P209" s="1344"/>
      <c r="Q209" s="1344"/>
      <c r="R209" s="1344"/>
      <c r="S209" s="1344"/>
      <c r="T209" s="1344"/>
      <c r="U209" s="1344"/>
      <c r="V209" s="1344"/>
      <c r="W209" s="1344"/>
      <c r="X209" s="1353">
        <f t="shared" si="8"/>
        <v>0</v>
      </c>
      <c r="Y209" s="175">
        <f t="shared" si="9"/>
        <v>-22595200</v>
      </c>
    </row>
    <row r="210" spans="1:25" x14ac:dyDescent="0.25">
      <c r="A210" s="32"/>
      <c r="B210" s="32"/>
      <c r="C210" s="32"/>
      <c r="D210" s="32">
        <v>5</v>
      </c>
      <c r="E210" s="32">
        <v>2</v>
      </c>
      <c r="F210" s="32"/>
      <c r="G210" s="32"/>
      <c r="H210" s="66" t="str">
        <f>'BID I'!B1060</f>
        <v>Belanja Barang Jasa</v>
      </c>
      <c r="I210" s="32"/>
      <c r="J210" s="66"/>
      <c r="K210" s="32" t="s">
        <v>2994</v>
      </c>
      <c r="L210" s="1753"/>
      <c r="M210" s="1753"/>
      <c r="N210" s="1753"/>
      <c r="O210" s="1753"/>
      <c r="P210" s="1758"/>
      <c r="Q210" s="1758"/>
      <c r="R210" s="1758"/>
      <c r="S210" s="1758"/>
      <c r="T210" s="1762"/>
      <c r="U210" s="1762"/>
      <c r="V210" s="1762"/>
      <c r="W210" s="1762"/>
      <c r="X210" s="1750">
        <f t="shared" si="8"/>
        <v>0</v>
      </c>
      <c r="Y210" s="175">
        <f t="shared" si="9"/>
        <v>0</v>
      </c>
    </row>
    <row r="211" spans="1:25" ht="30" x14ac:dyDescent="0.25">
      <c r="A211" s="32"/>
      <c r="B211" s="32"/>
      <c r="C211" s="32"/>
      <c r="D211" s="32"/>
      <c r="E211" s="32"/>
      <c r="F211" s="32">
        <v>1</v>
      </c>
      <c r="G211" s="32"/>
      <c r="H211" s="66" t="str">
        <f>'BID I'!B1061</f>
        <v>Belanja Barang Perlengkapan</v>
      </c>
      <c r="I211" s="32"/>
      <c r="J211" s="66"/>
      <c r="K211" s="32" t="s">
        <v>2994</v>
      </c>
      <c r="L211" s="1753"/>
      <c r="M211" s="1753"/>
      <c r="N211" s="1753"/>
      <c r="O211" s="1753"/>
      <c r="P211" s="1758"/>
      <c r="Q211" s="1758"/>
      <c r="R211" s="1758"/>
      <c r="S211" s="1758"/>
      <c r="T211" s="1762"/>
      <c r="U211" s="1762"/>
      <c r="V211" s="1762"/>
      <c r="W211" s="1762"/>
      <c r="X211" s="1750">
        <f t="shared" si="8"/>
        <v>0</v>
      </c>
      <c r="Y211" s="175">
        <f t="shared" si="9"/>
        <v>0</v>
      </c>
    </row>
    <row r="212" spans="1:25" ht="60" x14ac:dyDescent="0.25">
      <c r="A212" s="32"/>
      <c r="B212" s="32"/>
      <c r="C212" s="32"/>
      <c r="D212" s="32"/>
      <c r="E212" s="32"/>
      <c r="F212" s="32"/>
      <c r="G212" s="1340" t="s">
        <v>2706</v>
      </c>
      <c r="H212" s="66" t="str">
        <f>'BID I'!B1062</f>
        <v>Belanja perlengkapan cetak/pengadaan - belanja barang cetak dan pengadaan</v>
      </c>
      <c r="I212" s="174">
        <f>SUM('BID I'!F1063)</f>
        <v>255200</v>
      </c>
      <c r="J212" s="66" t="s">
        <v>2620</v>
      </c>
      <c r="K212" s="32" t="s">
        <v>2994</v>
      </c>
      <c r="L212" s="1753"/>
      <c r="M212" s="1753"/>
      <c r="N212" s="1753"/>
      <c r="O212" s="1753"/>
      <c r="P212" s="1758"/>
      <c r="Q212" s="1758"/>
      <c r="R212" s="1758"/>
      <c r="S212" s="1758"/>
      <c r="T212" s="1763">
        <v>255200</v>
      </c>
      <c r="U212" s="1762"/>
      <c r="V212" s="1762"/>
      <c r="W212" s="1762"/>
      <c r="X212" s="1750">
        <f t="shared" si="8"/>
        <v>255200</v>
      </c>
      <c r="Y212" s="175">
        <f t="shared" si="9"/>
        <v>0</v>
      </c>
    </row>
    <row r="213" spans="1:25" ht="60" x14ac:dyDescent="0.25">
      <c r="A213" s="32"/>
      <c r="B213" s="32"/>
      <c r="C213" s="32"/>
      <c r="D213" s="32"/>
      <c r="E213" s="32"/>
      <c r="F213" s="32"/>
      <c r="G213" s="1340" t="s">
        <v>2705</v>
      </c>
      <c r="H213" s="66" t="str">
        <f>'BID I'!B1065</f>
        <v>Belanja perlengkapan barang konsumsi (makan/minum)- Belanja Barang Konsumsi</v>
      </c>
      <c r="I213" s="174">
        <f>SUM('BID I'!F1066)</f>
        <v>15000000</v>
      </c>
      <c r="J213" s="66" t="s">
        <v>2620</v>
      </c>
      <c r="K213" s="32" t="s">
        <v>2994</v>
      </c>
      <c r="L213" s="1753"/>
      <c r="M213" s="1753"/>
      <c r="N213" s="1753"/>
      <c r="O213" s="1753"/>
      <c r="P213" s="1758"/>
      <c r="Q213" s="1758"/>
      <c r="R213" s="1758"/>
      <c r="S213" s="1758"/>
      <c r="T213" s="1763">
        <v>15000000</v>
      </c>
      <c r="U213" s="1762"/>
      <c r="V213" s="1762"/>
      <c r="W213" s="1762"/>
      <c r="X213" s="1750">
        <f t="shared" si="8"/>
        <v>15000000</v>
      </c>
      <c r="Y213" s="175">
        <f t="shared" si="9"/>
        <v>0</v>
      </c>
    </row>
    <row r="214" spans="1:25" ht="30" x14ac:dyDescent="0.25">
      <c r="A214" s="32"/>
      <c r="B214" s="32"/>
      <c r="C214" s="32"/>
      <c r="D214" s="32"/>
      <c r="E214" s="32"/>
      <c r="F214" s="32"/>
      <c r="G214" s="32">
        <v>90</v>
      </c>
      <c r="H214" s="66" t="str">
        <f>'BID I'!B1068</f>
        <v>Belanja Upakara, Upacara Dan Aci- Aci</v>
      </c>
      <c r="I214" s="174">
        <f>SUM('BID I'!F1069:F1072)</f>
        <v>340000</v>
      </c>
      <c r="J214" s="66" t="s">
        <v>2620</v>
      </c>
      <c r="K214" s="32" t="s">
        <v>2994</v>
      </c>
      <c r="L214" s="1753"/>
      <c r="M214" s="1753"/>
      <c r="N214" s="1753"/>
      <c r="O214" s="1753"/>
      <c r="P214" s="1758"/>
      <c r="Q214" s="1758"/>
      <c r="R214" s="1758"/>
      <c r="S214" s="1758"/>
      <c r="T214" s="1763">
        <v>340000</v>
      </c>
      <c r="U214" s="1762"/>
      <c r="V214" s="1762"/>
      <c r="W214" s="1762"/>
      <c r="X214" s="1750">
        <f t="shared" si="8"/>
        <v>340000</v>
      </c>
      <c r="Y214" s="175">
        <f t="shared" si="9"/>
        <v>0</v>
      </c>
    </row>
    <row r="215" spans="1:25" x14ac:dyDescent="0.25">
      <c r="A215" s="32"/>
      <c r="B215" s="32"/>
      <c r="C215" s="32"/>
      <c r="D215" s="32">
        <v>5</v>
      </c>
      <c r="E215" s="32">
        <v>2</v>
      </c>
      <c r="F215" s="32">
        <v>2</v>
      </c>
      <c r="G215" s="32"/>
      <c r="H215" s="66" t="str">
        <f>'BID I'!B1074</f>
        <v>Belanja  Jasa Honorarium</v>
      </c>
      <c r="I215" s="174"/>
      <c r="J215" s="66"/>
      <c r="K215" s="32" t="s">
        <v>2994</v>
      </c>
      <c r="L215" s="1753"/>
      <c r="M215" s="1753"/>
      <c r="N215" s="1753"/>
      <c r="O215" s="1753"/>
      <c r="P215" s="1758"/>
      <c r="Q215" s="1758"/>
      <c r="R215" s="1758"/>
      <c r="S215" s="1758"/>
      <c r="T215" s="1763"/>
      <c r="U215" s="1762"/>
      <c r="V215" s="1762"/>
      <c r="W215" s="1762"/>
      <c r="X215" s="1750">
        <f t="shared" si="8"/>
        <v>0</v>
      </c>
      <c r="Y215" s="175">
        <f t="shared" si="9"/>
        <v>0</v>
      </c>
    </row>
    <row r="216" spans="1:25" ht="30" x14ac:dyDescent="0.25">
      <c r="A216" s="32"/>
      <c r="B216" s="32"/>
      <c r="C216" s="32"/>
      <c r="D216" s="32"/>
      <c r="E216" s="32"/>
      <c r="F216" s="32"/>
      <c r="G216" s="1340" t="s">
        <v>2706</v>
      </c>
      <c r="H216" s="66" t="str">
        <f>'BID I'!B1075</f>
        <v>Belanja Jasa Honorarium Petugas</v>
      </c>
      <c r="I216" s="174">
        <f>'BID I'!F1076</f>
        <v>200000</v>
      </c>
      <c r="J216" s="66" t="s">
        <v>2620</v>
      </c>
      <c r="K216" s="32" t="s">
        <v>2994</v>
      </c>
      <c r="L216" s="1753"/>
      <c r="M216" s="1753"/>
      <c r="N216" s="1753"/>
      <c r="O216" s="1753"/>
      <c r="P216" s="1758"/>
      <c r="Q216" s="1758"/>
      <c r="R216" s="1758"/>
      <c r="S216" s="1758"/>
      <c r="T216" s="1763">
        <v>200000</v>
      </c>
      <c r="U216" s="1762"/>
      <c r="V216" s="1762"/>
      <c r="W216" s="1762"/>
      <c r="X216" s="1750">
        <f t="shared" si="8"/>
        <v>200000</v>
      </c>
      <c r="Y216" s="175">
        <f t="shared" si="9"/>
        <v>0</v>
      </c>
    </row>
    <row r="217" spans="1:25" ht="45" x14ac:dyDescent="0.25">
      <c r="A217" s="32"/>
      <c r="B217" s="32"/>
      <c r="C217" s="32"/>
      <c r="D217" s="32">
        <v>5</v>
      </c>
      <c r="E217" s="32">
        <v>2</v>
      </c>
      <c r="F217" s="32">
        <v>7</v>
      </c>
      <c r="G217" s="32"/>
      <c r="H217" s="66" t="str">
        <f>'BID I'!B1077</f>
        <v>Belanja Barang Jasa yang diserahkan kepada masyarakat</v>
      </c>
      <c r="I217" s="32"/>
      <c r="J217" s="66"/>
      <c r="K217" s="32" t="s">
        <v>2994</v>
      </c>
      <c r="L217" s="1753"/>
      <c r="M217" s="1753"/>
      <c r="N217" s="1753"/>
      <c r="O217" s="1753"/>
      <c r="P217" s="1758"/>
      <c r="Q217" s="1758"/>
      <c r="R217" s="1758"/>
      <c r="S217" s="1758"/>
      <c r="T217" s="1763"/>
      <c r="U217" s="1762"/>
      <c r="V217" s="1762"/>
      <c r="W217" s="1762"/>
      <c r="X217" s="1750">
        <f t="shared" si="8"/>
        <v>0</v>
      </c>
      <c r="Y217" s="175">
        <f t="shared" si="9"/>
        <v>0</v>
      </c>
    </row>
    <row r="218" spans="1:25" x14ac:dyDescent="0.25">
      <c r="A218" s="32"/>
      <c r="B218" s="32"/>
      <c r="C218" s="32"/>
      <c r="D218" s="32"/>
      <c r="E218" s="32"/>
      <c r="F218" s="32"/>
      <c r="G218" s="32">
        <v>91</v>
      </c>
      <c r="H218" s="32" t="str">
        <f>'BID I'!B1078</f>
        <v>Belanja uang Saku</v>
      </c>
      <c r="I218" s="174">
        <f>SUM('BID I'!F1079)</f>
        <v>6800000</v>
      </c>
      <c r="J218" s="66" t="s">
        <v>2620</v>
      </c>
      <c r="K218" s="32" t="s">
        <v>2994</v>
      </c>
      <c r="L218" s="1753"/>
      <c r="M218" s="1753"/>
      <c r="N218" s="1753"/>
      <c r="O218" s="1753"/>
      <c r="P218" s="1758"/>
      <c r="Q218" s="1758"/>
      <c r="R218" s="1758"/>
      <c r="S218" s="1758"/>
      <c r="T218" s="1763">
        <v>6800000</v>
      </c>
      <c r="U218" s="1762"/>
      <c r="V218" s="1762"/>
      <c r="W218" s="1762"/>
      <c r="X218" s="1750">
        <f t="shared" ref="X218:X281" si="10">SUM(L218:W218)</f>
        <v>6800000</v>
      </c>
      <c r="Y218" s="175">
        <f t="shared" ref="Y218:Y281" si="11">X218-I218</f>
        <v>0</v>
      </c>
    </row>
    <row r="219" spans="1:25" ht="105" x14ac:dyDescent="0.25">
      <c r="A219" s="1344">
        <v>1</v>
      </c>
      <c r="B219" s="1344">
        <v>4</v>
      </c>
      <c r="C219" s="1346" t="s">
        <v>2688</v>
      </c>
      <c r="D219" s="1344"/>
      <c r="E219" s="1344"/>
      <c r="F219" s="1344"/>
      <c r="G219" s="1344"/>
      <c r="H219" s="1345" t="str">
        <f>'BID I'!B1098</f>
        <v>Penyelenggaraan Musyawarah Desa/ Pembahasan APBDes (Musdes, Musrenbangdes/pra musrenbangdes, dll yang bersifat reguler )</v>
      </c>
      <c r="I219" s="1347">
        <f>SUM(I220:I228)</f>
        <v>41416000</v>
      </c>
      <c r="J219" s="1345" t="s">
        <v>1682</v>
      </c>
      <c r="K219" s="1344" t="s">
        <v>2994</v>
      </c>
      <c r="L219" s="1344"/>
      <c r="M219" s="1344"/>
      <c r="N219" s="1344"/>
      <c r="O219" s="1344"/>
      <c r="P219" s="1344"/>
      <c r="Q219" s="1344"/>
      <c r="R219" s="1344"/>
      <c r="S219" s="1344"/>
      <c r="T219" s="1344"/>
      <c r="U219" s="1344"/>
      <c r="V219" s="1344"/>
      <c r="W219" s="1344"/>
      <c r="X219" s="1353">
        <f t="shared" si="10"/>
        <v>0</v>
      </c>
      <c r="Y219" s="175">
        <f t="shared" si="11"/>
        <v>-41416000</v>
      </c>
    </row>
    <row r="220" spans="1:25" x14ac:dyDescent="0.25">
      <c r="A220" s="32"/>
      <c r="B220" s="32"/>
      <c r="C220" s="32"/>
      <c r="D220" s="32">
        <v>5</v>
      </c>
      <c r="E220" s="32">
        <v>2</v>
      </c>
      <c r="F220" s="32"/>
      <c r="G220" s="32"/>
      <c r="H220" s="66" t="str">
        <f>'BID I'!B1104</f>
        <v>Belanja Barang Jasa</v>
      </c>
      <c r="I220" s="32"/>
      <c r="J220" s="66"/>
      <c r="K220" s="32" t="s">
        <v>2994</v>
      </c>
      <c r="L220" s="1753"/>
      <c r="M220" s="1753"/>
      <c r="N220" s="1753"/>
      <c r="O220" s="1753"/>
      <c r="P220" s="1758"/>
      <c r="Q220" s="1758"/>
      <c r="R220" s="1758"/>
      <c r="S220" s="1758"/>
      <c r="T220" s="1762"/>
      <c r="U220" s="1762"/>
      <c r="V220" s="1762"/>
      <c r="W220" s="1762"/>
      <c r="X220" s="1750">
        <f t="shared" si="10"/>
        <v>0</v>
      </c>
      <c r="Y220" s="175">
        <f t="shared" si="11"/>
        <v>0</v>
      </c>
    </row>
    <row r="221" spans="1:25" ht="30" x14ac:dyDescent="0.25">
      <c r="A221" s="32"/>
      <c r="B221" s="32"/>
      <c r="C221" s="32"/>
      <c r="D221" s="32"/>
      <c r="E221" s="32"/>
      <c r="F221" s="32">
        <v>1</v>
      </c>
      <c r="G221" s="32"/>
      <c r="H221" s="66" t="str">
        <f>'BID I'!B1105</f>
        <v>Belanja Barang Perlengkapan</v>
      </c>
      <c r="I221" s="32"/>
      <c r="J221" s="66"/>
      <c r="K221" s="32" t="s">
        <v>2994</v>
      </c>
      <c r="L221" s="1753"/>
      <c r="M221" s="1753"/>
      <c r="N221" s="1753"/>
      <c r="O221" s="1753"/>
      <c r="P221" s="1758"/>
      <c r="Q221" s="1758"/>
      <c r="R221" s="1758"/>
      <c r="S221" s="1758"/>
      <c r="T221" s="1762"/>
      <c r="U221" s="1762"/>
      <c r="V221" s="1762"/>
      <c r="W221" s="1762"/>
      <c r="X221" s="1750">
        <f t="shared" si="10"/>
        <v>0</v>
      </c>
      <c r="Y221" s="175">
        <f t="shared" si="11"/>
        <v>0</v>
      </c>
    </row>
    <row r="222" spans="1:25" ht="60" x14ac:dyDescent="0.25">
      <c r="A222" s="32"/>
      <c r="B222" s="32"/>
      <c r="C222" s="32"/>
      <c r="D222" s="32"/>
      <c r="E222" s="32"/>
      <c r="F222" s="32"/>
      <c r="G222" s="1340" t="s">
        <v>2706</v>
      </c>
      <c r="H222" s="66" t="str">
        <f>'BID I'!B1106</f>
        <v>Belanja perlengkapan cetak/pengadaan - belanja barang cetak dan pengadaan</v>
      </c>
      <c r="I222" s="174">
        <f>SUM('BID I'!F1107)</f>
        <v>360000</v>
      </c>
      <c r="J222" s="66" t="s">
        <v>1682</v>
      </c>
      <c r="K222" s="32" t="s">
        <v>2994</v>
      </c>
      <c r="L222" s="1754">
        <v>90000</v>
      </c>
      <c r="M222" s="1753"/>
      <c r="N222" s="1753"/>
      <c r="O222" s="1753"/>
      <c r="P222" s="1758"/>
      <c r="Q222" s="1758"/>
      <c r="R222" s="1754">
        <v>90000</v>
      </c>
      <c r="S222" s="1758"/>
      <c r="T222" s="1754">
        <v>90000</v>
      </c>
      <c r="U222" s="1762"/>
      <c r="V222" s="1762"/>
      <c r="W222" s="1754">
        <v>90000</v>
      </c>
      <c r="X222" s="1750">
        <f t="shared" si="10"/>
        <v>360000</v>
      </c>
      <c r="Y222" s="175">
        <f t="shared" si="11"/>
        <v>0</v>
      </c>
    </row>
    <row r="223" spans="1:25" ht="60" x14ac:dyDescent="0.25">
      <c r="A223" s="32"/>
      <c r="B223" s="32"/>
      <c r="C223" s="32"/>
      <c r="D223" s="32"/>
      <c r="E223" s="32"/>
      <c r="F223" s="32"/>
      <c r="G223" s="1340" t="s">
        <v>2705</v>
      </c>
      <c r="H223" s="66" t="str">
        <f>'BID I'!B1109</f>
        <v>Belanja perlengkapan barang konsumsi (makan/minum)- Belanja Barang Konsumsi</v>
      </c>
      <c r="I223" s="174">
        <f>'BID I'!F1110</f>
        <v>24000000</v>
      </c>
      <c r="J223" s="66" t="s">
        <v>1682</v>
      </c>
      <c r="K223" s="32" t="s">
        <v>2994</v>
      </c>
      <c r="L223" s="1754">
        <v>6000000</v>
      </c>
      <c r="M223" s="1753"/>
      <c r="N223" s="1753"/>
      <c r="O223" s="1753"/>
      <c r="P223" s="1758"/>
      <c r="Q223" s="1758"/>
      <c r="R223" s="1754">
        <v>6000000</v>
      </c>
      <c r="S223" s="1758"/>
      <c r="T223" s="1754">
        <v>6000000</v>
      </c>
      <c r="U223" s="1762"/>
      <c r="V223" s="1762"/>
      <c r="W223" s="1754">
        <v>6000000</v>
      </c>
      <c r="X223" s="1750">
        <f t="shared" si="10"/>
        <v>24000000</v>
      </c>
      <c r="Y223" s="175">
        <f t="shared" si="11"/>
        <v>0</v>
      </c>
    </row>
    <row r="224" spans="1:25" ht="30" x14ac:dyDescent="0.25">
      <c r="A224" s="32"/>
      <c r="B224" s="32"/>
      <c r="C224" s="32"/>
      <c r="D224" s="32"/>
      <c r="E224" s="32"/>
      <c r="F224" s="32"/>
      <c r="G224" s="32">
        <v>90</v>
      </c>
      <c r="H224" s="66" t="str">
        <f>'BID I'!B1112</f>
        <v>Belanja Upakara, Upacara Dan Aci- Aci</v>
      </c>
      <c r="I224" s="174">
        <f>SUM('BID I'!F1113:F1116)</f>
        <v>656000</v>
      </c>
      <c r="J224" s="66" t="s">
        <v>1682</v>
      </c>
      <c r="K224" s="32" t="s">
        <v>2994</v>
      </c>
      <c r="L224" s="1754">
        <v>164000</v>
      </c>
      <c r="M224" s="1753"/>
      <c r="N224" s="1753"/>
      <c r="O224" s="1753"/>
      <c r="P224" s="1758"/>
      <c r="Q224" s="1758"/>
      <c r="R224" s="1754">
        <v>164000</v>
      </c>
      <c r="S224" s="1758"/>
      <c r="T224" s="1754">
        <v>164000</v>
      </c>
      <c r="U224" s="1762"/>
      <c r="V224" s="1762"/>
      <c r="W224" s="1754">
        <v>164000</v>
      </c>
      <c r="X224" s="1750">
        <f t="shared" si="10"/>
        <v>656000</v>
      </c>
      <c r="Y224" s="175">
        <f t="shared" si="11"/>
        <v>0</v>
      </c>
    </row>
    <row r="225" spans="1:25" x14ac:dyDescent="0.25">
      <c r="A225" s="32"/>
      <c r="B225" s="32"/>
      <c r="C225" s="32"/>
      <c r="D225" s="32">
        <v>5</v>
      </c>
      <c r="E225" s="32">
        <v>2</v>
      </c>
      <c r="F225" s="32">
        <v>2</v>
      </c>
      <c r="G225" s="32"/>
      <c r="H225" s="66" t="str">
        <f>'BID I'!B1074</f>
        <v>Belanja  Jasa Honorarium</v>
      </c>
      <c r="I225" s="174"/>
      <c r="J225" s="66"/>
      <c r="K225" s="32" t="s">
        <v>2994</v>
      </c>
      <c r="L225" s="1754"/>
      <c r="M225" s="1753"/>
      <c r="N225" s="1753"/>
      <c r="O225" s="1753"/>
      <c r="P225" s="1758"/>
      <c r="Q225" s="1758"/>
      <c r="R225" s="1754"/>
      <c r="S225" s="1758"/>
      <c r="T225" s="1754"/>
      <c r="U225" s="1762"/>
      <c r="V225" s="1762"/>
      <c r="W225" s="1754"/>
      <c r="X225" s="1750">
        <f t="shared" si="10"/>
        <v>0</v>
      </c>
      <c r="Y225" s="175">
        <f t="shared" si="11"/>
        <v>0</v>
      </c>
    </row>
    <row r="226" spans="1:25" ht="30" x14ac:dyDescent="0.25">
      <c r="A226" s="32"/>
      <c r="B226" s="32"/>
      <c r="C226" s="32"/>
      <c r="D226" s="32"/>
      <c r="E226" s="32"/>
      <c r="F226" s="32"/>
      <c r="G226" s="1340" t="s">
        <v>2706</v>
      </c>
      <c r="H226" s="66" t="str">
        <f>'BID I'!B1075</f>
        <v>Belanja Jasa Honorarium Petugas</v>
      </c>
      <c r="I226" s="174">
        <f>'BID I'!F1120</f>
        <v>400000</v>
      </c>
      <c r="J226" s="66" t="s">
        <v>1682</v>
      </c>
      <c r="K226" s="32" t="s">
        <v>2994</v>
      </c>
      <c r="L226" s="1754">
        <v>100000</v>
      </c>
      <c r="M226" s="1753"/>
      <c r="N226" s="1753"/>
      <c r="O226" s="1753"/>
      <c r="P226" s="1758"/>
      <c r="Q226" s="1758"/>
      <c r="R226" s="1754">
        <v>100000</v>
      </c>
      <c r="S226" s="1758"/>
      <c r="T226" s="1754">
        <v>100000</v>
      </c>
      <c r="U226" s="1762"/>
      <c r="V226" s="1762"/>
      <c r="W226" s="1754">
        <v>100000</v>
      </c>
      <c r="X226" s="1750">
        <f t="shared" si="10"/>
        <v>400000</v>
      </c>
      <c r="Y226" s="175">
        <f t="shared" si="11"/>
        <v>0</v>
      </c>
    </row>
    <row r="227" spans="1:25" ht="45" x14ac:dyDescent="0.25">
      <c r="A227" s="32"/>
      <c r="B227" s="32"/>
      <c r="C227" s="32"/>
      <c r="D227" s="32">
        <v>5</v>
      </c>
      <c r="E227" s="32">
        <v>2</v>
      </c>
      <c r="F227" s="32">
        <v>7</v>
      </c>
      <c r="G227" s="32"/>
      <c r="H227" s="66" t="str">
        <f>'BID I'!B1122</f>
        <v>Belanja Barang Jasa yang diserahkan kepada masyarakat</v>
      </c>
      <c r="I227" s="32"/>
      <c r="J227" s="66"/>
      <c r="K227" s="32" t="s">
        <v>2994</v>
      </c>
      <c r="L227" s="1754"/>
      <c r="M227" s="1753"/>
      <c r="N227" s="1753"/>
      <c r="O227" s="1753"/>
      <c r="P227" s="1758"/>
      <c r="Q227" s="1758"/>
      <c r="R227" s="1754"/>
      <c r="S227" s="1758"/>
      <c r="T227" s="1754"/>
      <c r="U227" s="1762"/>
      <c r="V227" s="1762"/>
      <c r="W227" s="1754"/>
      <c r="X227" s="1750">
        <f t="shared" si="10"/>
        <v>0</v>
      </c>
      <c r="Y227" s="175">
        <f t="shared" si="11"/>
        <v>0</v>
      </c>
    </row>
    <row r="228" spans="1:25" x14ac:dyDescent="0.25">
      <c r="A228" s="32"/>
      <c r="B228" s="32"/>
      <c r="C228" s="32"/>
      <c r="D228" s="32"/>
      <c r="E228" s="32"/>
      <c r="F228" s="32"/>
      <c r="G228" s="32">
        <v>91</v>
      </c>
      <c r="H228" s="66" t="str">
        <f>'BID I'!B1123</f>
        <v>Belanja Uang Saku</v>
      </c>
      <c r="I228" s="174">
        <f>SUM('BID I'!F1124)</f>
        <v>16000000</v>
      </c>
      <c r="J228" s="66" t="s">
        <v>1682</v>
      </c>
      <c r="K228" s="32" t="s">
        <v>2994</v>
      </c>
      <c r="L228" s="1754">
        <v>4000000</v>
      </c>
      <c r="M228" s="1753"/>
      <c r="N228" s="1753"/>
      <c r="O228" s="1753"/>
      <c r="P228" s="1758"/>
      <c r="Q228" s="1758"/>
      <c r="R228" s="1754">
        <v>4000000</v>
      </c>
      <c r="S228" s="1758"/>
      <c r="T228" s="1754">
        <v>4000000</v>
      </c>
      <c r="U228" s="1762"/>
      <c r="V228" s="1762"/>
      <c r="W228" s="1754">
        <v>4000000</v>
      </c>
      <c r="X228" s="1750">
        <f t="shared" si="10"/>
        <v>16000000</v>
      </c>
      <c r="Y228" s="175">
        <f t="shared" si="11"/>
        <v>0</v>
      </c>
    </row>
    <row r="229" spans="1:25" ht="60" x14ac:dyDescent="0.25">
      <c r="A229" s="1344">
        <v>1</v>
      </c>
      <c r="B229" s="1344">
        <v>4</v>
      </c>
      <c r="C229" s="1346" t="s">
        <v>2702</v>
      </c>
      <c r="D229" s="1344"/>
      <c r="E229" s="1344"/>
      <c r="F229" s="1344"/>
      <c r="G229" s="1344"/>
      <c r="H229" s="1345" t="str">
        <f>'BID I'!B1143</f>
        <v>: Penyelenggaraan Musyawarah Desa lainya (yang bersifat non reguler )</v>
      </c>
      <c r="I229" s="1347">
        <f>SUM(I230:I238)</f>
        <v>41412000</v>
      </c>
      <c r="J229" s="1345" t="s">
        <v>1682</v>
      </c>
      <c r="K229" s="1344" t="s">
        <v>2994</v>
      </c>
      <c r="L229" s="1344"/>
      <c r="M229" s="1344"/>
      <c r="N229" s="1344"/>
      <c r="O229" s="1344"/>
      <c r="P229" s="1344"/>
      <c r="Q229" s="1344"/>
      <c r="R229" s="1344"/>
      <c r="S229" s="1344"/>
      <c r="T229" s="1344"/>
      <c r="U229" s="1344"/>
      <c r="V229" s="1344"/>
      <c r="W229" s="1344"/>
      <c r="X229" s="1353">
        <f t="shared" si="10"/>
        <v>0</v>
      </c>
      <c r="Y229" s="175">
        <f t="shared" si="11"/>
        <v>-41412000</v>
      </c>
    </row>
    <row r="230" spans="1:25" x14ac:dyDescent="0.25">
      <c r="A230" s="32"/>
      <c r="B230" s="32"/>
      <c r="C230" s="32"/>
      <c r="D230" s="32">
        <v>5</v>
      </c>
      <c r="E230" s="32">
        <v>2</v>
      </c>
      <c r="F230" s="32"/>
      <c r="G230" s="32"/>
      <c r="H230" s="66" t="str">
        <f>'BID I'!B1149</f>
        <v>Belanja Barang Jasa</v>
      </c>
      <c r="I230" s="32"/>
      <c r="J230" s="66"/>
      <c r="K230" s="32" t="s">
        <v>2994</v>
      </c>
      <c r="L230" s="1753"/>
      <c r="M230" s="1753"/>
      <c r="N230" s="1753"/>
      <c r="O230" s="1753"/>
      <c r="P230" s="1758"/>
      <c r="Q230" s="1758"/>
      <c r="R230" s="1758"/>
      <c r="S230" s="1758"/>
      <c r="T230" s="1762"/>
      <c r="U230" s="1762"/>
      <c r="V230" s="1762"/>
      <c r="W230" s="1762"/>
      <c r="X230" s="1750">
        <f t="shared" si="10"/>
        <v>0</v>
      </c>
      <c r="Y230" s="175">
        <f t="shared" si="11"/>
        <v>0</v>
      </c>
    </row>
    <row r="231" spans="1:25" ht="30" x14ac:dyDescent="0.25">
      <c r="A231" s="32"/>
      <c r="B231" s="32"/>
      <c r="C231" s="32"/>
      <c r="D231" s="32"/>
      <c r="E231" s="32"/>
      <c r="F231" s="32">
        <v>1</v>
      </c>
      <c r="G231" s="32"/>
      <c r="H231" s="66" t="str">
        <f>'BID I'!B1150</f>
        <v>Belanja Barang Perlengkapan</v>
      </c>
      <c r="I231" s="32"/>
      <c r="J231" s="66"/>
      <c r="K231" s="32" t="s">
        <v>2994</v>
      </c>
      <c r="L231" s="1753"/>
      <c r="M231" s="1753"/>
      <c r="N231" s="1753"/>
      <c r="O231" s="1753"/>
      <c r="P231" s="1758"/>
      <c r="Q231" s="1758"/>
      <c r="R231" s="1758"/>
      <c r="S231" s="1758"/>
      <c r="T231" s="1762"/>
      <c r="U231" s="1762"/>
      <c r="V231" s="1762"/>
      <c r="W231" s="1762"/>
      <c r="X231" s="1750">
        <f t="shared" si="10"/>
        <v>0</v>
      </c>
      <c r="Y231" s="175">
        <f t="shared" si="11"/>
        <v>0</v>
      </c>
    </row>
    <row r="232" spans="1:25" ht="60" x14ac:dyDescent="0.25">
      <c r="A232" s="32"/>
      <c r="B232" s="32"/>
      <c r="C232" s="32"/>
      <c r="D232" s="32"/>
      <c r="E232" s="32"/>
      <c r="F232" s="32"/>
      <c r="G232" s="1340" t="s">
        <v>2706</v>
      </c>
      <c r="H232" s="66" t="str">
        <f>'BID I'!B1151</f>
        <v>Belanja perlengkapan cetak/pengadaan - belanja barang cetak dan pengadaan</v>
      </c>
      <c r="I232" s="174">
        <f>SUM('BID I'!F1152)</f>
        <v>360000</v>
      </c>
      <c r="J232" s="66" t="s">
        <v>1682</v>
      </c>
      <c r="K232" s="32" t="s">
        <v>2994</v>
      </c>
      <c r="L232" s="1753"/>
      <c r="M232" s="1753"/>
      <c r="N232" s="1754">
        <v>90000</v>
      </c>
      <c r="O232" s="1753"/>
      <c r="P232" s="1758"/>
      <c r="Q232" s="1758"/>
      <c r="R232" s="1754">
        <v>90000</v>
      </c>
      <c r="S232" s="1758"/>
      <c r="T232" s="1762"/>
      <c r="U232" s="1754">
        <v>90000</v>
      </c>
      <c r="V232" s="1754">
        <v>90000</v>
      </c>
      <c r="W232" s="1762"/>
      <c r="X232" s="1750">
        <f t="shared" si="10"/>
        <v>360000</v>
      </c>
      <c r="Y232" s="175">
        <f t="shared" si="11"/>
        <v>0</v>
      </c>
    </row>
    <row r="233" spans="1:25" ht="60" x14ac:dyDescent="0.25">
      <c r="A233" s="32"/>
      <c r="B233" s="32"/>
      <c r="C233" s="32"/>
      <c r="D233" s="32"/>
      <c r="E233" s="32"/>
      <c r="F233" s="32"/>
      <c r="G233" s="1340" t="s">
        <v>2705</v>
      </c>
      <c r="H233" s="66" t="str">
        <f>'BID I'!B1154</f>
        <v>Belanja perlengkapan barang konsumsi (makan/minum)- Belanja Barang Konsumsi</v>
      </c>
      <c r="I233" s="174">
        <f>'BID I'!F1155</f>
        <v>24000000</v>
      </c>
      <c r="J233" s="66" t="s">
        <v>1682</v>
      </c>
      <c r="K233" s="32" t="s">
        <v>2994</v>
      </c>
      <c r="L233" s="1753"/>
      <c r="M233" s="1753"/>
      <c r="N233" s="1754">
        <v>6000000</v>
      </c>
      <c r="O233" s="1753"/>
      <c r="P233" s="1758"/>
      <c r="Q233" s="1758"/>
      <c r="R233" s="1754">
        <v>6000000</v>
      </c>
      <c r="S233" s="1758"/>
      <c r="T233" s="1762"/>
      <c r="U233" s="1754">
        <v>6000000</v>
      </c>
      <c r="V233" s="1754">
        <v>6000000</v>
      </c>
      <c r="W233" s="1762"/>
      <c r="X233" s="1750">
        <f t="shared" si="10"/>
        <v>24000000</v>
      </c>
      <c r="Y233" s="175">
        <f t="shared" si="11"/>
        <v>0</v>
      </c>
    </row>
    <row r="234" spans="1:25" ht="30" x14ac:dyDescent="0.25">
      <c r="A234" s="32"/>
      <c r="B234" s="32"/>
      <c r="C234" s="32"/>
      <c r="D234" s="32"/>
      <c r="E234" s="32"/>
      <c r="F234" s="32"/>
      <c r="G234" s="32">
        <v>90</v>
      </c>
      <c r="H234" s="66" t="str">
        <f>'BID I'!B1157</f>
        <v>Belanja Upakara, Upacara Dan Aci- Aci</v>
      </c>
      <c r="I234" s="174">
        <f>SUM('BID I'!F1158:F1161)</f>
        <v>652000</v>
      </c>
      <c r="J234" s="66" t="s">
        <v>1682</v>
      </c>
      <c r="K234" s="32" t="s">
        <v>2994</v>
      </c>
      <c r="L234" s="1753"/>
      <c r="M234" s="1753"/>
      <c r="N234" s="1754">
        <v>163000</v>
      </c>
      <c r="O234" s="1753"/>
      <c r="P234" s="1758"/>
      <c r="Q234" s="1758"/>
      <c r="R234" s="1754">
        <v>163000</v>
      </c>
      <c r="S234" s="1758"/>
      <c r="T234" s="1762"/>
      <c r="U234" s="1754">
        <v>163000</v>
      </c>
      <c r="V234" s="1754">
        <v>163000</v>
      </c>
      <c r="W234" s="1762"/>
      <c r="X234" s="1750">
        <f t="shared" si="10"/>
        <v>652000</v>
      </c>
      <c r="Y234" s="175">
        <f t="shared" si="11"/>
        <v>0</v>
      </c>
    </row>
    <row r="235" spans="1:25" x14ac:dyDescent="0.25">
      <c r="A235" s="32"/>
      <c r="B235" s="32"/>
      <c r="C235" s="32"/>
      <c r="D235" s="32">
        <v>5</v>
      </c>
      <c r="E235" s="32">
        <v>2</v>
      </c>
      <c r="F235" s="32">
        <v>2</v>
      </c>
      <c r="G235" s="32"/>
      <c r="H235" s="66" t="str">
        <f>'BID I'!B1163</f>
        <v>Belanja  Jasa Honorarium</v>
      </c>
      <c r="I235" s="32"/>
      <c r="J235" s="66"/>
      <c r="K235" s="32" t="s">
        <v>2994</v>
      </c>
      <c r="L235" s="1753"/>
      <c r="M235" s="1753"/>
      <c r="N235" s="1754"/>
      <c r="O235" s="1753"/>
      <c r="P235" s="1758"/>
      <c r="Q235" s="1758"/>
      <c r="R235" s="1754"/>
      <c r="S235" s="1758"/>
      <c r="T235" s="1762"/>
      <c r="U235" s="1754"/>
      <c r="V235" s="1754"/>
      <c r="W235" s="1762"/>
      <c r="X235" s="1750">
        <f t="shared" si="10"/>
        <v>0</v>
      </c>
      <c r="Y235" s="175">
        <f t="shared" si="11"/>
        <v>0</v>
      </c>
    </row>
    <row r="236" spans="1:25" ht="30" x14ac:dyDescent="0.25">
      <c r="A236" s="32"/>
      <c r="B236" s="32"/>
      <c r="C236" s="32"/>
      <c r="D236" s="32"/>
      <c r="E236" s="32"/>
      <c r="F236" s="32"/>
      <c r="G236" s="1340" t="s">
        <v>2706</v>
      </c>
      <c r="H236" s="66" t="str">
        <f>'BID I'!B1164</f>
        <v>Belanja Jasa Honorarium Petugas</v>
      </c>
      <c r="I236" s="174">
        <f>SUM('BID I'!F1165)</f>
        <v>400000</v>
      </c>
      <c r="J236" s="66" t="s">
        <v>1682</v>
      </c>
      <c r="K236" s="32" t="s">
        <v>2994</v>
      </c>
      <c r="L236" s="1753"/>
      <c r="M236" s="1753"/>
      <c r="N236" s="1754">
        <v>100000</v>
      </c>
      <c r="O236" s="1753"/>
      <c r="P236" s="1758"/>
      <c r="Q236" s="1758"/>
      <c r="R236" s="1754">
        <v>100000</v>
      </c>
      <c r="S236" s="1758"/>
      <c r="T236" s="1762"/>
      <c r="U236" s="1754">
        <v>100000</v>
      </c>
      <c r="V236" s="1754">
        <v>100000</v>
      </c>
      <c r="W236" s="1762"/>
      <c r="X236" s="1750">
        <f t="shared" si="10"/>
        <v>400000</v>
      </c>
      <c r="Y236" s="175">
        <f t="shared" si="11"/>
        <v>0</v>
      </c>
    </row>
    <row r="237" spans="1:25" ht="45" x14ac:dyDescent="0.25">
      <c r="A237" s="32"/>
      <c r="B237" s="32"/>
      <c r="C237" s="32"/>
      <c r="D237" s="32">
        <v>5</v>
      </c>
      <c r="E237" s="32">
        <v>2</v>
      </c>
      <c r="F237" s="32">
        <v>7</v>
      </c>
      <c r="G237" s="32"/>
      <c r="H237" s="66" t="str">
        <f>'BID I'!B1167</f>
        <v>Belanja Barang Jasa yang diserahkan kepada masyarakat</v>
      </c>
      <c r="I237" s="32"/>
      <c r="J237" s="66"/>
      <c r="K237" s="32" t="s">
        <v>2994</v>
      </c>
      <c r="L237" s="1753"/>
      <c r="M237" s="1753"/>
      <c r="N237" s="1754"/>
      <c r="O237" s="1753"/>
      <c r="P237" s="1758"/>
      <c r="Q237" s="1758"/>
      <c r="R237" s="1754"/>
      <c r="S237" s="1758"/>
      <c r="T237" s="1762"/>
      <c r="U237" s="1754"/>
      <c r="V237" s="1754"/>
      <c r="W237" s="1762"/>
      <c r="X237" s="1750">
        <f t="shared" si="10"/>
        <v>0</v>
      </c>
      <c r="Y237" s="175">
        <f t="shared" si="11"/>
        <v>0</v>
      </c>
    </row>
    <row r="238" spans="1:25" x14ac:dyDescent="0.25">
      <c r="A238" s="32"/>
      <c r="B238" s="32"/>
      <c r="C238" s="32"/>
      <c r="D238" s="32"/>
      <c r="E238" s="32"/>
      <c r="F238" s="32"/>
      <c r="G238" s="32">
        <v>91</v>
      </c>
      <c r="H238" s="32" t="str">
        <f>'BID I'!B1168</f>
        <v>Belanja Uang Saku</v>
      </c>
      <c r="I238" s="174">
        <f>SUM('BID I'!F1169)</f>
        <v>16000000</v>
      </c>
      <c r="J238" s="66" t="s">
        <v>1682</v>
      </c>
      <c r="K238" s="32" t="s">
        <v>2994</v>
      </c>
      <c r="L238" s="1753"/>
      <c r="M238" s="1753"/>
      <c r="N238" s="1754">
        <v>4000000</v>
      </c>
      <c r="O238" s="1753"/>
      <c r="P238" s="1758"/>
      <c r="Q238" s="1758"/>
      <c r="R238" s="1754">
        <v>4000000</v>
      </c>
      <c r="S238" s="1758"/>
      <c r="T238" s="1762"/>
      <c r="U238" s="1754">
        <v>4000000</v>
      </c>
      <c r="V238" s="1754">
        <v>4000000</v>
      </c>
      <c r="W238" s="1762"/>
      <c r="X238" s="1750">
        <f t="shared" si="10"/>
        <v>16000000</v>
      </c>
      <c r="Y238" s="175">
        <f t="shared" si="11"/>
        <v>0</v>
      </c>
    </row>
    <row r="239" spans="1:25" ht="45" x14ac:dyDescent="0.25">
      <c r="A239" s="1344">
        <v>1</v>
      </c>
      <c r="B239" s="1344">
        <v>4</v>
      </c>
      <c r="C239" s="1346" t="s">
        <v>2703</v>
      </c>
      <c r="D239" s="1344"/>
      <c r="E239" s="1344"/>
      <c r="F239" s="1344"/>
      <c r="G239" s="1344"/>
      <c r="H239" s="1345" t="str">
        <f>'BID I'!B1219</f>
        <v>Penyusunan Dokumen Perencanaan Desa (RKP Desa 2025)</v>
      </c>
      <c r="I239" s="1347">
        <f>SUM(I240:I245)</f>
        <v>25930000</v>
      </c>
      <c r="J239" s="1345" t="s">
        <v>1682</v>
      </c>
      <c r="K239" s="1344" t="s">
        <v>2994</v>
      </c>
      <c r="L239" s="1344"/>
      <c r="M239" s="1344"/>
      <c r="N239" s="1344"/>
      <c r="O239" s="1344"/>
      <c r="P239" s="1344"/>
      <c r="Q239" s="1344"/>
      <c r="R239" s="1344"/>
      <c r="S239" s="1344"/>
      <c r="T239" s="1344"/>
      <c r="U239" s="1344"/>
      <c r="V239" s="1344"/>
      <c r="W239" s="1344"/>
      <c r="X239" s="1353">
        <f t="shared" si="10"/>
        <v>0</v>
      </c>
      <c r="Y239" s="175">
        <f t="shared" si="11"/>
        <v>-25930000</v>
      </c>
    </row>
    <row r="240" spans="1:25" x14ac:dyDescent="0.25">
      <c r="A240" s="32"/>
      <c r="B240" s="32"/>
      <c r="C240" s="32"/>
      <c r="D240" s="32">
        <v>5</v>
      </c>
      <c r="E240" s="32">
        <v>2</v>
      </c>
      <c r="F240" s="32"/>
      <c r="G240" s="32"/>
      <c r="H240" s="66" t="str">
        <f>'BID I'!B1225</f>
        <v>Belanja Barang Jasa</v>
      </c>
      <c r="I240" s="32"/>
      <c r="J240" s="66"/>
      <c r="K240" s="32" t="s">
        <v>2994</v>
      </c>
      <c r="L240" s="1753"/>
      <c r="M240" s="1753"/>
      <c r="N240" s="1753"/>
      <c r="O240" s="1753"/>
      <c r="P240" s="1758"/>
      <c r="Q240" s="1758"/>
      <c r="R240" s="1758"/>
      <c r="S240" s="1758"/>
      <c r="T240" s="1762"/>
      <c r="U240" s="1762"/>
      <c r="V240" s="1762"/>
      <c r="W240" s="1762"/>
      <c r="X240" s="1750">
        <f t="shared" si="10"/>
        <v>0</v>
      </c>
      <c r="Y240" s="175">
        <f t="shared" si="11"/>
        <v>0</v>
      </c>
    </row>
    <row r="241" spans="1:25" ht="30" x14ac:dyDescent="0.25">
      <c r="A241" s="32"/>
      <c r="B241" s="32"/>
      <c r="C241" s="32"/>
      <c r="D241" s="32"/>
      <c r="E241" s="32"/>
      <c r="F241" s="32">
        <v>1</v>
      </c>
      <c r="G241" s="32"/>
      <c r="H241" s="66" t="str">
        <f>'BID I'!B1226</f>
        <v>Belanja Barang Perlengkapan</v>
      </c>
      <c r="I241" s="32"/>
      <c r="J241" s="66"/>
      <c r="K241" s="32" t="s">
        <v>2994</v>
      </c>
      <c r="L241" s="1753"/>
      <c r="M241" s="1753"/>
      <c r="N241" s="1753"/>
      <c r="O241" s="1753"/>
      <c r="P241" s="1758"/>
      <c r="Q241" s="1758"/>
      <c r="R241" s="1758"/>
      <c r="S241" s="1758"/>
      <c r="T241" s="1762"/>
      <c r="U241" s="1762"/>
      <c r="V241" s="1762"/>
      <c r="W241" s="1762"/>
      <c r="X241" s="1750">
        <f t="shared" si="10"/>
        <v>0</v>
      </c>
      <c r="Y241" s="175">
        <f t="shared" si="11"/>
        <v>0</v>
      </c>
    </row>
    <row r="242" spans="1:25" ht="60" x14ac:dyDescent="0.25">
      <c r="A242" s="32"/>
      <c r="B242" s="32"/>
      <c r="C242" s="32"/>
      <c r="D242" s="32"/>
      <c r="E242" s="32"/>
      <c r="F242" s="32"/>
      <c r="G242" s="1340" t="s">
        <v>2706</v>
      </c>
      <c r="H242" s="66" t="str">
        <f>'BID I'!B1227</f>
        <v>Belanja perlengkapan cetak/pengadaan - belanja barang cetak dan pengadaan</v>
      </c>
      <c r="I242" s="174">
        <f>SUM('BID I'!F1228)</f>
        <v>1800000</v>
      </c>
      <c r="J242" s="66" t="s">
        <v>1682</v>
      </c>
      <c r="K242" s="32" t="s">
        <v>2994</v>
      </c>
      <c r="L242" s="1753"/>
      <c r="M242" s="1753"/>
      <c r="N242" s="1753"/>
      <c r="O242" s="1753"/>
      <c r="P242" s="1758"/>
      <c r="Q242" s="1758"/>
      <c r="R242" s="1758"/>
      <c r="S242" s="1758"/>
      <c r="T242" s="1763">
        <v>1800000</v>
      </c>
      <c r="U242" s="1762"/>
      <c r="V242" s="1762"/>
      <c r="W242" s="1762"/>
      <c r="X242" s="1750">
        <f t="shared" si="10"/>
        <v>1800000</v>
      </c>
      <c r="Y242" s="175">
        <f t="shared" si="11"/>
        <v>0</v>
      </c>
    </row>
    <row r="243" spans="1:25" ht="60" x14ac:dyDescent="0.25">
      <c r="A243" s="32"/>
      <c r="B243" s="32"/>
      <c r="C243" s="32"/>
      <c r="D243" s="32"/>
      <c r="E243" s="32"/>
      <c r="F243" s="32"/>
      <c r="G243" s="1340" t="s">
        <v>2705</v>
      </c>
      <c r="H243" s="66" t="str">
        <f>'BID I'!B1230</f>
        <v>Belanja perlengkapan barang konsumsi (makan/minum)- Belanja Barang Konsumsi</v>
      </c>
      <c r="I243" s="174">
        <f>SUM('BID I'!F1231)</f>
        <v>1980000</v>
      </c>
      <c r="J243" s="66" t="s">
        <v>1682</v>
      </c>
      <c r="K243" s="32" t="s">
        <v>2994</v>
      </c>
      <c r="L243" s="1753"/>
      <c r="M243" s="1753"/>
      <c r="N243" s="1753"/>
      <c r="O243" s="1753"/>
      <c r="P243" s="1758"/>
      <c r="Q243" s="1758"/>
      <c r="R243" s="1758"/>
      <c r="S243" s="1758"/>
      <c r="T243" s="1763">
        <v>1980000</v>
      </c>
      <c r="U243" s="1762"/>
      <c r="V243" s="1762"/>
      <c r="W243" s="1762"/>
      <c r="X243" s="1750">
        <f t="shared" si="10"/>
        <v>1980000</v>
      </c>
      <c r="Y243" s="175">
        <f t="shared" si="11"/>
        <v>0</v>
      </c>
    </row>
    <row r="244" spans="1:25" x14ac:dyDescent="0.25">
      <c r="A244" s="32"/>
      <c r="B244" s="32"/>
      <c r="C244" s="32"/>
      <c r="D244" s="32">
        <v>5</v>
      </c>
      <c r="E244" s="32">
        <v>2</v>
      </c>
      <c r="F244" s="32">
        <v>2</v>
      </c>
      <c r="G244" s="32"/>
      <c r="H244" s="66" t="str">
        <f>'BID I'!B1233</f>
        <v>Belanja Jasa Honorarium</v>
      </c>
      <c r="I244" s="32"/>
      <c r="J244" s="66"/>
      <c r="K244" s="32" t="s">
        <v>2994</v>
      </c>
      <c r="L244" s="1753"/>
      <c r="M244" s="1753"/>
      <c r="N244" s="1753"/>
      <c r="O244" s="1753"/>
      <c r="P244" s="1758"/>
      <c r="Q244" s="1758"/>
      <c r="R244" s="1758"/>
      <c r="S244" s="1758"/>
      <c r="T244" s="1763"/>
      <c r="U244" s="1762"/>
      <c r="V244" s="1762"/>
      <c r="W244" s="1762"/>
      <c r="X244" s="1750">
        <f t="shared" si="10"/>
        <v>0</v>
      </c>
      <c r="Y244" s="175">
        <f t="shared" si="11"/>
        <v>0</v>
      </c>
    </row>
    <row r="245" spans="1:25" ht="45" x14ac:dyDescent="0.25">
      <c r="A245" s="32"/>
      <c r="B245" s="32"/>
      <c r="C245" s="32"/>
      <c r="D245" s="32"/>
      <c r="E245" s="32"/>
      <c r="F245" s="32"/>
      <c r="G245" s="1340" t="s">
        <v>2688</v>
      </c>
      <c r="H245" s="66" t="str">
        <f>'BID I'!B1234</f>
        <v>Belanja Jasa Honorarium Tim yang melaksanakan kegiatan</v>
      </c>
      <c r="I245" s="174">
        <f>SUM('BID I'!F1236:F1243)</f>
        <v>22150000</v>
      </c>
      <c r="J245" s="66" t="s">
        <v>1682</v>
      </c>
      <c r="K245" s="32" t="s">
        <v>2994</v>
      </c>
      <c r="L245" s="1753"/>
      <c r="M245" s="1753"/>
      <c r="N245" s="1753"/>
      <c r="O245" s="1753"/>
      <c r="P245" s="1758"/>
      <c r="Q245" s="1758"/>
      <c r="R245" s="1758"/>
      <c r="S245" s="1758"/>
      <c r="T245" s="1763">
        <v>22150000</v>
      </c>
      <c r="U245" s="1762"/>
      <c r="V245" s="1762"/>
      <c r="W245" s="1762"/>
      <c r="X245" s="1750">
        <f t="shared" si="10"/>
        <v>22150000</v>
      </c>
      <c r="Y245" s="175">
        <f t="shared" si="11"/>
        <v>0</v>
      </c>
    </row>
    <row r="246" spans="1:25" ht="45" x14ac:dyDescent="0.25">
      <c r="A246" s="1344">
        <v>1</v>
      </c>
      <c r="B246" s="1344">
        <v>4</v>
      </c>
      <c r="C246" s="1346" t="s">
        <v>2704</v>
      </c>
      <c r="D246" s="1344"/>
      <c r="E246" s="1344"/>
      <c r="F246" s="1344"/>
      <c r="G246" s="1344"/>
      <c r="H246" s="1345" t="str">
        <f>'BID I'!B1260</f>
        <v>: Penyusunan dokumen keuangan Desa (APBDesa 2025 )</v>
      </c>
      <c r="I246" s="1347">
        <f>SUM(I247:I250)</f>
        <v>5175000</v>
      </c>
      <c r="J246" s="1345" t="s">
        <v>2627</v>
      </c>
      <c r="K246" s="1344" t="s">
        <v>2994</v>
      </c>
      <c r="L246" s="1344"/>
      <c r="M246" s="1344"/>
      <c r="N246" s="1344"/>
      <c r="O246" s="1344"/>
      <c r="P246" s="1344"/>
      <c r="Q246" s="1344"/>
      <c r="R246" s="1344"/>
      <c r="S246" s="1344"/>
      <c r="T246" s="1344"/>
      <c r="U246" s="1344"/>
      <c r="V246" s="1344"/>
      <c r="W246" s="1344"/>
      <c r="X246" s="1353">
        <f t="shared" si="10"/>
        <v>0</v>
      </c>
      <c r="Y246" s="175">
        <f t="shared" si="11"/>
        <v>-5175000</v>
      </c>
    </row>
    <row r="247" spans="1:25" x14ac:dyDescent="0.25">
      <c r="A247" s="32"/>
      <c r="B247" s="32"/>
      <c r="C247" s="32"/>
      <c r="D247" s="32">
        <v>5</v>
      </c>
      <c r="E247" s="32">
        <v>2</v>
      </c>
      <c r="F247" s="32"/>
      <c r="G247" s="32"/>
      <c r="H247" s="66" t="str">
        <f>'BID I'!B1266</f>
        <v>Belanja Barang Jasa :</v>
      </c>
      <c r="I247" s="32"/>
      <c r="J247" s="66"/>
      <c r="K247" s="32" t="s">
        <v>2994</v>
      </c>
      <c r="L247" s="1753"/>
      <c r="M247" s="1753"/>
      <c r="N247" s="1753"/>
      <c r="O247" s="1753"/>
      <c r="P247" s="1758"/>
      <c r="Q247" s="1758"/>
      <c r="R247" s="1758"/>
      <c r="S247" s="1758"/>
      <c r="T247" s="1762"/>
      <c r="U247" s="1762"/>
      <c r="V247" s="1762"/>
      <c r="W247" s="1762"/>
      <c r="X247" s="1750">
        <f t="shared" si="10"/>
        <v>0</v>
      </c>
      <c r="Y247" s="175">
        <f t="shared" si="11"/>
        <v>0</v>
      </c>
    </row>
    <row r="248" spans="1:25" ht="30" x14ac:dyDescent="0.25">
      <c r="A248" s="32"/>
      <c r="B248" s="32"/>
      <c r="C248" s="32"/>
      <c r="D248" s="32"/>
      <c r="E248" s="32"/>
      <c r="F248" s="32">
        <v>1</v>
      </c>
      <c r="G248" s="32"/>
      <c r="H248" s="66" t="str">
        <f>'BID I'!B1267</f>
        <v>Belanja Barang Perlengkapan</v>
      </c>
      <c r="I248" s="32"/>
      <c r="J248" s="66"/>
      <c r="K248" s="32" t="s">
        <v>2994</v>
      </c>
      <c r="L248" s="1753"/>
      <c r="M248" s="1753"/>
      <c r="N248" s="1753"/>
      <c r="O248" s="1753"/>
      <c r="P248" s="1758"/>
      <c r="Q248" s="1758"/>
      <c r="R248" s="1758"/>
      <c r="S248" s="1758"/>
      <c r="T248" s="1762"/>
      <c r="U248" s="1762"/>
      <c r="V248" s="1762"/>
      <c r="W248" s="1762"/>
      <c r="X248" s="1750">
        <f t="shared" si="10"/>
        <v>0</v>
      </c>
      <c r="Y248" s="175">
        <f t="shared" si="11"/>
        <v>0</v>
      </c>
    </row>
    <row r="249" spans="1:25" ht="60" x14ac:dyDescent="0.25">
      <c r="A249" s="32"/>
      <c r="B249" s="32"/>
      <c r="C249" s="32"/>
      <c r="D249" s="32"/>
      <c r="E249" s="32"/>
      <c r="F249" s="32"/>
      <c r="G249" s="1340" t="s">
        <v>2706</v>
      </c>
      <c r="H249" s="66" t="str">
        <f>'BID I'!B1268</f>
        <v>Belanja perlengkapan cetak/pengadaan - belanja barang cetak dan pengadaan</v>
      </c>
      <c r="I249" s="174">
        <f>SUM('BID I'!F1269:F1270)</f>
        <v>2475000</v>
      </c>
      <c r="J249" s="66" t="s">
        <v>2627</v>
      </c>
      <c r="K249" s="32" t="s">
        <v>2994</v>
      </c>
      <c r="L249" s="1753"/>
      <c r="M249" s="1753"/>
      <c r="N249" s="1753"/>
      <c r="O249" s="1753"/>
      <c r="P249" s="1758"/>
      <c r="Q249" s="1758"/>
      <c r="R249" s="1758"/>
      <c r="S249" s="1758"/>
      <c r="T249" s="1762"/>
      <c r="U249" s="1763">
        <v>2475000</v>
      </c>
      <c r="V249" s="1762"/>
      <c r="W249" s="1762"/>
      <c r="X249" s="1750">
        <f t="shared" si="10"/>
        <v>2475000</v>
      </c>
      <c r="Y249" s="175">
        <f t="shared" si="11"/>
        <v>0</v>
      </c>
    </row>
    <row r="250" spans="1:25" ht="60" x14ac:dyDescent="0.25">
      <c r="A250" s="32"/>
      <c r="B250" s="32"/>
      <c r="C250" s="32"/>
      <c r="D250" s="32"/>
      <c r="E250" s="32"/>
      <c r="F250" s="32"/>
      <c r="G250" s="1340" t="s">
        <v>2705</v>
      </c>
      <c r="H250" s="66" t="str">
        <f>'BID I'!B1272</f>
        <v>Belanja Perlengkapan barang konsumsi (makan/minum) - Belanja barang konsumsi</v>
      </c>
      <c r="I250" s="513">
        <f>SUM('BID I'!F1273)</f>
        <v>2700000</v>
      </c>
      <c r="J250" s="66" t="s">
        <v>2627</v>
      </c>
      <c r="K250" s="32" t="s">
        <v>2994</v>
      </c>
      <c r="L250" s="1753"/>
      <c r="M250" s="1753"/>
      <c r="N250" s="1753"/>
      <c r="O250" s="1753"/>
      <c r="P250" s="1758"/>
      <c r="Q250" s="1758"/>
      <c r="R250" s="1758"/>
      <c r="S250" s="1758"/>
      <c r="T250" s="1762"/>
      <c r="U250" s="1763">
        <v>2700000</v>
      </c>
      <c r="V250" s="1762"/>
      <c r="W250" s="1762"/>
      <c r="X250" s="1750">
        <f t="shared" si="10"/>
        <v>2700000</v>
      </c>
      <c r="Y250" s="175">
        <f t="shared" si="11"/>
        <v>0</v>
      </c>
    </row>
    <row r="251" spans="1:25" ht="45" x14ac:dyDescent="0.25">
      <c r="A251" s="1344">
        <v>1</v>
      </c>
      <c r="B251" s="1344">
        <v>4</v>
      </c>
      <c r="C251" s="1346" t="s">
        <v>2704</v>
      </c>
      <c r="D251" s="1344"/>
      <c r="E251" s="1344"/>
      <c r="F251" s="1344"/>
      <c r="G251" s="1344"/>
      <c r="H251" s="1345" t="str">
        <f>'BID I'!B1291</f>
        <v>: Penyusunan dokumen keuangan Desa (APBDesa Perubahan 2024)</v>
      </c>
      <c r="I251" s="1347">
        <f>SUM(I252:I255)</f>
        <v>4805000</v>
      </c>
      <c r="J251" s="1345" t="s">
        <v>1682</v>
      </c>
      <c r="K251" s="1344" t="s">
        <v>2994</v>
      </c>
      <c r="L251" s="1344"/>
      <c r="M251" s="1344"/>
      <c r="N251" s="1344"/>
      <c r="O251" s="1344"/>
      <c r="P251" s="1344"/>
      <c r="Q251" s="1344"/>
      <c r="R251" s="1344"/>
      <c r="S251" s="1344"/>
      <c r="T251" s="1344"/>
      <c r="U251" s="1344"/>
      <c r="V251" s="1344"/>
      <c r="W251" s="1344"/>
      <c r="X251" s="1353">
        <f t="shared" si="10"/>
        <v>0</v>
      </c>
      <c r="Y251" s="175">
        <f t="shared" si="11"/>
        <v>-4805000</v>
      </c>
    </row>
    <row r="252" spans="1:25" x14ac:dyDescent="0.25">
      <c r="A252" s="32"/>
      <c r="B252" s="32"/>
      <c r="C252" s="32"/>
      <c r="D252" s="32">
        <v>5</v>
      </c>
      <c r="E252" s="32">
        <v>2</v>
      </c>
      <c r="F252" s="32"/>
      <c r="G252" s="32"/>
      <c r="H252" s="66" t="str">
        <f>'BID I'!B1297</f>
        <v>Belanja Barang Jasa :</v>
      </c>
      <c r="I252" s="32"/>
      <c r="J252" s="66"/>
      <c r="K252" s="32" t="s">
        <v>2994</v>
      </c>
      <c r="L252" s="1753"/>
      <c r="M252" s="1753"/>
      <c r="N252" s="1753"/>
      <c r="O252" s="1753"/>
      <c r="P252" s="1758"/>
      <c r="Q252" s="1758"/>
      <c r="R252" s="1758"/>
      <c r="S252" s="1758"/>
      <c r="T252" s="1762"/>
      <c r="U252" s="1762"/>
      <c r="V252" s="1762"/>
      <c r="W252" s="1762"/>
      <c r="X252" s="1750">
        <f t="shared" si="10"/>
        <v>0</v>
      </c>
      <c r="Y252" s="175">
        <f t="shared" si="11"/>
        <v>0</v>
      </c>
    </row>
    <row r="253" spans="1:25" ht="30" x14ac:dyDescent="0.25">
      <c r="A253" s="32"/>
      <c r="B253" s="32"/>
      <c r="C253" s="32"/>
      <c r="D253" s="32"/>
      <c r="E253" s="32"/>
      <c r="F253" s="32"/>
      <c r="G253" s="32">
        <v>1</v>
      </c>
      <c r="H253" s="66" t="str">
        <f>'BID I'!B1298</f>
        <v>Belanja Barang Perlengkapan</v>
      </c>
      <c r="I253" s="32"/>
      <c r="J253" s="66"/>
      <c r="K253" s="32" t="s">
        <v>2994</v>
      </c>
      <c r="L253" s="1753"/>
      <c r="M253" s="1753"/>
      <c r="N253" s="1753"/>
      <c r="O253" s="1753"/>
      <c r="P253" s="1758"/>
      <c r="Q253" s="1758"/>
      <c r="R253" s="1758"/>
      <c r="S253" s="1758"/>
      <c r="T253" s="1762"/>
      <c r="U253" s="1762"/>
      <c r="V253" s="1762"/>
      <c r="W253" s="1762"/>
      <c r="X253" s="1750">
        <f t="shared" si="10"/>
        <v>0</v>
      </c>
      <c r="Y253" s="175">
        <f t="shared" si="11"/>
        <v>0</v>
      </c>
    </row>
    <row r="254" spans="1:25" ht="60" x14ac:dyDescent="0.25">
      <c r="A254" s="32"/>
      <c r="B254" s="32"/>
      <c r="C254" s="32"/>
      <c r="D254" s="32"/>
      <c r="E254" s="32"/>
      <c r="F254" s="32"/>
      <c r="G254" s="1340" t="s">
        <v>2706</v>
      </c>
      <c r="H254" s="66" t="str">
        <f>'BID I'!B1299</f>
        <v>Belanja perlengkapan cetak/pengadaan - belanja barang cetak dan pengadaan</v>
      </c>
      <c r="I254" s="174">
        <f>SUM('BID I'!F1300:F1301)</f>
        <v>3725000</v>
      </c>
      <c r="J254" s="66" t="s">
        <v>1682</v>
      </c>
      <c r="K254" s="32" t="s">
        <v>2994</v>
      </c>
      <c r="L254" s="1753"/>
      <c r="M254" s="1753"/>
      <c r="N254" s="1753"/>
      <c r="O254" s="1753"/>
      <c r="P254" s="1758"/>
      <c r="Q254" s="1758"/>
      <c r="R254" s="1758"/>
      <c r="S254" s="1758"/>
      <c r="T254" s="1763">
        <v>3725000</v>
      </c>
      <c r="U254" s="1762"/>
      <c r="V254" s="1762"/>
      <c r="W254" s="1762"/>
      <c r="X254" s="1750">
        <f t="shared" si="10"/>
        <v>3725000</v>
      </c>
      <c r="Y254" s="175">
        <f t="shared" si="11"/>
        <v>0</v>
      </c>
    </row>
    <row r="255" spans="1:25" ht="60" x14ac:dyDescent="0.25">
      <c r="A255" s="32"/>
      <c r="B255" s="32"/>
      <c r="C255" s="32"/>
      <c r="D255" s="32"/>
      <c r="E255" s="32"/>
      <c r="F255" s="32"/>
      <c r="G255" s="1340" t="s">
        <v>2705</v>
      </c>
      <c r="H255" s="66" t="str">
        <f>'BID I'!B1303</f>
        <v>Belanja Perlengkapan barang konsumsi (makan/minum) - Belanja barang konsumsi</v>
      </c>
      <c r="I255" s="513">
        <f>SUM('BID I'!F1304)</f>
        <v>1080000</v>
      </c>
      <c r="J255" s="66" t="s">
        <v>1682</v>
      </c>
      <c r="K255" s="32" t="s">
        <v>2994</v>
      </c>
      <c r="L255" s="1753"/>
      <c r="M255" s="1753"/>
      <c r="N255" s="1753"/>
      <c r="O255" s="1753"/>
      <c r="P255" s="1758"/>
      <c r="Q255" s="1758"/>
      <c r="R255" s="1758"/>
      <c r="S255" s="1758"/>
      <c r="T255" s="1763">
        <v>1080000</v>
      </c>
      <c r="U255" s="1762"/>
      <c r="V255" s="1762"/>
      <c r="W255" s="1762"/>
      <c r="X255" s="1750">
        <f t="shared" si="10"/>
        <v>1080000</v>
      </c>
      <c r="Y255" s="175">
        <f t="shared" si="11"/>
        <v>0</v>
      </c>
    </row>
    <row r="256" spans="1:25" ht="45" x14ac:dyDescent="0.25">
      <c r="A256" s="1344">
        <v>1</v>
      </c>
      <c r="B256" s="1344">
        <v>4</v>
      </c>
      <c r="C256" s="1346" t="s">
        <v>2704</v>
      </c>
      <c r="D256" s="1344"/>
      <c r="E256" s="1344"/>
      <c r="F256" s="1344"/>
      <c r="G256" s="1344"/>
      <c r="H256" s="1345" t="str">
        <f>'BID I'!B1321</f>
        <v>: Penyusunan dokumen keuangan Desa ( LPJ APBDesa 2023)</v>
      </c>
      <c r="I256" s="1349">
        <f>I259:I259</f>
        <v>1575000</v>
      </c>
      <c r="J256" s="1345" t="s">
        <v>2626</v>
      </c>
      <c r="K256" s="1344" t="s">
        <v>2994</v>
      </c>
      <c r="L256" s="1344"/>
      <c r="M256" s="1344"/>
      <c r="N256" s="1344"/>
      <c r="O256" s="1344"/>
      <c r="P256" s="1344"/>
      <c r="Q256" s="1344"/>
      <c r="R256" s="1344"/>
      <c r="S256" s="1344"/>
      <c r="T256" s="1344"/>
      <c r="U256" s="1344"/>
      <c r="V256" s="1344"/>
      <c r="W256" s="1344"/>
      <c r="X256" s="1353">
        <f t="shared" si="10"/>
        <v>0</v>
      </c>
      <c r="Y256" s="175">
        <f t="shared" si="11"/>
        <v>-1575000</v>
      </c>
    </row>
    <row r="257" spans="1:25" x14ac:dyDescent="0.25">
      <c r="A257" s="32"/>
      <c r="B257" s="32"/>
      <c r="C257" s="32"/>
      <c r="D257" s="32">
        <v>5</v>
      </c>
      <c r="E257" s="32">
        <v>2</v>
      </c>
      <c r="F257" s="32"/>
      <c r="G257" s="32"/>
      <c r="H257" s="66" t="str">
        <f>'BID I'!B1327</f>
        <v>Belanja Barang Jasa :</v>
      </c>
      <c r="I257" s="32"/>
      <c r="J257" s="66"/>
      <c r="K257" s="32" t="s">
        <v>2994</v>
      </c>
      <c r="L257" s="1753"/>
      <c r="M257" s="1753"/>
      <c r="N257" s="1753"/>
      <c r="O257" s="1753"/>
      <c r="P257" s="1758"/>
      <c r="Q257" s="1758"/>
      <c r="R257" s="1758"/>
      <c r="S257" s="1758"/>
      <c r="T257" s="1762"/>
      <c r="U257" s="1762"/>
      <c r="V257" s="1762"/>
      <c r="W257" s="1762"/>
      <c r="X257" s="1750">
        <f t="shared" si="10"/>
        <v>0</v>
      </c>
      <c r="Y257" s="175">
        <f t="shared" si="11"/>
        <v>0</v>
      </c>
    </row>
    <row r="258" spans="1:25" ht="30" x14ac:dyDescent="0.25">
      <c r="A258" s="32"/>
      <c r="B258" s="32"/>
      <c r="C258" s="32"/>
      <c r="D258" s="32"/>
      <c r="E258" s="32"/>
      <c r="F258" s="32">
        <v>1</v>
      </c>
      <c r="G258" s="32"/>
      <c r="H258" s="66" t="str">
        <f>'BID I'!B1328</f>
        <v>Belanja Barang Perlengkapan</v>
      </c>
      <c r="I258" s="32"/>
      <c r="J258" s="66"/>
      <c r="K258" s="32" t="s">
        <v>2994</v>
      </c>
      <c r="L258" s="1753"/>
      <c r="M258" s="1753"/>
      <c r="N258" s="1753"/>
      <c r="O258" s="1753"/>
      <c r="P258" s="1758"/>
      <c r="Q258" s="1758"/>
      <c r="R258" s="1758"/>
      <c r="S258" s="1758"/>
      <c r="T258" s="1762"/>
      <c r="U258" s="1762"/>
      <c r="V258" s="1762"/>
      <c r="W258" s="1762"/>
      <c r="X258" s="1750">
        <f t="shared" si="10"/>
        <v>0</v>
      </c>
      <c r="Y258" s="175">
        <f t="shared" si="11"/>
        <v>0</v>
      </c>
    </row>
    <row r="259" spans="1:25" ht="60" x14ac:dyDescent="0.25">
      <c r="A259" s="32"/>
      <c r="B259" s="32"/>
      <c r="C259" s="32"/>
      <c r="D259" s="32"/>
      <c r="E259" s="32"/>
      <c r="F259" s="32"/>
      <c r="G259" s="1340" t="s">
        <v>2706</v>
      </c>
      <c r="H259" s="66" t="str">
        <f>'BID I'!B1329</f>
        <v>Belanja perlengkapan cetak/pengadaan - belanja barang cetak dan pengadaan</v>
      </c>
      <c r="I259" s="174">
        <f>SUM('BID I'!F1330:F1331)</f>
        <v>1575000</v>
      </c>
      <c r="J259" s="66" t="s">
        <v>2626</v>
      </c>
      <c r="K259" s="32" t="s">
        <v>2994</v>
      </c>
      <c r="L259" s="1753"/>
      <c r="M259" s="1754">
        <v>1575000</v>
      </c>
      <c r="N259" s="1753"/>
      <c r="O259" s="1753"/>
      <c r="P259" s="1758"/>
      <c r="Q259" s="1758"/>
      <c r="R259" s="1758"/>
      <c r="S259" s="1758"/>
      <c r="T259" s="1762"/>
      <c r="U259" s="1762"/>
      <c r="V259" s="1762"/>
      <c r="W259" s="1762"/>
      <c r="X259" s="1750">
        <f t="shared" si="10"/>
        <v>1575000</v>
      </c>
      <c r="Y259" s="175">
        <f t="shared" si="11"/>
        <v>0</v>
      </c>
    </row>
    <row r="260" spans="1:25" ht="90" x14ac:dyDescent="0.25">
      <c r="A260" s="1344">
        <v>1</v>
      </c>
      <c r="B260" s="1344">
        <v>4</v>
      </c>
      <c r="C260" s="1346" t="s">
        <v>2708</v>
      </c>
      <c r="D260" s="1344"/>
      <c r="E260" s="1344"/>
      <c r="F260" s="1344"/>
      <c r="G260" s="1344"/>
      <c r="H260" s="1345" t="str">
        <f>'BID I'!B1349</f>
        <v>: Penyusunan laporan Kepala Desa/ Penyelenggaraan Pemerintah Desa (Laporan akhir tahun anggaran )</v>
      </c>
      <c r="I260" s="1349">
        <f>I263</f>
        <v>1625000</v>
      </c>
      <c r="J260" s="1345" t="s">
        <v>2628</v>
      </c>
      <c r="K260" s="1344" t="s">
        <v>2994</v>
      </c>
      <c r="L260" s="1344"/>
      <c r="M260" s="1344"/>
      <c r="N260" s="1344"/>
      <c r="O260" s="1344"/>
      <c r="P260" s="1344"/>
      <c r="Q260" s="1344"/>
      <c r="R260" s="1344"/>
      <c r="S260" s="1344"/>
      <c r="T260" s="1344"/>
      <c r="U260" s="1344"/>
      <c r="V260" s="1344"/>
      <c r="W260" s="1344"/>
      <c r="X260" s="1353">
        <f t="shared" si="10"/>
        <v>0</v>
      </c>
      <c r="Y260" s="175">
        <f t="shared" si="11"/>
        <v>-1625000</v>
      </c>
    </row>
    <row r="261" spans="1:25" x14ac:dyDescent="0.25">
      <c r="A261" s="32"/>
      <c r="B261" s="32"/>
      <c r="C261" s="32"/>
      <c r="D261" s="32">
        <v>5</v>
      </c>
      <c r="E261" s="32">
        <v>2</v>
      </c>
      <c r="F261" s="32"/>
      <c r="G261" s="32"/>
      <c r="H261" s="66" t="str">
        <f>'BID I'!B1355</f>
        <v>Belanja Barang Jasa :</v>
      </c>
      <c r="I261" s="32"/>
      <c r="J261" s="66"/>
      <c r="K261" s="32" t="s">
        <v>2994</v>
      </c>
      <c r="L261" s="1753"/>
      <c r="M261" s="1753"/>
      <c r="N261" s="1753"/>
      <c r="O261" s="1753"/>
      <c r="P261" s="1758"/>
      <c r="Q261" s="1758"/>
      <c r="R261" s="1758"/>
      <c r="S261" s="1758"/>
      <c r="T261" s="1762"/>
      <c r="U261" s="1762"/>
      <c r="V261" s="1762"/>
      <c r="W261" s="1762"/>
      <c r="X261" s="1750">
        <f t="shared" si="10"/>
        <v>0</v>
      </c>
      <c r="Y261" s="175">
        <f t="shared" si="11"/>
        <v>0</v>
      </c>
    </row>
    <row r="262" spans="1:25" ht="30" x14ac:dyDescent="0.25">
      <c r="A262" s="32"/>
      <c r="B262" s="32"/>
      <c r="C262" s="32"/>
      <c r="D262" s="32"/>
      <c r="E262" s="32"/>
      <c r="F262" s="32">
        <v>1</v>
      </c>
      <c r="G262" s="32"/>
      <c r="H262" s="66" t="str">
        <f>'BID I'!B1356</f>
        <v>Belanja Barang Perlengkapan</v>
      </c>
      <c r="I262" s="32"/>
      <c r="J262" s="66"/>
      <c r="K262" s="32" t="s">
        <v>2994</v>
      </c>
      <c r="L262" s="1753"/>
      <c r="M262" s="1753"/>
      <c r="N262" s="1753"/>
      <c r="O262" s="1753"/>
      <c r="P262" s="1758"/>
      <c r="Q262" s="1758"/>
      <c r="R262" s="1758"/>
      <c r="S262" s="1758"/>
      <c r="T262" s="1762"/>
      <c r="U262" s="1762"/>
      <c r="V262" s="1762"/>
      <c r="W262" s="1762"/>
      <c r="X262" s="1750">
        <f t="shared" si="10"/>
        <v>0</v>
      </c>
      <c r="Y262" s="175">
        <f t="shared" si="11"/>
        <v>0</v>
      </c>
    </row>
    <row r="263" spans="1:25" ht="60" x14ac:dyDescent="0.25">
      <c r="A263" s="32"/>
      <c r="B263" s="32"/>
      <c r="C263" s="32"/>
      <c r="D263" s="32"/>
      <c r="E263" s="32"/>
      <c r="F263" s="32"/>
      <c r="G263" s="1340" t="s">
        <v>2706</v>
      </c>
      <c r="H263" s="66" t="str">
        <f>'BID I'!B1357</f>
        <v>Belanja perlengkapan cetak/pengadaan - belanja barang cetak dan pengadaan</v>
      </c>
      <c r="I263" s="174">
        <f>'BID I'!F1358+'BID I'!F1359</f>
        <v>1625000</v>
      </c>
      <c r="J263" s="66" t="s">
        <v>2628</v>
      </c>
      <c r="K263" s="32" t="s">
        <v>2994</v>
      </c>
      <c r="L263" s="1753"/>
      <c r="M263" s="1754">
        <v>1625000</v>
      </c>
      <c r="N263" s="1753"/>
      <c r="O263" s="1753"/>
      <c r="P263" s="1758"/>
      <c r="Q263" s="1758"/>
      <c r="R263" s="1758"/>
      <c r="S263" s="1758"/>
      <c r="T263" s="1762"/>
      <c r="U263" s="1762"/>
      <c r="V263" s="1762"/>
      <c r="W263" s="1762"/>
      <c r="X263" s="1750">
        <f t="shared" si="10"/>
        <v>1625000</v>
      </c>
      <c r="Y263" s="175">
        <f t="shared" si="11"/>
        <v>0</v>
      </c>
    </row>
    <row r="264" spans="1:25" ht="75" x14ac:dyDescent="0.25">
      <c r="A264" s="1344">
        <v>1</v>
      </c>
      <c r="B264" s="1344">
        <v>4</v>
      </c>
      <c r="C264" s="1344">
        <v>11</v>
      </c>
      <c r="D264" s="1344"/>
      <c r="E264" s="1344"/>
      <c r="F264" s="1344"/>
      <c r="G264" s="1344"/>
      <c r="H264" s="1345" t="str">
        <f>'BID I'!B1377</f>
        <v xml:space="preserve">: Penyelenggaraan Lomba antar kewilayahan dan pengiriman kontingen dalam mengikuti Lomba Desa </v>
      </c>
      <c r="I264" s="1347">
        <f>SUM(I265:I275)</f>
        <v>110468445</v>
      </c>
      <c r="J264" s="1345" t="s">
        <v>1682</v>
      </c>
      <c r="K264" s="1345" t="s">
        <v>2992</v>
      </c>
      <c r="L264" s="1349"/>
      <c r="M264" s="1344"/>
      <c r="N264" s="1344"/>
      <c r="O264" s="1344"/>
      <c r="P264" s="1344"/>
      <c r="Q264" s="1344"/>
      <c r="R264" s="1344"/>
      <c r="S264" s="1344"/>
      <c r="T264" s="1344"/>
      <c r="U264" s="1344"/>
      <c r="V264" s="1344"/>
      <c r="W264" s="1344"/>
      <c r="X264" s="1353">
        <f t="shared" si="10"/>
        <v>0</v>
      </c>
      <c r="Y264" s="175">
        <f t="shared" si="11"/>
        <v>-110468445</v>
      </c>
    </row>
    <row r="265" spans="1:25" ht="30" x14ac:dyDescent="0.25">
      <c r="A265" s="32"/>
      <c r="B265" s="32"/>
      <c r="C265" s="32"/>
      <c r="D265" s="32">
        <v>5</v>
      </c>
      <c r="E265" s="32">
        <v>2</v>
      </c>
      <c r="F265" s="32"/>
      <c r="G265" s="32"/>
      <c r="H265" s="66" t="str">
        <f>'BID I'!B1383</f>
        <v>Belanja Barang Jasa</v>
      </c>
      <c r="I265" s="32"/>
      <c r="J265" s="66"/>
      <c r="K265" s="66" t="s">
        <v>2992</v>
      </c>
      <c r="L265" s="1753"/>
      <c r="M265" s="1753"/>
      <c r="N265" s="1753"/>
      <c r="O265" s="1753"/>
      <c r="P265" s="1758"/>
      <c r="Q265" s="1758"/>
      <c r="R265" s="1758"/>
      <c r="S265" s="1758"/>
      <c r="T265" s="1762"/>
      <c r="U265" s="1762"/>
      <c r="V265" s="1762"/>
      <c r="W265" s="1762"/>
      <c r="X265" s="1750">
        <f t="shared" si="10"/>
        <v>0</v>
      </c>
      <c r="Y265" s="175">
        <f t="shared" si="11"/>
        <v>0</v>
      </c>
    </row>
    <row r="266" spans="1:25" ht="30" x14ac:dyDescent="0.25">
      <c r="A266" s="32"/>
      <c r="B266" s="32"/>
      <c r="C266" s="32"/>
      <c r="D266" s="32"/>
      <c r="E266" s="32"/>
      <c r="F266" s="32">
        <v>1</v>
      </c>
      <c r="G266" s="32"/>
      <c r="H266" s="66" t="str">
        <f>'BID I'!B1384</f>
        <v>Belanja Barang Perlengkepan</v>
      </c>
      <c r="I266" s="32"/>
      <c r="J266" s="66"/>
      <c r="K266" s="66" t="s">
        <v>2992</v>
      </c>
      <c r="L266" s="1753"/>
      <c r="M266" s="1753"/>
      <c r="N266" s="1753"/>
      <c r="O266" s="1753"/>
      <c r="P266" s="1758"/>
      <c r="Q266" s="1758"/>
      <c r="R266" s="1758"/>
      <c r="S266" s="1758"/>
      <c r="T266" s="1762"/>
      <c r="U266" s="1762"/>
      <c r="V266" s="1762"/>
      <c r="W266" s="1762"/>
      <c r="X266" s="1750">
        <f t="shared" si="10"/>
        <v>0</v>
      </c>
      <c r="Y266" s="175">
        <f t="shared" si="11"/>
        <v>0</v>
      </c>
    </row>
    <row r="267" spans="1:25" ht="45" x14ac:dyDescent="0.25">
      <c r="A267" s="32"/>
      <c r="B267" s="32"/>
      <c r="C267" s="32"/>
      <c r="D267" s="32"/>
      <c r="E267" s="32"/>
      <c r="F267" s="32"/>
      <c r="G267" s="1340" t="s">
        <v>2688</v>
      </c>
      <c r="H267" s="66" t="str">
        <f>'BID I'!B1385</f>
        <v xml:space="preserve">Belanja Perlengkapan Alat Tulis Kantor dan Benda Pos </v>
      </c>
      <c r="I267" s="470">
        <f>SUM('BID I'!F1386:F1389)</f>
        <v>559100</v>
      </c>
      <c r="J267" s="66" t="s">
        <v>1682</v>
      </c>
      <c r="K267" s="66" t="s">
        <v>2992</v>
      </c>
      <c r="L267" s="1753"/>
      <c r="M267" s="1753"/>
      <c r="N267" s="1753"/>
      <c r="O267" s="1753"/>
      <c r="P267" s="1758"/>
      <c r="Q267" s="1758"/>
      <c r="R267" s="1759">
        <v>559100</v>
      </c>
      <c r="S267" s="1758"/>
      <c r="T267" s="1762"/>
      <c r="U267" s="1762"/>
      <c r="V267" s="1762"/>
      <c r="W267" s="1762"/>
      <c r="X267" s="1750">
        <f t="shared" si="10"/>
        <v>559100</v>
      </c>
      <c r="Y267" s="175">
        <f t="shared" si="11"/>
        <v>0</v>
      </c>
    </row>
    <row r="268" spans="1:25" ht="30" x14ac:dyDescent="0.25">
      <c r="A268" s="32"/>
      <c r="B268" s="32"/>
      <c r="C268" s="32"/>
      <c r="D268" s="32"/>
      <c r="E268" s="32"/>
      <c r="F268" s="32"/>
      <c r="G268" s="1340" t="s">
        <v>2706</v>
      </c>
      <c r="H268" s="66" t="str">
        <f>'BID I'!B1391</f>
        <v xml:space="preserve">Belanja Cetak dan Penggandaan </v>
      </c>
      <c r="I268" s="470">
        <f>SUM('BID I'!F1392:F1394)</f>
        <v>7860000</v>
      </c>
      <c r="J268" s="66" t="s">
        <v>1682</v>
      </c>
      <c r="K268" s="66" t="s">
        <v>2992</v>
      </c>
      <c r="L268" s="1753"/>
      <c r="M268" s="1753"/>
      <c r="N268" s="1753"/>
      <c r="O268" s="1753"/>
      <c r="P268" s="1758"/>
      <c r="Q268" s="1758"/>
      <c r="R268" s="1759">
        <v>7860000</v>
      </c>
      <c r="S268" s="1758"/>
      <c r="T268" s="1762"/>
      <c r="U268" s="1762"/>
      <c r="V268" s="1762"/>
      <c r="W268" s="1762"/>
      <c r="X268" s="1750">
        <f t="shared" si="10"/>
        <v>7860000</v>
      </c>
      <c r="Y268" s="175">
        <f t="shared" si="11"/>
        <v>0</v>
      </c>
    </row>
    <row r="269" spans="1:25" ht="30" x14ac:dyDescent="0.25">
      <c r="A269" s="32"/>
      <c r="B269" s="32"/>
      <c r="C269" s="32"/>
      <c r="D269" s="32"/>
      <c r="E269" s="32"/>
      <c r="F269" s="32"/>
      <c r="G269" s="1340" t="s">
        <v>2705</v>
      </c>
      <c r="H269" s="66" t="str">
        <f>'BID I'!B1395</f>
        <v>Belanja Perlengkapan Barang Konsumsi</v>
      </c>
      <c r="I269" s="513">
        <f>SUM('BID I'!F1396:F1403)</f>
        <v>16200000</v>
      </c>
      <c r="J269" s="66" t="s">
        <v>1682</v>
      </c>
      <c r="K269" s="66" t="s">
        <v>2992</v>
      </c>
      <c r="L269" s="1753"/>
      <c r="M269" s="1753"/>
      <c r="N269" s="1753"/>
      <c r="O269" s="1753"/>
      <c r="P269" s="1758"/>
      <c r="Q269" s="1758"/>
      <c r="R269" s="1759">
        <v>16200000</v>
      </c>
      <c r="S269" s="1758"/>
      <c r="T269" s="1762"/>
      <c r="U269" s="1762"/>
      <c r="V269" s="1762"/>
      <c r="W269" s="1762"/>
      <c r="X269" s="1750">
        <f t="shared" si="10"/>
        <v>16200000</v>
      </c>
      <c r="Y269" s="175">
        <f t="shared" si="11"/>
        <v>0</v>
      </c>
    </row>
    <row r="270" spans="1:25" ht="30" x14ac:dyDescent="0.25">
      <c r="A270" s="32"/>
      <c r="B270" s="32"/>
      <c r="C270" s="32"/>
      <c r="D270" s="32"/>
      <c r="E270" s="32"/>
      <c r="F270" s="32"/>
      <c r="G270" s="1340" t="s">
        <v>2708</v>
      </c>
      <c r="H270" s="66" t="str">
        <f>'BID I'!B1404</f>
        <v>Belanja Bahan/Material</v>
      </c>
      <c r="I270" s="513">
        <f>SUM('BID I'!F1405:F1413)</f>
        <v>31799345</v>
      </c>
      <c r="J270" s="66" t="s">
        <v>1682</v>
      </c>
      <c r="K270" s="66" t="s">
        <v>2992</v>
      </c>
      <c r="L270" s="1753"/>
      <c r="M270" s="1753"/>
      <c r="N270" s="1753"/>
      <c r="O270" s="1753"/>
      <c r="P270" s="1758"/>
      <c r="Q270" s="1758"/>
      <c r="R270" s="1759">
        <v>31799345</v>
      </c>
      <c r="S270" s="1758"/>
      <c r="T270" s="1762"/>
      <c r="U270" s="1762"/>
      <c r="V270" s="1762"/>
      <c r="W270" s="1762"/>
      <c r="X270" s="1750">
        <f t="shared" si="10"/>
        <v>31799345</v>
      </c>
      <c r="Y270" s="175">
        <f t="shared" si="11"/>
        <v>0</v>
      </c>
    </row>
    <row r="271" spans="1:25" ht="30" x14ac:dyDescent="0.25">
      <c r="A271" s="32"/>
      <c r="B271" s="32"/>
      <c r="C271" s="32"/>
      <c r="D271" s="32"/>
      <c r="E271" s="32"/>
      <c r="F271" s="32"/>
      <c r="G271" s="1340" t="s">
        <v>2707</v>
      </c>
      <c r="H271" s="66" t="str">
        <f>'BID I'!B1414</f>
        <v>Belanja Bendera/Umbul-umbul/Spanduk</v>
      </c>
      <c r="I271" s="470">
        <f>SUM('BID I'!F1415:F1416)</f>
        <v>1050000</v>
      </c>
      <c r="J271" s="66" t="s">
        <v>1682</v>
      </c>
      <c r="K271" s="66" t="s">
        <v>2992</v>
      </c>
      <c r="L271" s="1753"/>
      <c r="M271" s="1753"/>
      <c r="N271" s="1753"/>
      <c r="O271" s="1753"/>
      <c r="P271" s="1758"/>
      <c r="Q271" s="1758"/>
      <c r="R271" s="1759">
        <v>1050000</v>
      </c>
      <c r="S271" s="1758"/>
      <c r="T271" s="1762"/>
      <c r="U271" s="1762"/>
      <c r="V271" s="1762"/>
      <c r="W271" s="1762"/>
      <c r="X271" s="1750">
        <f t="shared" si="10"/>
        <v>1050000</v>
      </c>
      <c r="Y271" s="175">
        <f t="shared" si="11"/>
        <v>0</v>
      </c>
    </row>
    <row r="272" spans="1:25" ht="30" x14ac:dyDescent="0.25">
      <c r="A272" s="32"/>
      <c r="B272" s="32"/>
      <c r="C272" s="32"/>
      <c r="D272" s="32"/>
      <c r="E272" s="32"/>
      <c r="F272" s="32"/>
      <c r="G272" s="1340" t="s">
        <v>2709</v>
      </c>
      <c r="H272" s="66" t="str">
        <f>'BID I'!B1417</f>
        <v>Belanja Pakaian Dinas/Seragam/Atribut</v>
      </c>
      <c r="I272" s="470">
        <f>'BID I'!F1418</f>
        <v>34500000</v>
      </c>
      <c r="J272" s="66" t="s">
        <v>1682</v>
      </c>
      <c r="K272" s="66" t="s">
        <v>2992</v>
      </c>
      <c r="L272" s="1753"/>
      <c r="M272" s="1753"/>
      <c r="N272" s="1753"/>
      <c r="O272" s="1753"/>
      <c r="P272" s="1758"/>
      <c r="Q272" s="1758"/>
      <c r="R272" s="1759">
        <v>34500000</v>
      </c>
      <c r="S272" s="1758"/>
      <c r="T272" s="1762"/>
      <c r="U272" s="1762"/>
      <c r="V272" s="1762"/>
      <c r="W272" s="1762"/>
      <c r="X272" s="1750">
        <f t="shared" si="10"/>
        <v>34500000</v>
      </c>
      <c r="Y272" s="175">
        <f t="shared" si="11"/>
        <v>0</v>
      </c>
    </row>
    <row r="273" spans="1:26" ht="30" x14ac:dyDescent="0.25">
      <c r="A273" s="32"/>
      <c r="B273" s="32"/>
      <c r="C273" s="32"/>
      <c r="D273" s="32">
        <v>5</v>
      </c>
      <c r="E273" s="32">
        <v>2</v>
      </c>
      <c r="F273" s="32">
        <v>4</v>
      </c>
      <c r="G273" s="1340"/>
      <c r="H273" s="66" t="str">
        <f>'BID I'!B1420</f>
        <v>Belanja Jasa Sewa</v>
      </c>
      <c r="I273" s="470"/>
      <c r="J273" s="66"/>
      <c r="K273" s="66" t="s">
        <v>2992</v>
      </c>
      <c r="L273" s="1753"/>
      <c r="M273" s="1753"/>
      <c r="N273" s="1753"/>
      <c r="O273" s="1753"/>
      <c r="P273" s="1758"/>
      <c r="Q273" s="1758"/>
      <c r="R273" s="1759"/>
      <c r="S273" s="1758"/>
      <c r="T273" s="1762"/>
      <c r="U273" s="1762"/>
      <c r="V273" s="1762"/>
      <c r="W273" s="1762"/>
      <c r="X273" s="1750">
        <f t="shared" si="10"/>
        <v>0</v>
      </c>
      <c r="Y273" s="175">
        <f t="shared" si="11"/>
        <v>0</v>
      </c>
    </row>
    <row r="274" spans="1:26" ht="30" x14ac:dyDescent="0.25">
      <c r="A274" s="32"/>
      <c r="B274" s="32"/>
      <c r="C274" s="32"/>
      <c r="D274" s="32"/>
      <c r="E274" s="32"/>
      <c r="F274" s="32"/>
      <c r="G274" s="1340" t="s">
        <v>2688</v>
      </c>
      <c r="H274" s="66" t="str">
        <f>'BID I'!B1421</f>
        <v>Belanja Jasa Sewa Bangunan/Gedung/Ruang</v>
      </c>
      <c r="I274" s="470">
        <f>SUM('BID I'!F1422)</f>
        <v>5000000</v>
      </c>
      <c r="J274" s="66" t="s">
        <v>1682</v>
      </c>
      <c r="K274" s="66" t="s">
        <v>2992</v>
      </c>
      <c r="L274" s="1753"/>
      <c r="M274" s="1753"/>
      <c r="N274" s="1753"/>
      <c r="O274" s="1753"/>
      <c r="P274" s="1758"/>
      <c r="Q274" s="1758"/>
      <c r="R274" s="1759">
        <v>5000000</v>
      </c>
      <c r="S274" s="1758"/>
      <c r="T274" s="1762"/>
      <c r="U274" s="1762"/>
      <c r="V274" s="1762"/>
      <c r="W274" s="1762"/>
      <c r="X274" s="1750">
        <f t="shared" si="10"/>
        <v>5000000</v>
      </c>
      <c r="Y274" s="175">
        <f t="shared" si="11"/>
        <v>0</v>
      </c>
    </row>
    <row r="275" spans="1:26" ht="30" x14ac:dyDescent="0.25">
      <c r="A275" s="32"/>
      <c r="B275" s="32"/>
      <c r="C275" s="32"/>
      <c r="D275" s="32"/>
      <c r="E275" s="32"/>
      <c r="F275" s="32"/>
      <c r="G275" s="1340" t="s">
        <v>2702</v>
      </c>
      <c r="H275" s="66" t="str">
        <f>'BID I'!B1423</f>
        <v>Belanja Jasa Sewa Peralatan/Perlengkapan</v>
      </c>
      <c r="I275" s="470">
        <f>SUM('BID I'!F1424:F1426)</f>
        <v>13500000</v>
      </c>
      <c r="J275" s="66" t="s">
        <v>1682</v>
      </c>
      <c r="K275" s="66" t="s">
        <v>2992</v>
      </c>
      <c r="L275" s="1753"/>
      <c r="M275" s="1753"/>
      <c r="N275" s="1753"/>
      <c r="O275" s="1753"/>
      <c r="P275" s="1758"/>
      <c r="Q275" s="1758"/>
      <c r="R275" s="1759">
        <v>13500000</v>
      </c>
      <c r="S275" s="1758"/>
      <c r="T275" s="1762"/>
      <c r="U275" s="1762"/>
      <c r="V275" s="1762"/>
      <c r="W275" s="1762"/>
      <c r="X275" s="1750">
        <f t="shared" si="10"/>
        <v>13500000</v>
      </c>
      <c r="Y275" s="175">
        <f t="shared" si="11"/>
        <v>0</v>
      </c>
    </row>
    <row r="276" spans="1:26" ht="30" x14ac:dyDescent="0.25">
      <c r="A276" s="1342">
        <v>2</v>
      </c>
      <c r="B276" s="1342"/>
      <c r="C276" s="1342"/>
      <c r="D276" s="1342"/>
      <c r="E276" s="1342"/>
      <c r="F276" s="1342"/>
      <c r="G276" s="1342"/>
      <c r="H276" s="1343" t="str">
        <f>'BID II'!B7</f>
        <v>Pelaksanaan Pembangunan Desa</v>
      </c>
      <c r="I276" s="1351">
        <f>I278+I295+I303+I312+I317+I323+I329+I335+I340+I365+I354+I372+I379+I389+I401+I412+I429+I441+I447+I457+I470+I479+I498+I511+I524+I531+I541+I558+I565+I574+I582+I590+I637+I641+I647+I654+I660+I666+I701+I711+I721+I727+I596+I601+I607+I613+I619+I625+I631</f>
        <v>3355644206.27</v>
      </c>
      <c r="J276" s="1343"/>
      <c r="K276" s="470"/>
      <c r="L276" s="1753"/>
      <c r="M276" s="1753"/>
      <c r="N276" s="1753"/>
      <c r="O276" s="1753"/>
      <c r="P276" s="1758"/>
      <c r="Q276" s="1758"/>
      <c r="R276" s="1758"/>
      <c r="S276" s="1758"/>
      <c r="T276" s="1762"/>
      <c r="U276" s="1762"/>
      <c r="V276" s="1762"/>
      <c r="W276" s="1762"/>
      <c r="X276" s="1750">
        <f t="shared" si="10"/>
        <v>0</v>
      </c>
      <c r="Y276" s="175">
        <f t="shared" si="11"/>
        <v>-3355644206.27</v>
      </c>
    </row>
    <row r="277" spans="1:26" x14ac:dyDescent="0.25">
      <c r="A277" s="1344"/>
      <c r="B277" s="1344"/>
      <c r="C277" s="1344"/>
      <c r="D277" s="1344"/>
      <c r="E277" s="1344"/>
      <c r="F277" s="1344"/>
      <c r="G277" s="1344"/>
      <c r="H277" s="1345" t="str">
        <f>'BID II'!B8</f>
        <v>Pendidikan</v>
      </c>
      <c r="I277" s="1344"/>
      <c r="J277" s="1345"/>
      <c r="K277" s="1349"/>
      <c r="L277" s="1349"/>
      <c r="M277" s="1344"/>
      <c r="N277" s="1344"/>
      <c r="O277" s="1344"/>
      <c r="P277" s="1344"/>
      <c r="Q277" s="1344"/>
      <c r="R277" s="1344"/>
      <c r="S277" s="1344"/>
      <c r="T277" s="1344"/>
      <c r="U277" s="1344"/>
      <c r="V277" s="1344"/>
      <c r="W277" s="1344"/>
      <c r="X277" s="1353">
        <f t="shared" si="10"/>
        <v>0</v>
      </c>
      <c r="Y277" s="175">
        <f t="shared" si="11"/>
        <v>0</v>
      </c>
    </row>
    <row r="278" spans="1:26" ht="90" x14ac:dyDescent="0.25">
      <c r="A278" s="1344">
        <v>2</v>
      </c>
      <c r="B278" s="1344">
        <v>1</v>
      </c>
      <c r="C278" s="1346" t="s">
        <v>2688</v>
      </c>
      <c r="D278" s="1344"/>
      <c r="E278" s="1344"/>
      <c r="F278" s="1344"/>
      <c r="G278" s="1344"/>
      <c r="H278" s="1345" t="str">
        <f>'BID II'!B9</f>
        <v>Penyelenggaraan PAUD/TK/TKA/ Madrasah Non Formal Milik Desa (Pengelolaan Taman Kanak - kanak  TK Kumara Sari VI )</v>
      </c>
      <c r="I278" s="1347">
        <f>SUM(I279:I294)</f>
        <v>237334529.18000001</v>
      </c>
      <c r="J278" s="1345"/>
      <c r="K278" s="1347" t="s">
        <v>3031</v>
      </c>
      <c r="L278" s="1349"/>
      <c r="M278" s="1344"/>
      <c r="N278" s="1344"/>
      <c r="O278" s="1344"/>
      <c r="P278" s="1344"/>
      <c r="Q278" s="1344"/>
      <c r="R278" s="1344"/>
      <c r="S278" s="1344"/>
      <c r="T278" s="1344"/>
      <c r="U278" s="1344"/>
      <c r="V278" s="1344"/>
      <c r="W278" s="1344"/>
      <c r="X278" s="1353">
        <f t="shared" si="10"/>
        <v>0</v>
      </c>
      <c r="Y278" s="175">
        <f t="shared" si="11"/>
        <v>-237334529.18000001</v>
      </c>
    </row>
    <row r="279" spans="1:26" x14ac:dyDescent="0.25">
      <c r="A279" s="32"/>
      <c r="B279" s="32"/>
      <c r="C279" s="32"/>
      <c r="D279" s="32">
        <v>5</v>
      </c>
      <c r="E279" s="32">
        <v>2</v>
      </c>
      <c r="F279" s="32"/>
      <c r="G279" s="32"/>
      <c r="H279" s="66" t="str">
        <f>'BID II'!B14</f>
        <v>Belanja Barang Jasa :</v>
      </c>
      <c r="I279" s="32"/>
      <c r="J279" s="66"/>
      <c r="K279" s="470" t="s">
        <v>3031</v>
      </c>
      <c r="L279" s="1753"/>
      <c r="M279" s="1753"/>
      <c r="N279" s="1753"/>
      <c r="O279" s="1753"/>
      <c r="P279" s="1758"/>
      <c r="Q279" s="1758"/>
      <c r="R279" s="1758"/>
      <c r="S279" s="1758"/>
      <c r="T279" s="1762"/>
      <c r="U279" s="1762"/>
      <c r="V279" s="1762"/>
      <c r="W279" s="1762"/>
      <c r="X279" s="1750">
        <f t="shared" si="10"/>
        <v>0</v>
      </c>
      <c r="Y279" s="175">
        <f t="shared" si="11"/>
        <v>0</v>
      </c>
    </row>
    <row r="280" spans="1:26" ht="30" x14ac:dyDescent="0.25">
      <c r="A280" s="32"/>
      <c r="B280" s="32"/>
      <c r="C280" s="32"/>
      <c r="D280" s="32"/>
      <c r="E280" s="32"/>
      <c r="F280" s="32">
        <v>1</v>
      </c>
      <c r="G280" s="32"/>
      <c r="H280" s="66" t="str">
        <f>'BID II'!B15</f>
        <v>Belanja Barang Perlengkapan</v>
      </c>
      <c r="I280" s="32"/>
      <c r="J280" s="66"/>
      <c r="K280" s="470" t="s">
        <v>3031</v>
      </c>
      <c r="L280" s="1753"/>
      <c r="M280" s="1753"/>
      <c r="N280" s="1753"/>
      <c r="O280" s="1753"/>
      <c r="P280" s="1758"/>
      <c r="Q280" s="1758"/>
      <c r="R280" s="1758"/>
      <c r="S280" s="1758"/>
      <c r="T280" s="1762"/>
      <c r="U280" s="1762"/>
      <c r="V280" s="1762"/>
      <c r="W280" s="1762"/>
      <c r="X280" s="1750">
        <f t="shared" si="10"/>
        <v>0</v>
      </c>
      <c r="Y280" s="175">
        <f t="shared" si="11"/>
        <v>0</v>
      </c>
    </row>
    <row r="281" spans="1:26" ht="45" x14ac:dyDescent="0.25">
      <c r="A281" s="32"/>
      <c r="B281" s="32"/>
      <c r="C281" s="32"/>
      <c r="D281" s="32"/>
      <c r="E281" s="32"/>
      <c r="F281" s="32"/>
      <c r="G281" s="1340" t="s">
        <v>2688</v>
      </c>
      <c r="H281" s="66" t="str">
        <f>'BID II'!B16</f>
        <v>Belanja perlengkapan alat tulis kantor dan Benda Pos</v>
      </c>
      <c r="I281" s="513">
        <f>SUM('BID II'!F18:F45)</f>
        <v>11461360</v>
      </c>
      <c r="J281" s="66" t="s">
        <v>2387</v>
      </c>
      <c r="K281" s="470" t="s">
        <v>3031</v>
      </c>
      <c r="L281" s="1754">
        <v>955113</v>
      </c>
      <c r="M281" s="1754">
        <v>955113</v>
      </c>
      <c r="N281" s="1754">
        <v>955113</v>
      </c>
      <c r="O281" s="1754">
        <v>955113</v>
      </c>
      <c r="P281" s="1754">
        <v>955113</v>
      </c>
      <c r="Q281" s="1754">
        <v>955113</v>
      </c>
      <c r="R281" s="1754">
        <v>955113</v>
      </c>
      <c r="S281" s="1754">
        <v>955113</v>
      </c>
      <c r="T281" s="1754">
        <v>955113</v>
      </c>
      <c r="U281" s="1754">
        <v>955113</v>
      </c>
      <c r="V281" s="1754">
        <v>955113</v>
      </c>
      <c r="W281" s="1754">
        <v>955117</v>
      </c>
      <c r="X281" s="1750">
        <f t="shared" si="10"/>
        <v>11461360</v>
      </c>
      <c r="Y281" s="175">
        <f t="shared" si="11"/>
        <v>0</v>
      </c>
    </row>
    <row r="282" spans="1:26" ht="45" x14ac:dyDescent="0.25">
      <c r="A282" s="32"/>
      <c r="B282" s="32"/>
      <c r="C282" s="32"/>
      <c r="D282" s="32"/>
      <c r="E282" s="32"/>
      <c r="F282" s="32"/>
      <c r="G282" s="1340" t="s">
        <v>2688</v>
      </c>
      <c r="H282" s="66" t="str">
        <f>'BID II'!B16</f>
        <v>Belanja perlengkapan alat tulis kantor dan Benda Pos</v>
      </c>
      <c r="I282" s="513">
        <f>SUM('BID II'!F46:F73)</f>
        <v>56795000</v>
      </c>
      <c r="J282" s="66" t="s">
        <v>2624</v>
      </c>
      <c r="K282" s="470" t="s">
        <v>3031</v>
      </c>
      <c r="L282" s="1754">
        <v>4732916</v>
      </c>
      <c r="M282" s="1754">
        <v>4732916</v>
      </c>
      <c r="N282" s="1754">
        <v>4732916</v>
      </c>
      <c r="O282" s="1754">
        <v>4732916</v>
      </c>
      <c r="P282" s="1754">
        <v>4732916</v>
      </c>
      <c r="Q282" s="1754">
        <v>4732916</v>
      </c>
      <c r="R282" s="1754">
        <v>4732916</v>
      </c>
      <c r="S282" s="1754">
        <v>4732916</v>
      </c>
      <c r="T282" s="1754">
        <v>4732916</v>
      </c>
      <c r="U282" s="1754">
        <v>4732916</v>
      </c>
      <c r="V282" s="1754">
        <v>4732916</v>
      </c>
      <c r="W282" s="1754">
        <v>4732924</v>
      </c>
      <c r="X282" s="1750">
        <f t="shared" ref="X282:X345" si="12">SUM(L282:W282)</f>
        <v>56795000</v>
      </c>
      <c r="Y282" s="175">
        <f t="shared" ref="Y282:Y345" si="13">X282-I282</f>
        <v>0</v>
      </c>
      <c r="Z282" s="175"/>
    </row>
    <row r="283" spans="1:26" ht="45" x14ac:dyDescent="0.25">
      <c r="A283" s="32"/>
      <c r="B283" s="32"/>
      <c r="C283" s="32"/>
      <c r="D283" s="32"/>
      <c r="E283" s="32"/>
      <c r="F283" s="32"/>
      <c r="G283" s="1340" t="s">
        <v>2702</v>
      </c>
      <c r="H283" s="66" t="str">
        <f>'BID II'!B74</f>
        <v xml:space="preserve">Belanja Perlengkapan Alat Listrik </v>
      </c>
      <c r="I283" s="513">
        <f>'BID II'!F75</f>
        <v>1280000</v>
      </c>
      <c r="J283" s="66" t="s">
        <v>2624</v>
      </c>
      <c r="K283" s="470" t="s">
        <v>3031</v>
      </c>
      <c r="L283" s="1753"/>
      <c r="M283" s="1753"/>
      <c r="N283" s="1753"/>
      <c r="O283" s="1753"/>
      <c r="P283" s="1759">
        <v>1280000</v>
      </c>
      <c r="Q283" s="1758"/>
      <c r="R283" s="1758"/>
      <c r="S283" s="1758"/>
      <c r="T283" s="1762"/>
      <c r="U283" s="1762"/>
      <c r="V283" s="1762"/>
      <c r="W283" s="1762"/>
      <c r="X283" s="1750">
        <f t="shared" si="12"/>
        <v>1280000</v>
      </c>
      <c r="Y283" s="175">
        <f t="shared" si="13"/>
        <v>0</v>
      </c>
    </row>
    <row r="284" spans="1:26" ht="60" x14ac:dyDescent="0.25">
      <c r="A284" s="32"/>
      <c r="B284" s="32"/>
      <c r="C284" s="32"/>
      <c r="D284" s="32"/>
      <c r="E284" s="32"/>
      <c r="F284" s="32"/>
      <c r="G284" s="1340" t="s">
        <v>2703</v>
      </c>
      <c r="H284" s="66" t="str">
        <f>'BID II'!B77</f>
        <v xml:space="preserve">Belanja perlengkapan alat alat rumah tangga/peralatan dan Bahan kebersihan </v>
      </c>
      <c r="I284" s="174">
        <f>SUM('BID II'!F78:F98)</f>
        <v>4061100</v>
      </c>
      <c r="J284" s="66" t="s">
        <v>2624</v>
      </c>
      <c r="K284" s="470" t="s">
        <v>3031</v>
      </c>
      <c r="L284" s="1754">
        <v>338425</v>
      </c>
      <c r="M284" s="1754">
        <v>338425</v>
      </c>
      <c r="N284" s="1754">
        <v>338425</v>
      </c>
      <c r="O284" s="1754">
        <v>338425</v>
      </c>
      <c r="P284" s="1754">
        <v>338425</v>
      </c>
      <c r="Q284" s="1754">
        <v>338425</v>
      </c>
      <c r="R284" s="1754">
        <v>338425</v>
      </c>
      <c r="S284" s="1754">
        <v>338425</v>
      </c>
      <c r="T284" s="1754">
        <v>338425</v>
      </c>
      <c r="U284" s="1754">
        <v>338425</v>
      </c>
      <c r="V284" s="1754">
        <v>338425</v>
      </c>
      <c r="W284" s="1754">
        <v>338425</v>
      </c>
      <c r="X284" s="1750">
        <f t="shared" si="12"/>
        <v>4061100</v>
      </c>
      <c r="Y284" s="175">
        <f t="shared" si="13"/>
        <v>0</v>
      </c>
    </row>
    <row r="285" spans="1:26" ht="45" x14ac:dyDescent="0.25">
      <c r="A285" s="32"/>
      <c r="B285" s="32"/>
      <c r="C285" s="32"/>
      <c r="D285" s="32"/>
      <c r="E285" s="32"/>
      <c r="F285" s="32"/>
      <c r="G285" s="1340" t="s">
        <v>2704</v>
      </c>
      <c r="H285" s="66" t="str">
        <f>'BID II'!B99</f>
        <v>Belanja Bahan Bakar Minyak</v>
      </c>
      <c r="I285" s="174">
        <f>'BID II'!F100</f>
        <v>1200000</v>
      </c>
      <c r="J285" s="66" t="s">
        <v>2624</v>
      </c>
      <c r="K285" s="470" t="s">
        <v>3031</v>
      </c>
      <c r="L285" s="1754">
        <v>100000</v>
      </c>
      <c r="M285" s="1754">
        <v>100000</v>
      </c>
      <c r="N285" s="1754">
        <v>100000</v>
      </c>
      <c r="O285" s="1754">
        <v>100000</v>
      </c>
      <c r="P285" s="1754">
        <v>100000</v>
      </c>
      <c r="Q285" s="1754">
        <v>100000</v>
      </c>
      <c r="R285" s="1754">
        <v>100000</v>
      </c>
      <c r="S285" s="1754">
        <v>100000</v>
      </c>
      <c r="T285" s="1754">
        <v>100000</v>
      </c>
      <c r="U285" s="1754">
        <v>100000</v>
      </c>
      <c r="V285" s="1754">
        <v>100000</v>
      </c>
      <c r="W285" s="1754">
        <v>100000</v>
      </c>
      <c r="X285" s="1750">
        <f t="shared" si="12"/>
        <v>1200000</v>
      </c>
      <c r="Y285" s="175">
        <f t="shared" si="13"/>
        <v>0</v>
      </c>
    </row>
    <row r="286" spans="1:26" ht="60" x14ac:dyDescent="0.25">
      <c r="A286" s="32"/>
      <c r="B286" s="32"/>
      <c r="C286" s="32"/>
      <c r="D286" s="32"/>
      <c r="E286" s="32"/>
      <c r="F286" s="32"/>
      <c r="G286" s="1340" t="s">
        <v>2705</v>
      </c>
      <c r="H286" s="66" t="str">
        <f>'BID II'!B101</f>
        <v>Belanja perlengkapan barang konsumsi (makan/ minum) Belanja Barang konsumsi</v>
      </c>
      <c r="I286" s="513">
        <f>'BID II'!F102</f>
        <v>180000</v>
      </c>
      <c r="J286" s="66" t="s">
        <v>2624</v>
      </c>
      <c r="K286" s="470" t="s">
        <v>3031</v>
      </c>
      <c r="L286" s="1753"/>
      <c r="M286" s="1753"/>
      <c r="N286" s="1753"/>
      <c r="O286" s="1753"/>
      <c r="P286" s="1759">
        <v>180000</v>
      </c>
      <c r="Q286" s="1758"/>
      <c r="R286" s="1758"/>
      <c r="S286" s="1758"/>
      <c r="T286" s="1762"/>
      <c r="U286" s="1762"/>
      <c r="V286" s="1762"/>
      <c r="W286" s="1762"/>
      <c r="X286" s="1750">
        <f t="shared" si="12"/>
        <v>180000</v>
      </c>
      <c r="Y286" s="175">
        <f t="shared" si="13"/>
        <v>0</v>
      </c>
    </row>
    <row r="287" spans="1:26" ht="45" x14ac:dyDescent="0.25">
      <c r="A287" s="32"/>
      <c r="B287" s="32"/>
      <c r="C287" s="32"/>
      <c r="D287" s="32"/>
      <c r="E287" s="32"/>
      <c r="F287" s="32"/>
      <c r="G287" s="1340" t="s">
        <v>2708</v>
      </c>
      <c r="H287" s="66" t="str">
        <f>'BID II'!B104</f>
        <v>Belanja Bahan / Material</v>
      </c>
      <c r="I287" s="513">
        <f>SUM('BID II'!F105:F106)</f>
        <v>4250000</v>
      </c>
      <c r="J287" s="66" t="s">
        <v>2624</v>
      </c>
      <c r="K287" s="470" t="s">
        <v>3031</v>
      </c>
      <c r="L287" s="1753"/>
      <c r="M287" s="1753"/>
      <c r="N287" s="1753"/>
      <c r="O287" s="1753"/>
      <c r="P287" s="1758"/>
      <c r="Q287" s="1758"/>
      <c r="R287" s="1758"/>
      <c r="S287" s="1759">
        <v>4250000</v>
      </c>
      <c r="T287" s="1762"/>
      <c r="U287" s="1762"/>
      <c r="V287" s="1762"/>
      <c r="W287" s="1762"/>
      <c r="X287" s="1750">
        <f t="shared" si="12"/>
        <v>4250000</v>
      </c>
      <c r="Y287" s="175">
        <f t="shared" si="13"/>
        <v>0</v>
      </c>
    </row>
    <row r="288" spans="1:26" ht="45" x14ac:dyDescent="0.25">
      <c r="A288" s="32"/>
      <c r="B288" s="32"/>
      <c r="C288" s="32"/>
      <c r="D288" s="32"/>
      <c r="E288" s="32"/>
      <c r="F288" s="32"/>
      <c r="G288" s="1340" t="s">
        <v>2707</v>
      </c>
      <c r="H288" s="66" t="str">
        <f>'BID II'!B108</f>
        <v>Belanja bendera/ umbul umbul/ spanduk</v>
      </c>
      <c r="I288" s="174">
        <f>'BID II'!F109</f>
        <v>300000</v>
      </c>
      <c r="J288" s="66" t="s">
        <v>2624</v>
      </c>
      <c r="K288" s="470" t="s">
        <v>3031</v>
      </c>
      <c r="L288" s="1753"/>
      <c r="M288" s="1753"/>
      <c r="N288" s="1753"/>
      <c r="O288" s="1753"/>
      <c r="P288" s="1758"/>
      <c r="Q288" s="1758"/>
      <c r="R288" s="1758"/>
      <c r="S288" s="1759">
        <v>300000</v>
      </c>
      <c r="T288" s="1762"/>
      <c r="U288" s="1762"/>
      <c r="V288" s="1762"/>
      <c r="W288" s="1762"/>
      <c r="X288" s="1750">
        <f t="shared" si="12"/>
        <v>300000</v>
      </c>
      <c r="Y288" s="175">
        <f t="shared" si="13"/>
        <v>0</v>
      </c>
    </row>
    <row r="289" spans="1:26" ht="45" x14ac:dyDescent="0.25">
      <c r="A289" s="32"/>
      <c r="B289" s="32"/>
      <c r="C289" s="32"/>
      <c r="D289" s="32"/>
      <c r="E289" s="32"/>
      <c r="F289" s="32"/>
      <c r="G289" s="1340" t="s">
        <v>2709</v>
      </c>
      <c r="H289" s="66" t="str">
        <f>'BID II'!B111</f>
        <v>Belanja Pakaian Dinas/ Seragam/ Atribut</v>
      </c>
      <c r="I289" s="174">
        <f>'BID II'!F112</f>
        <v>3750000</v>
      </c>
      <c r="J289" s="66" t="s">
        <v>2624</v>
      </c>
      <c r="K289" s="470" t="s">
        <v>3031</v>
      </c>
      <c r="L289" s="1753"/>
      <c r="M289" s="1753"/>
      <c r="N289" s="1753"/>
      <c r="O289" s="1753"/>
      <c r="P289" s="1758"/>
      <c r="Q289" s="1758"/>
      <c r="R289" s="1758"/>
      <c r="S289" s="1759">
        <v>3750000</v>
      </c>
      <c r="T289" s="1762"/>
      <c r="U289" s="1762"/>
      <c r="V289" s="1762"/>
      <c r="W289" s="1762"/>
      <c r="X289" s="1750">
        <f t="shared" si="12"/>
        <v>3750000</v>
      </c>
      <c r="Y289" s="175">
        <f t="shared" si="13"/>
        <v>0</v>
      </c>
    </row>
    <row r="290" spans="1:26" ht="30" x14ac:dyDescent="0.25">
      <c r="A290" s="32"/>
      <c r="B290" s="32"/>
      <c r="C290" s="32"/>
      <c r="D290" s="32"/>
      <c r="E290" s="32"/>
      <c r="F290" s="32"/>
      <c r="G290" s="32">
        <v>90</v>
      </c>
      <c r="H290" s="66" t="str">
        <f>'BID II'!B114</f>
        <v>Belanja Upakara, Upacara Dan Aci</v>
      </c>
      <c r="I290" s="174">
        <f>SUM('BID II'!F115:F123)</f>
        <v>14857069.18</v>
      </c>
      <c r="J290" s="66" t="s">
        <v>2628</v>
      </c>
      <c r="K290" s="470" t="s">
        <v>3031</v>
      </c>
      <c r="L290" s="1754">
        <v>1238089</v>
      </c>
      <c r="M290" s="1754">
        <v>1238089</v>
      </c>
      <c r="N290" s="1754">
        <v>1238089</v>
      </c>
      <c r="O290" s="1754">
        <v>1238089</v>
      </c>
      <c r="P290" s="1754">
        <v>1238089</v>
      </c>
      <c r="Q290" s="1754">
        <v>1238089</v>
      </c>
      <c r="R290" s="1754">
        <v>1238089</v>
      </c>
      <c r="S290" s="1754">
        <v>1238089</v>
      </c>
      <c r="T290" s="1754">
        <v>1238089</v>
      </c>
      <c r="U290" s="1754">
        <v>1238089</v>
      </c>
      <c r="V290" s="1754">
        <v>1238089</v>
      </c>
      <c r="W290" s="1754">
        <v>1238090.18</v>
      </c>
      <c r="X290" s="1750">
        <f t="shared" si="12"/>
        <v>14857069.18</v>
      </c>
      <c r="Y290" s="175">
        <f t="shared" si="13"/>
        <v>0</v>
      </c>
      <c r="Z290" s="175"/>
    </row>
    <row r="291" spans="1:26" x14ac:dyDescent="0.25">
      <c r="A291" s="32"/>
      <c r="B291" s="32"/>
      <c r="C291" s="32"/>
      <c r="D291" s="32">
        <v>5</v>
      </c>
      <c r="E291" s="32">
        <v>2</v>
      </c>
      <c r="F291" s="32">
        <v>2</v>
      </c>
      <c r="G291" s="32"/>
      <c r="H291" s="66" t="str">
        <f>'BID II'!B125</f>
        <v>Belanja jasa honorarium</v>
      </c>
      <c r="I291" s="32"/>
      <c r="J291" s="66"/>
      <c r="K291" s="470" t="s">
        <v>3031</v>
      </c>
      <c r="L291" s="1753"/>
      <c r="M291" s="1753"/>
      <c r="N291" s="1753"/>
      <c r="O291" s="1753"/>
      <c r="P291" s="1758"/>
      <c r="Q291" s="1758"/>
      <c r="R291" s="1758"/>
      <c r="S291" s="1758"/>
      <c r="T291" s="1762"/>
      <c r="U291" s="1762"/>
      <c r="V291" s="1762"/>
      <c r="W291" s="1762"/>
      <c r="X291" s="1750">
        <f t="shared" si="12"/>
        <v>0</v>
      </c>
      <c r="Y291" s="175">
        <f t="shared" si="13"/>
        <v>0</v>
      </c>
    </row>
    <row r="292" spans="1:26" ht="45" x14ac:dyDescent="0.25">
      <c r="A292" s="32"/>
      <c r="B292" s="32"/>
      <c r="C292" s="32"/>
      <c r="D292" s="32"/>
      <c r="E292" s="32"/>
      <c r="F292" s="32"/>
      <c r="G292" s="1340" t="s">
        <v>2704</v>
      </c>
      <c r="H292" s="66" t="str">
        <f>'BID II'!B126</f>
        <v>Belanja jasa honorarium Ahli/Profesi/Konsultan/Narasumber</v>
      </c>
      <c r="I292" s="513">
        <f>SUM('BID II'!F127:F133)</f>
        <v>120000000</v>
      </c>
      <c r="J292" s="66" t="s">
        <v>2639</v>
      </c>
      <c r="K292" s="470" t="s">
        <v>3031</v>
      </c>
      <c r="L292" s="1754">
        <v>10000000</v>
      </c>
      <c r="M292" s="1754">
        <v>10000000</v>
      </c>
      <c r="N292" s="1754">
        <v>10000000</v>
      </c>
      <c r="O292" s="1754">
        <v>10000000</v>
      </c>
      <c r="P292" s="1754">
        <v>10000000</v>
      </c>
      <c r="Q292" s="1754">
        <v>10000000</v>
      </c>
      <c r="R292" s="1754">
        <v>10000000</v>
      </c>
      <c r="S292" s="1754">
        <v>10000000</v>
      </c>
      <c r="T292" s="1754">
        <v>10000000</v>
      </c>
      <c r="U292" s="1754">
        <v>10000000</v>
      </c>
      <c r="V292" s="1754">
        <v>10000000</v>
      </c>
      <c r="W292" s="1754">
        <v>10000000</v>
      </c>
      <c r="X292" s="1750">
        <f t="shared" si="12"/>
        <v>120000000</v>
      </c>
      <c r="Y292" s="175">
        <f t="shared" si="13"/>
        <v>0</v>
      </c>
    </row>
    <row r="293" spans="1:26" ht="45" x14ac:dyDescent="0.25">
      <c r="A293" s="32"/>
      <c r="B293" s="32"/>
      <c r="C293" s="32"/>
      <c r="D293" s="32"/>
      <c r="E293" s="32"/>
      <c r="F293" s="32"/>
      <c r="G293" s="1340" t="s">
        <v>2704</v>
      </c>
      <c r="H293" s="66" t="str">
        <f>'BID II'!B126</f>
        <v>Belanja jasa honorarium Ahli/Profesi/Konsultan/Narasumber</v>
      </c>
      <c r="I293" s="513">
        <f>'BID II'!F135+'BID II'!F136</f>
        <v>5400000</v>
      </c>
      <c r="J293" s="66" t="s">
        <v>2624</v>
      </c>
      <c r="K293" s="470" t="s">
        <v>3031</v>
      </c>
      <c r="L293" s="1754">
        <v>450000</v>
      </c>
      <c r="M293" s="1754">
        <v>450000</v>
      </c>
      <c r="N293" s="1754">
        <v>450000</v>
      </c>
      <c r="O293" s="1754">
        <v>450000</v>
      </c>
      <c r="P293" s="1754">
        <v>450000</v>
      </c>
      <c r="Q293" s="1754">
        <v>450000</v>
      </c>
      <c r="R293" s="1754">
        <v>450000</v>
      </c>
      <c r="S293" s="1754">
        <v>450000</v>
      </c>
      <c r="T293" s="1754">
        <v>450000</v>
      </c>
      <c r="U293" s="1754">
        <v>450000</v>
      </c>
      <c r="V293" s="1754">
        <v>450000</v>
      </c>
      <c r="W293" s="1754">
        <v>450000</v>
      </c>
      <c r="X293" s="1750">
        <f t="shared" si="12"/>
        <v>5400000</v>
      </c>
      <c r="Y293" s="175">
        <f t="shared" si="13"/>
        <v>0</v>
      </c>
    </row>
    <row r="294" spans="1:26" ht="30" x14ac:dyDescent="0.25">
      <c r="A294" s="32"/>
      <c r="B294" s="32"/>
      <c r="C294" s="32"/>
      <c r="D294" s="32">
        <v>5</v>
      </c>
      <c r="E294" s="32">
        <v>2</v>
      </c>
      <c r="F294" s="32">
        <v>5</v>
      </c>
      <c r="G294" s="1340" t="s">
        <v>2688</v>
      </c>
      <c r="H294" s="66" t="str">
        <f>'BID II'!B138</f>
        <v>Belanja Operasional perkantoran</v>
      </c>
      <c r="I294" s="513">
        <f>SUM('BID II'!F139:F141)</f>
        <v>13800000</v>
      </c>
      <c r="J294" s="66" t="s">
        <v>2628</v>
      </c>
      <c r="K294" s="470" t="s">
        <v>3031</v>
      </c>
      <c r="L294" s="1754">
        <v>1150000</v>
      </c>
      <c r="M294" s="1754">
        <v>1150000</v>
      </c>
      <c r="N294" s="1754">
        <v>1150000</v>
      </c>
      <c r="O294" s="1754">
        <v>1150000</v>
      </c>
      <c r="P294" s="1754">
        <v>1150000</v>
      </c>
      <c r="Q294" s="1754">
        <v>1150000</v>
      </c>
      <c r="R294" s="1754">
        <v>1150000</v>
      </c>
      <c r="S294" s="1754">
        <v>1150000</v>
      </c>
      <c r="T294" s="1754">
        <v>1150000</v>
      </c>
      <c r="U294" s="1754">
        <v>1150000</v>
      </c>
      <c r="V294" s="1754">
        <v>1150000</v>
      </c>
      <c r="W294" s="1754">
        <v>1150000</v>
      </c>
      <c r="X294" s="1750">
        <f t="shared" si="12"/>
        <v>13800000</v>
      </c>
      <c r="Y294" s="175">
        <f t="shared" si="13"/>
        <v>0</v>
      </c>
    </row>
    <row r="295" spans="1:26" ht="90" x14ac:dyDescent="0.25">
      <c r="A295" s="1344">
        <v>2</v>
      </c>
      <c r="B295" s="1344">
        <v>1</v>
      </c>
      <c r="C295" s="1346" t="s">
        <v>2703</v>
      </c>
      <c r="D295" s="1344"/>
      <c r="E295" s="1344"/>
      <c r="F295" s="1344"/>
      <c r="G295" s="1344"/>
      <c r="H295" s="1345" t="str">
        <f>'BID II'!B157</f>
        <v>: Penyuluhan dan Pelatihan Pendidikan Bagi Masyarakat ( Pelatihan Bahasa Bali Untuk Anak-Anak 7-12 Th )</v>
      </c>
      <c r="I295" s="1347">
        <f>SUM(I296:I302)</f>
        <v>9015000</v>
      </c>
      <c r="J295" s="1345" t="s">
        <v>2621</v>
      </c>
      <c r="K295" s="1347" t="s">
        <v>3031</v>
      </c>
      <c r="L295" s="1344"/>
      <c r="M295" s="1344"/>
      <c r="N295" s="1344"/>
      <c r="O295" s="1344"/>
      <c r="P295" s="1344"/>
      <c r="Q295" s="1344"/>
      <c r="R295" s="1344"/>
      <c r="S295" s="1344"/>
      <c r="T295" s="1344"/>
      <c r="U295" s="1344"/>
      <c r="V295" s="1344"/>
      <c r="W295" s="1344"/>
      <c r="X295" s="1353">
        <f t="shared" si="12"/>
        <v>0</v>
      </c>
      <c r="Y295" s="175">
        <f t="shared" si="13"/>
        <v>-9015000</v>
      </c>
    </row>
    <row r="296" spans="1:26" x14ac:dyDescent="0.25">
      <c r="A296" s="32"/>
      <c r="B296" s="32"/>
      <c r="C296" s="32"/>
      <c r="D296" s="32">
        <v>5</v>
      </c>
      <c r="E296" s="32">
        <v>2</v>
      </c>
      <c r="F296" s="32"/>
      <c r="G296" s="32"/>
      <c r="H296" s="66" t="str">
        <f>'BID II'!B164</f>
        <v>Belanja Barang Jasa</v>
      </c>
      <c r="I296" s="32"/>
      <c r="J296" s="66"/>
      <c r="K296" s="470" t="s">
        <v>3031</v>
      </c>
      <c r="L296" s="1753"/>
      <c r="M296" s="1753"/>
      <c r="N296" s="1753"/>
      <c r="O296" s="1753"/>
      <c r="P296" s="1758"/>
      <c r="Q296" s="1758"/>
      <c r="R296" s="1758"/>
      <c r="S296" s="1758"/>
      <c r="T296" s="1762"/>
      <c r="U296" s="1762"/>
      <c r="V296" s="1762"/>
      <c r="W296" s="1762"/>
      <c r="X296" s="1750">
        <f t="shared" si="12"/>
        <v>0</v>
      </c>
      <c r="Y296" s="175">
        <f t="shared" si="13"/>
        <v>0</v>
      </c>
    </row>
    <row r="297" spans="1:26" ht="30" x14ac:dyDescent="0.25">
      <c r="A297" s="32"/>
      <c r="B297" s="32"/>
      <c r="C297" s="32"/>
      <c r="D297" s="32"/>
      <c r="E297" s="32"/>
      <c r="F297" s="32">
        <v>1</v>
      </c>
      <c r="G297" s="32"/>
      <c r="H297" s="66" t="str">
        <f>'BID II'!B165</f>
        <v>Belanja Barang Perlengkapan</v>
      </c>
      <c r="I297" s="32"/>
      <c r="J297" s="66"/>
      <c r="K297" s="470" t="s">
        <v>3031</v>
      </c>
      <c r="L297" s="1753"/>
      <c r="M297" s="1753"/>
      <c r="N297" s="1753"/>
      <c r="O297" s="1753"/>
      <c r="P297" s="1758"/>
      <c r="Q297" s="1758"/>
      <c r="R297" s="1758"/>
      <c r="S297" s="1758"/>
      <c r="T297" s="1762"/>
      <c r="U297" s="1762"/>
      <c r="V297" s="1762"/>
      <c r="W297" s="1762"/>
      <c r="X297" s="1750">
        <f t="shared" si="12"/>
        <v>0</v>
      </c>
      <c r="Y297" s="175">
        <f t="shared" si="13"/>
        <v>0</v>
      </c>
    </row>
    <row r="298" spans="1:26" ht="30" x14ac:dyDescent="0.25">
      <c r="A298" s="32"/>
      <c r="B298" s="32"/>
      <c r="C298" s="32"/>
      <c r="D298" s="32"/>
      <c r="E298" s="32"/>
      <c r="F298" s="32"/>
      <c r="G298" s="1340" t="s">
        <v>2688</v>
      </c>
      <c r="H298" s="66" t="str">
        <f>'BID II'!B166</f>
        <v>Belanja Alat Tulis Kantor dan Benda Pos</v>
      </c>
      <c r="I298" s="174">
        <f>SUM('BID II'!F167)</f>
        <v>300000</v>
      </c>
      <c r="J298" s="66" t="s">
        <v>2621</v>
      </c>
      <c r="K298" s="470" t="s">
        <v>3031</v>
      </c>
      <c r="L298" s="1753"/>
      <c r="M298" s="1753"/>
      <c r="N298" s="1753"/>
      <c r="O298" s="1753"/>
      <c r="P298" s="1759">
        <v>300000</v>
      </c>
      <c r="Q298" s="1758"/>
      <c r="R298" s="1758"/>
      <c r="S298" s="1758"/>
      <c r="T298" s="1762"/>
      <c r="U298" s="1762"/>
      <c r="V298" s="1762"/>
      <c r="W298" s="1762"/>
      <c r="X298" s="1750">
        <f t="shared" si="12"/>
        <v>300000</v>
      </c>
      <c r="Y298" s="175">
        <f t="shared" si="13"/>
        <v>0</v>
      </c>
    </row>
    <row r="299" spans="1:26" ht="30" x14ac:dyDescent="0.25">
      <c r="A299" s="32"/>
      <c r="B299" s="32"/>
      <c r="C299" s="32"/>
      <c r="D299" s="32"/>
      <c r="E299" s="32"/>
      <c r="F299" s="32"/>
      <c r="G299" s="1340" t="s">
        <v>2705</v>
      </c>
      <c r="H299" s="66" t="str">
        <f>'BID II'!B168</f>
        <v>Belanja Barang Perlengkapan Konsumsi</v>
      </c>
      <c r="I299" s="174">
        <f>'BID II'!F169</f>
        <v>5625000</v>
      </c>
      <c r="J299" s="66" t="s">
        <v>2621</v>
      </c>
      <c r="K299" s="470" t="s">
        <v>3031</v>
      </c>
      <c r="L299" s="1753"/>
      <c r="M299" s="1753"/>
      <c r="N299" s="1753"/>
      <c r="O299" s="1753"/>
      <c r="P299" s="1759">
        <v>5625000</v>
      </c>
      <c r="Q299" s="1758"/>
      <c r="R299" s="1758"/>
      <c r="S299" s="1758"/>
      <c r="T299" s="1762"/>
      <c r="U299" s="1762"/>
      <c r="V299" s="1762"/>
      <c r="W299" s="1762"/>
      <c r="X299" s="1750">
        <f t="shared" si="12"/>
        <v>5625000</v>
      </c>
      <c r="Y299" s="175">
        <f t="shared" si="13"/>
        <v>0</v>
      </c>
    </row>
    <row r="300" spans="1:26" ht="30" x14ac:dyDescent="0.25">
      <c r="A300" s="32"/>
      <c r="B300" s="32"/>
      <c r="C300" s="32"/>
      <c r="D300" s="32"/>
      <c r="E300" s="32"/>
      <c r="F300" s="32"/>
      <c r="G300" s="1340" t="s">
        <v>2707</v>
      </c>
      <c r="H300" s="66" t="str">
        <f>'BID II'!B170</f>
        <v>Belanja Bendera/ Umbul-umbul/ Spanduk</v>
      </c>
      <c r="I300" s="174">
        <f>'BID II'!F171</f>
        <v>90000</v>
      </c>
      <c r="J300" s="66" t="s">
        <v>2621</v>
      </c>
      <c r="K300" s="470" t="s">
        <v>3031</v>
      </c>
      <c r="L300" s="1753"/>
      <c r="M300" s="1753"/>
      <c r="N300" s="1753"/>
      <c r="O300" s="1753"/>
      <c r="P300" s="1759">
        <v>90000</v>
      </c>
      <c r="Q300" s="1758"/>
      <c r="R300" s="1758"/>
      <c r="S300" s="1758"/>
      <c r="T300" s="1762"/>
      <c r="U300" s="1762"/>
      <c r="V300" s="1762"/>
      <c r="W300" s="1762"/>
      <c r="X300" s="1750">
        <f t="shared" si="12"/>
        <v>90000</v>
      </c>
      <c r="Y300" s="175">
        <f t="shared" si="13"/>
        <v>0</v>
      </c>
    </row>
    <row r="301" spans="1:26" x14ac:dyDescent="0.25">
      <c r="A301" s="32"/>
      <c r="B301" s="32"/>
      <c r="C301" s="32"/>
      <c r="D301" s="32">
        <v>5</v>
      </c>
      <c r="E301" s="32">
        <v>2</v>
      </c>
      <c r="F301" s="32">
        <v>2</v>
      </c>
      <c r="G301" s="32"/>
      <c r="H301" s="66" t="str">
        <f>'BID II'!B172</f>
        <v>Belanja Honorarium</v>
      </c>
      <c r="I301" s="32"/>
      <c r="J301" s="66"/>
      <c r="K301" s="470" t="s">
        <v>3031</v>
      </c>
      <c r="L301" s="1753"/>
      <c r="M301" s="1753"/>
      <c r="N301" s="1753"/>
      <c r="O301" s="1753"/>
      <c r="P301" s="1759"/>
      <c r="Q301" s="1758"/>
      <c r="R301" s="1758"/>
      <c r="S301" s="1758"/>
      <c r="T301" s="1762"/>
      <c r="U301" s="1762"/>
      <c r="V301" s="1762"/>
      <c r="W301" s="1762"/>
      <c r="X301" s="1750">
        <f t="shared" si="12"/>
        <v>0</v>
      </c>
      <c r="Y301" s="175">
        <f t="shared" si="13"/>
        <v>0</v>
      </c>
    </row>
    <row r="302" spans="1:26" ht="45" x14ac:dyDescent="0.25">
      <c r="A302" s="32"/>
      <c r="B302" s="32"/>
      <c r="C302" s="32"/>
      <c r="D302" s="32"/>
      <c r="E302" s="32"/>
      <c r="F302" s="32"/>
      <c r="G302" s="1340" t="s">
        <v>2688</v>
      </c>
      <c r="H302" s="66" t="str">
        <f>'BID II'!B173</f>
        <v>Belanja Jasa Honorarium Tim Yang Melaksanakan Kegiatan</v>
      </c>
      <c r="I302" s="174">
        <f>'BID II'!F174</f>
        <v>3000000</v>
      </c>
      <c r="J302" s="66" t="s">
        <v>2621</v>
      </c>
      <c r="K302" s="470" t="s">
        <v>3031</v>
      </c>
      <c r="L302" s="1753"/>
      <c r="M302" s="1753"/>
      <c r="N302" s="1753"/>
      <c r="O302" s="1753"/>
      <c r="P302" s="1759">
        <v>3000000</v>
      </c>
      <c r="Q302" s="1758"/>
      <c r="R302" s="1758"/>
      <c r="S302" s="1758"/>
      <c r="T302" s="1762"/>
      <c r="U302" s="1762"/>
      <c r="V302" s="1762"/>
      <c r="W302" s="1762"/>
      <c r="X302" s="1750">
        <f t="shared" si="12"/>
        <v>3000000</v>
      </c>
      <c r="Y302" s="175">
        <f t="shared" si="13"/>
        <v>0</v>
      </c>
    </row>
    <row r="303" spans="1:26" ht="90" x14ac:dyDescent="0.25">
      <c r="A303" s="1344">
        <v>2</v>
      </c>
      <c r="B303" s="1344">
        <v>1</v>
      </c>
      <c r="C303" s="1346" t="s">
        <v>2703</v>
      </c>
      <c r="D303" s="1344"/>
      <c r="E303" s="1344"/>
      <c r="F303" s="1344"/>
      <c r="G303" s="1344"/>
      <c r="H303" s="1345" t="str">
        <f>'BID II'!B189</f>
        <v>: Penyuluhan dan Pelatihan Pendidikan Bagi Masyarakat ( Pembinaan dan Penyelenggaraan Bunda Literasi )</v>
      </c>
      <c r="I303" s="1347">
        <f>SUM(I304:I311)</f>
        <v>14178000</v>
      </c>
      <c r="J303" s="1345" t="s">
        <v>2625</v>
      </c>
      <c r="K303" s="1347" t="s">
        <v>3031</v>
      </c>
      <c r="L303" s="1344"/>
      <c r="M303" s="1344"/>
      <c r="N303" s="1344"/>
      <c r="O303" s="1344"/>
      <c r="P303" s="1344"/>
      <c r="Q303" s="1344"/>
      <c r="R303" s="1344"/>
      <c r="S303" s="1344"/>
      <c r="T303" s="1344"/>
      <c r="U303" s="1344"/>
      <c r="V303" s="1344"/>
      <c r="W303" s="1344"/>
      <c r="X303" s="1353">
        <f t="shared" si="12"/>
        <v>0</v>
      </c>
      <c r="Y303" s="175">
        <f t="shared" si="13"/>
        <v>-14178000</v>
      </c>
    </row>
    <row r="304" spans="1:26" x14ac:dyDescent="0.25">
      <c r="A304" s="32"/>
      <c r="B304" s="32"/>
      <c r="C304" s="32"/>
      <c r="D304" s="32">
        <v>5</v>
      </c>
      <c r="E304" s="32">
        <v>2</v>
      </c>
      <c r="F304" s="32"/>
      <c r="G304" s="32"/>
      <c r="H304" s="66" t="str">
        <f>'BID II'!B196</f>
        <v>Belanja Barang Jasa</v>
      </c>
      <c r="I304" s="32"/>
      <c r="J304" s="66"/>
      <c r="K304" s="470" t="s">
        <v>3031</v>
      </c>
      <c r="L304" s="1753"/>
      <c r="M304" s="1753"/>
      <c r="N304" s="1753"/>
      <c r="O304" s="1753"/>
      <c r="P304" s="1758"/>
      <c r="Q304" s="1758"/>
      <c r="R304" s="1758"/>
      <c r="S304" s="1758"/>
      <c r="T304" s="1762"/>
      <c r="U304" s="1762"/>
      <c r="V304" s="1762"/>
      <c r="W304" s="1762"/>
      <c r="X304" s="1750">
        <f t="shared" si="12"/>
        <v>0</v>
      </c>
      <c r="Y304" s="175">
        <f t="shared" si="13"/>
        <v>0</v>
      </c>
    </row>
    <row r="305" spans="1:25" ht="30" x14ac:dyDescent="0.25">
      <c r="A305" s="32"/>
      <c r="B305" s="32"/>
      <c r="C305" s="32"/>
      <c r="D305" s="32"/>
      <c r="E305" s="32"/>
      <c r="F305" s="32">
        <v>1</v>
      </c>
      <c r="G305" s="32"/>
      <c r="H305" s="66" t="str">
        <f>'BID II'!B197</f>
        <v>Belanja Barang Perlengkapan</v>
      </c>
      <c r="I305" s="32"/>
      <c r="J305" s="66"/>
      <c r="K305" s="470" t="s">
        <v>3031</v>
      </c>
      <c r="L305" s="1753"/>
      <c r="M305" s="1753"/>
      <c r="N305" s="1753"/>
      <c r="O305" s="1753"/>
      <c r="P305" s="1758"/>
      <c r="Q305" s="1758"/>
      <c r="R305" s="1758"/>
      <c r="S305" s="1758"/>
      <c r="T305" s="1762"/>
      <c r="U305" s="1762"/>
      <c r="V305" s="1762"/>
      <c r="W305" s="1762"/>
      <c r="X305" s="1750">
        <f t="shared" si="12"/>
        <v>0</v>
      </c>
      <c r="Y305" s="175">
        <f t="shared" si="13"/>
        <v>0</v>
      </c>
    </row>
    <row r="306" spans="1:25" ht="30" x14ac:dyDescent="0.25">
      <c r="A306" s="32"/>
      <c r="B306" s="32"/>
      <c r="C306" s="32"/>
      <c r="D306" s="32"/>
      <c r="E306" s="32"/>
      <c r="F306" s="32"/>
      <c r="G306" s="1340" t="s">
        <v>2688</v>
      </c>
      <c r="H306" s="66" t="str">
        <f>'BID II'!B198</f>
        <v>Belanja Alat Tulis Kantor dan Benda Pos</v>
      </c>
      <c r="I306" s="174">
        <f>SUM('BID II'!F199:F200)</f>
        <v>63000</v>
      </c>
      <c r="J306" s="66" t="s">
        <v>2625</v>
      </c>
      <c r="K306" s="470" t="s">
        <v>3031</v>
      </c>
      <c r="L306" s="1753"/>
      <c r="M306" s="1753"/>
      <c r="N306" s="1753"/>
      <c r="O306" s="1753"/>
      <c r="P306" s="1758"/>
      <c r="Q306" s="1758"/>
      <c r="R306" s="1758"/>
      <c r="S306" s="1758"/>
      <c r="T306" s="1763">
        <v>63000</v>
      </c>
      <c r="U306" s="1762"/>
      <c r="V306" s="1762"/>
      <c r="W306" s="1762"/>
      <c r="X306" s="1750">
        <f t="shared" si="12"/>
        <v>63000</v>
      </c>
      <c r="Y306" s="175">
        <f t="shared" si="13"/>
        <v>0</v>
      </c>
    </row>
    <row r="307" spans="1:25" ht="30" x14ac:dyDescent="0.25">
      <c r="A307" s="32"/>
      <c r="B307" s="32"/>
      <c r="C307" s="32"/>
      <c r="D307" s="32"/>
      <c r="E307" s="32"/>
      <c r="F307" s="32"/>
      <c r="G307" s="1340" t="s">
        <v>2705</v>
      </c>
      <c r="H307" s="66" t="str">
        <f>'BID II'!B168</f>
        <v>Belanja Barang Perlengkapan Konsumsi</v>
      </c>
      <c r="I307" s="174">
        <f>'BID II'!F202+'BID II'!F203</f>
        <v>2835000</v>
      </c>
      <c r="J307" s="66" t="s">
        <v>2625</v>
      </c>
      <c r="K307" s="470" t="s">
        <v>3031</v>
      </c>
      <c r="L307" s="1753"/>
      <c r="M307" s="1753"/>
      <c r="N307" s="1753"/>
      <c r="O307" s="1753"/>
      <c r="P307" s="1758"/>
      <c r="Q307" s="1758"/>
      <c r="R307" s="1758"/>
      <c r="S307" s="1758"/>
      <c r="T307" s="1763">
        <v>2835000</v>
      </c>
      <c r="U307" s="1762"/>
      <c r="V307" s="1762"/>
      <c r="W307" s="1762"/>
      <c r="X307" s="1750">
        <f t="shared" si="12"/>
        <v>2835000</v>
      </c>
      <c r="Y307" s="175">
        <f t="shared" si="13"/>
        <v>0</v>
      </c>
    </row>
    <row r="308" spans="1:25" x14ac:dyDescent="0.25">
      <c r="A308" s="32"/>
      <c r="B308" s="32"/>
      <c r="C308" s="32"/>
      <c r="D308" s="32"/>
      <c r="E308" s="32"/>
      <c r="F308" s="32"/>
      <c r="G308" s="1340" t="s">
        <v>2708</v>
      </c>
      <c r="H308" s="32" t="str">
        <f>'BID II'!B204</f>
        <v>Belanja Bahan Material</v>
      </c>
      <c r="I308" s="174">
        <f>SUM('BID II'!F205+'BID II'!F206)</f>
        <v>10500000</v>
      </c>
      <c r="J308" s="66" t="s">
        <v>2625</v>
      </c>
      <c r="K308" s="470" t="s">
        <v>3031</v>
      </c>
      <c r="L308" s="1753"/>
      <c r="M308" s="1753"/>
      <c r="N308" s="1753"/>
      <c r="O308" s="1753"/>
      <c r="P308" s="1758"/>
      <c r="Q308" s="1758"/>
      <c r="R308" s="1758"/>
      <c r="S308" s="1758"/>
      <c r="T308" s="1763">
        <v>10500000</v>
      </c>
      <c r="U308" s="1762"/>
      <c r="V308" s="1762"/>
      <c r="W308" s="1762"/>
      <c r="X308" s="1750">
        <f t="shared" si="12"/>
        <v>10500000</v>
      </c>
      <c r="Y308" s="175">
        <f t="shared" si="13"/>
        <v>0</v>
      </c>
    </row>
    <row r="309" spans="1:25" ht="30" x14ac:dyDescent="0.25">
      <c r="A309" s="32"/>
      <c r="B309" s="32"/>
      <c r="C309" s="32"/>
      <c r="D309" s="32"/>
      <c r="E309" s="32"/>
      <c r="F309" s="32"/>
      <c r="G309" s="1340" t="s">
        <v>2707</v>
      </c>
      <c r="H309" s="66" t="str">
        <f>'BID II'!B207</f>
        <v>Belanja Bendera/ Umbul-umbul/ Spanduk</v>
      </c>
      <c r="I309" s="174">
        <f>'BID II'!F208</f>
        <v>180000</v>
      </c>
      <c r="J309" s="66" t="s">
        <v>2625</v>
      </c>
      <c r="K309" s="470" t="s">
        <v>3031</v>
      </c>
      <c r="L309" s="1753"/>
      <c r="M309" s="1753"/>
      <c r="N309" s="1753"/>
      <c r="O309" s="1753"/>
      <c r="P309" s="1758"/>
      <c r="Q309" s="1758"/>
      <c r="R309" s="1758"/>
      <c r="S309" s="1758"/>
      <c r="T309" s="1763">
        <v>180000</v>
      </c>
      <c r="U309" s="1762"/>
      <c r="V309" s="1762"/>
      <c r="W309" s="1762"/>
      <c r="X309" s="1750">
        <f t="shared" si="12"/>
        <v>180000</v>
      </c>
      <c r="Y309" s="175">
        <f t="shared" si="13"/>
        <v>0</v>
      </c>
    </row>
    <row r="310" spans="1:25" x14ac:dyDescent="0.25">
      <c r="A310" s="32"/>
      <c r="B310" s="32"/>
      <c r="C310" s="32"/>
      <c r="D310" s="32">
        <v>5</v>
      </c>
      <c r="E310" s="32">
        <v>2</v>
      </c>
      <c r="F310" s="32">
        <v>2</v>
      </c>
      <c r="G310" s="32"/>
      <c r="H310" s="66" t="str">
        <f>'BID II'!B209</f>
        <v>Belanja Honorarium</v>
      </c>
      <c r="I310" s="32"/>
      <c r="J310" s="66"/>
      <c r="K310" s="470" t="s">
        <v>3031</v>
      </c>
      <c r="L310" s="1753"/>
      <c r="M310" s="1753"/>
      <c r="N310" s="1753"/>
      <c r="O310" s="1753"/>
      <c r="P310" s="1758"/>
      <c r="Q310" s="1758"/>
      <c r="R310" s="1758"/>
      <c r="S310" s="1758"/>
      <c r="T310" s="1763"/>
      <c r="U310" s="1762"/>
      <c r="V310" s="1762"/>
      <c r="W310" s="1762"/>
      <c r="X310" s="1750">
        <f t="shared" si="12"/>
        <v>0</v>
      </c>
      <c r="Y310" s="175">
        <f t="shared" si="13"/>
        <v>0</v>
      </c>
    </row>
    <row r="311" spans="1:25" ht="45" x14ac:dyDescent="0.25">
      <c r="A311" s="32"/>
      <c r="B311" s="32"/>
      <c r="C311" s="32"/>
      <c r="D311" s="32"/>
      <c r="E311" s="32"/>
      <c r="F311" s="32"/>
      <c r="G311" s="1340" t="s">
        <v>2688</v>
      </c>
      <c r="H311" s="66" t="str">
        <f>'BID II'!B210</f>
        <v>Belanja Jasa Honorarium Tim Yang Melaksanakan Kegiatan</v>
      </c>
      <c r="I311" s="174">
        <f>SUM('BID II'!F211)</f>
        <v>600000</v>
      </c>
      <c r="J311" s="66" t="s">
        <v>2625</v>
      </c>
      <c r="K311" s="470" t="s">
        <v>3031</v>
      </c>
      <c r="L311" s="1753"/>
      <c r="M311" s="1753"/>
      <c r="N311" s="1753"/>
      <c r="O311" s="1753"/>
      <c r="P311" s="1758"/>
      <c r="Q311" s="1758"/>
      <c r="R311" s="1758"/>
      <c r="S311" s="1758"/>
      <c r="T311" s="1763">
        <v>600000</v>
      </c>
      <c r="U311" s="1762"/>
      <c r="V311" s="1762"/>
      <c r="W311" s="1762"/>
      <c r="X311" s="1750">
        <f t="shared" si="12"/>
        <v>600000</v>
      </c>
      <c r="Y311" s="175">
        <f t="shared" si="13"/>
        <v>0</v>
      </c>
    </row>
    <row r="312" spans="1:25" ht="45" x14ac:dyDescent="0.25">
      <c r="A312" s="1344">
        <v>2</v>
      </c>
      <c r="B312" s="1344">
        <v>1</v>
      </c>
      <c r="C312" s="1346" t="s">
        <v>2706</v>
      </c>
      <c r="D312" s="1344"/>
      <c r="E312" s="1344"/>
      <c r="F312" s="1344"/>
      <c r="G312" s="1344"/>
      <c r="H312" s="1345" t="str">
        <f>'BID II'!B226</f>
        <v>Pemeliharaan Sarana dan Prasarana TK Milik Desa (Pemagaran)</v>
      </c>
      <c r="I312" s="1347">
        <f>SUM(I313:I316)</f>
        <v>15269700</v>
      </c>
      <c r="J312" s="1345" t="s">
        <v>2387</v>
      </c>
      <c r="K312" s="1796" t="s">
        <v>3030</v>
      </c>
      <c r="L312" s="1344"/>
      <c r="M312" s="1344"/>
      <c r="N312" s="1344"/>
      <c r="O312" s="1344"/>
      <c r="P312" s="1344"/>
      <c r="Q312" s="1344"/>
      <c r="R312" s="1344"/>
      <c r="S312" s="1344"/>
      <c r="T312" s="1344"/>
      <c r="U312" s="1344"/>
      <c r="V312" s="1344"/>
      <c r="W312" s="1344"/>
      <c r="X312" s="1353">
        <f t="shared" si="12"/>
        <v>0</v>
      </c>
      <c r="Y312" s="175">
        <f t="shared" si="13"/>
        <v>-15269700</v>
      </c>
    </row>
    <row r="313" spans="1:25" ht="30" x14ac:dyDescent="0.25">
      <c r="A313" s="32"/>
      <c r="B313" s="32"/>
      <c r="C313" s="32"/>
      <c r="D313" s="32">
        <v>5</v>
      </c>
      <c r="E313" s="32">
        <v>3</v>
      </c>
      <c r="F313" s="32"/>
      <c r="G313" s="32"/>
      <c r="H313" s="66" t="str">
        <f>'BID II'!B233</f>
        <v>Belanja Modal</v>
      </c>
      <c r="I313" s="32"/>
      <c r="J313" s="66"/>
      <c r="K313" s="851" t="s">
        <v>3030</v>
      </c>
      <c r="L313" s="1753"/>
      <c r="M313" s="1753"/>
      <c r="N313" s="1753"/>
      <c r="O313" s="1753"/>
      <c r="P313" s="1758"/>
      <c r="Q313" s="1758"/>
      <c r="R313" s="1758"/>
      <c r="S313" s="1758"/>
      <c r="T313" s="1762"/>
      <c r="U313" s="1762"/>
      <c r="V313" s="1762"/>
      <c r="W313" s="1762"/>
      <c r="X313" s="1750">
        <f t="shared" si="12"/>
        <v>0</v>
      </c>
      <c r="Y313" s="175">
        <f t="shared" si="13"/>
        <v>0</v>
      </c>
    </row>
    <row r="314" spans="1:25" ht="30" x14ac:dyDescent="0.25">
      <c r="A314" s="32"/>
      <c r="B314" s="32"/>
      <c r="C314" s="32"/>
      <c r="D314" s="32"/>
      <c r="E314" s="32"/>
      <c r="F314" s="32">
        <v>4</v>
      </c>
      <c r="G314" s="32"/>
      <c r="H314" s="66" t="str">
        <f>'BID II'!B234</f>
        <v>Belanja modal Gedung, Bangunan, Tanaman</v>
      </c>
      <c r="I314" s="32"/>
      <c r="J314" s="66"/>
      <c r="K314" s="851" t="s">
        <v>3030</v>
      </c>
      <c r="L314" s="1753"/>
      <c r="M314" s="1753"/>
      <c r="N314" s="1753"/>
      <c r="O314" s="1753"/>
      <c r="P314" s="1758"/>
      <c r="Q314" s="1758"/>
      <c r="R314" s="1758"/>
      <c r="S314" s="1758"/>
      <c r="T314" s="1762"/>
      <c r="U314" s="1762"/>
      <c r="V314" s="1762"/>
      <c r="W314" s="1762"/>
      <c r="X314" s="1750">
        <f t="shared" si="12"/>
        <v>0</v>
      </c>
      <c r="Y314" s="175">
        <f t="shared" si="13"/>
        <v>0</v>
      </c>
    </row>
    <row r="315" spans="1:25" ht="45" x14ac:dyDescent="0.25">
      <c r="A315" s="32"/>
      <c r="B315" s="32"/>
      <c r="C315" s="32"/>
      <c r="D315" s="32"/>
      <c r="E315" s="32"/>
      <c r="F315" s="32"/>
      <c r="G315" s="1340" t="s">
        <v>2688</v>
      </c>
      <c r="H315" s="66" t="str">
        <f>'BID II'!B235</f>
        <v>Belanja modal honor tim yang melaksanakan kegiatan</v>
      </c>
      <c r="I315" s="174">
        <f>'BID II'!F239</f>
        <v>750000</v>
      </c>
      <c r="J315" s="66" t="s">
        <v>2387</v>
      </c>
      <c r="K315" s="851" t="s">
        <v>3030</v>
      </c>
      <c r="L315" s="1753"/>
      <c r="M315" s="1753"/>
      <c r="N315" s="1753"/>
      <c r="O315" s="1753"/>
      <c r="P315" s="1758"/>
      <c r="Q315" s="1758"/>
      <c r="R315" s="1759">
        <v>750000</v>
      </c>
      <c r="S315" s="1758"/>
      <c r="T315" s="1762"/>
      <c r="U315" s="1762"/>
      <c r="V315" s="1762"/>
      <c r="W315" s="1762"/>
      <c r="X315" s="1750">
        <f t="shared" si="12"/>
        <v>750000</v>
      </c>
      <c r="Y315" s="175">
        <f t="shared" si="13"/>
        <v>0</v>
      </c>
    </row>
    <row r="316" spans="1:25" ht="30" x14ac:dyDescent="0.25">
      <c r="A316" s="32"/>
      <c r="B316" s="32"/>
      <c r="C316" s="32"/>
      <c r="D316" s="32"/>
      <c r="E316" s="32"/>
      <c r="F316" s="32"/>
      <c r="G316" s="1340" t="s">
        <v>2703</v>
      </c>
      <c r="H316" s="32" t="str">
        <f>'BID II'!B240</f>
        <v>Belanja modal bahan baku</v>
      </c>
      <c r="I316" s="174">
        <f>'BID II'!F242</f>
        <v>14519700</v>
      </c>
      <c r="J316" s="66" t="s">
        <v>2387</v>
      </c>
      <c r="K316" s="851" t="s">
        <v>3030</v>
      </c>
      <c r="L316" s="1753"/>
      <c r="M316" s="1753"/>
      <c r="N316" s="1753"/>
      <c r="O316" s="1753"/>
      <c r="P316" s="1758"/>
      <c r="Q316" s="1758"/>
      <c r="R316" s="1759">
        <v>14519700</v>
      </c>
      <c r="S316" s="1758"/>
      <c r="T316" s="1762"/>
      <c r="U316" s="1762"/>
      <c r="V316" s="1762"/>
      <c r="W316" s="1762"/>
      <c r="X316" s="1750">
        <f t="shared" si="12"/>
        <v>14519700</v>
      </c>
      <c r="Y316" s="175">
        <f t="shared" si="13"/>
        <v>0</v>
      </c>
    </row>
    <row r="317" spans="1:25" ht="45" x14ac:dyDescent="0.25">
      <c r="A317" s="1344">
        <v>2</v>
      </c>
      <c r="B317" s="1344">
        <v>1</v>
      </c>
      <c r="C317" s="1346" t="s">
        <v>2706</v>
      </c>
      <c r="D317" s="1344"/>
      <c r="E317" s="1344"/>
      <c r="F317" s="1344"/>
      <c r="G317" s="1344"/>
      <c r="H317" s="1345" t="str">
        <f>'BID II'!B258</f>
        <v>Pemeliharaan Sarana dan Prasarana TK Milik Desa (Cat Tembok Dalam)</v>
      </c>
      <c r="I317" s="1347">
        <f>SUM(I318:I322)</f>
        <v>5532000</v>
      </c>
      <c r="J317" s="1345" t="s">
        <v>2387</v>
      </c>
      <c r="K317" s="1796" t="s">
        <v>3030</v>
      </c>
      <c r="L317" s="1344"/>
      <c r="M317" s="1344"/>
      <c r="N317" s="1344"/>
      <c r="O317" s="1344"/>
      <c r="P317" s="1344"/>
      <c r="Q317" s="1344"/>
      <c r="R317" s="1344"/>
      <c r="S317" s="1344"/>
      <c r="T317" s="1344"/>
      <c r="U317" s="1344"/>
      <c r="V317" s="1344"/>
      <c r="W317" s="1344"/>
      <c r="X317" s="1353">
        <f t="shared" si="12"/>
        <v>0</v>
      </c>
      <c r="Y317" s="175">
        <f t="shared" si="13"/>
        <v>-5532000</v>
      </c>
    </row>
    <row r="318" spans="1:25" ht="30" x14ac:dyDescent="0.25">
      <c r="A318" s="32"/>
      <c r="B318" s="32"/>
      <c r="C318" s="32"/>
      <c r="D318" s="32">
        <v>5</v>
      </c>
      <c r="E318" s="32">
        <v>3</v>
      </c>
      <c r="F318" s="32"/>
      <c r="G318" s="32"/>
      <c r="H318" s="32" t="str">
        <f>'BID II'!B265</f>
        <v>Belanja Modal</v>
      </c>
      <c r="I318" s="32"/>
      <c r="J318" s="66"/>
      <c r="K318" s="851" t="s">
        <v>3030</v>
      </c>
      <c r="L318" s="1753"/>
      <c r="M318" s="1753"/>
      <c r="N318" s="1753"/>
      <c r="O318" s="1753"/>
      <c r="P318" s="1758"/>
      <c r="Q318" s="1758"/>
      <c r="R318" s="1758"/>
      <c r="S318" s="1758"/>
      <c r="T318" s="1762"/>
      <c r="U318" s="1762"/>
      <c r="V318" s="1762"/>
      <c r="W318" s="1762"/>
      <c r="X318" s="1750">
        <f t="shared" si="12"/>
        <v>0</v>
      </c>
      <c r="Y318" s="175">
        <f t="shared" si="13"/>
        <v>0</v>
      </c>
    </row>
    <row r="319" spans="1:25" ht="30" x14ac:dyDescent="0.25">
      <c r="A319" s="32"/>
      <c r="B319" s="32"/>
      <c r="C319" s="32"/>
      <c r="D319" s="32"/>
      <c r="E319" s="32"/>
      <c r="F319" s="32">
        <v>4</v>
      </c>
      <c r="G319" s="32"/>
      <c r="H319" s="66" t="str">
        <f>'BID II'!B266</f>
        <v>Belanja modal Gedung, Bangunan, Tanaman</v>
      </c>
      <c r="I319" s="32"/>
      <c r="J319" s="66"/>
      <c r="K319" s="851" t="s">
        <v>3030</v>
      </c>
      <c r="L319" s="1753"/>
      <c r="M319" s="1753"/>
      <c r="N319" s="1753"/>
      <c r="O319" s="1753"/>
      <c r="P319" s="1758"/>
      <c r="Q319" s="1758"/>
      <c r="R319" s="1758"/>
      <c r="S319" s="1758"/>
      <c r="T319" s="1762"/>
      <c r="U319" s="1762"/>
      <c r="V319" s="1762"/>
      <c r="W319" s="1762"/>
      <c r="X319" s="1750">
        <f t="shared" si="12"/>
        <v>0</v>
      </c>
      <c r="Y319" s="175">
        <f t="shared" si="13"/>
        <v>0</v>
      </c>
    </row>
    <row r="320" spans="1:25" ht="45" x14ac:dyDescent="0.25">
      <c r="A320" s="32"/>
      <c r="B320" s="32"/>
      <c r="C320" s="32"/>
      <c r="D320" s="32"/>
      <c r="E320" s="32"/>
      <c r="F320" s="32"/>
      <c r="G320" s="1340" t="s">
        <v>2688</v>
      </c>
      <c r="H320" s="66" t="str">
        <f>'BID II'!B267</f>
        <v>Belanja modal honor tim yang melaksanakan kegiatan</v>
      </c>
      <c r="I320" s="174">
        <f>SUM('BID II'!F269)</f>
        <v>108000</v>
      </c>
      <c r="J320" s="66" t="s">
        <v>2387</v>
      </c>
      <c r="K320" s="851" t="s">
        <v>3030</v>
      </c>
      <c r="L320" s="1753"/>
      <c r="M320" s="1753"/>
      <c r="N320" s="1753"/>
      <c r="O320" s="1753"/>
      <c r="P320" s="1758"/>
      <c r="Q320" s="1758"/>
      <c r="R320" s="174">
        <v>108000</v>
      </c>
      <c r="S320" s="1758"/>
      <c r="T320" s="1762"/>
      <c r="U320" s="1762"/>
      <c r="V320" s="1762"/>
      <c r="W320" s="1762"/>
      <c r="X320" s="1750">
        <f t="shared" si="12"/>
        <v>108000</v>
      </c>
      <c r="Y320" s="175">
        <f t="shared" si="13"/>
        <v>0</v>
      </c>
    </row>
    <row r="321" spans="1:25" ht="30" x14ac:dyDescent="0.25">
      <c r="A321" s="32"/>
      <c r="B321" s="32"/>
      <c r="C321" s="32"/>
      <c r="D321" s="32"/>
      <c r="E321" s="32"/>
      <c r="F321" s="32"/>
      <c r="G321" s="1340" t="s">
        <v>2702</v>
      </c>
      <c r="H321" s="66" t="str">
        <f>'BID II'!B270</f>
        <v>Belanja modal upah tenaga kerja</v>
      </c>
      <c r="I321" s="174">
        <f>'BID II'!F274</f>
        <v>1222000</v>
      </c>
      <c r="J321" s="66" t="s">
        <v>2387</v>
      </c>
      <c r="K321" s="851" t="s">
        <v>3030</v>
      </c>
      <c r="L321" s="1753"/>
      <c r="M321" s="1753"/>
      <c r="N321" s="1753"/>
      <c r="O321" s="1753"/>
      <c r="P321" s="1758"/>
      <c r="Q321" s="1758"/>
      <c r="R321" s="174">
        <v>1222000</v>
      </c>
      <c r="S321" s="1758"/>
      <c r="T321" s="1762"/>
      <c r="U321" s="1762"/>
      <c r="V321" s="1762"/>
      <c r="W321" s="1762"/>
      <c r="X321" s="1750">
        <f t="shared" si="12"/>
        <v>1222000</v>
      </c>
      <c r="Y321" s="175">
        <f t="shared" si="13"/>
        <v>0</v>
      </c>
    </row>
    <row r="322" spans="1:25" ht="30" x14ac:dyDescent="0.25">
      <c r="A322" s="32"/>
      <c r="B322" s="32"/>
      <c r="C322" s="32"/>
      <c r="D322" s="32"/>
      <c r="E322" s="32"/>
      <c r="F322" s="32"/>
      <c r="G322" s="1340" t="s">
        <v>2703</v>
      </c>
      <c r="H322" s="66" t="str">
        <f>'BID II'!B275</f>
        <v>Belanja modal bahan baku</v>
      </c>
      <c r="I322" s="174">
        <f>'BID II'!F280</f>
        <v>4202000</v>
      </c>
      <c r="J322" s="66" t="s">
        <v>2387</v>
      </c>
      <c r="K322" s="851" t="s">
        <v>3030</v>
      </c>
      <c r="L322" s="1753"/>
      <c r="M322" s="1753"/>
      <c r="N322" s="1753"/>
      <c r="O322" s="1753"/>
      <c r="P322" s="1758"/>
      <c r="Q322" s="1758"/>
      <c r="R322" s="174">
        <v>4202000</v>
      </c>
      <c r="S322" s="1758"/>
      <c r="T322" s="1762"/>
      <c r="U322" s="1762"/>
      <c r="V322" s="1762"/>
      <c r="W322" s="1762"/>
      <c r="X322" s="1750">
        <f t="shared" si="12"/>
        <v>4202000</v>
      </c>
      <c r="Y322" s="175">
        <f t="shared" si="13"/>
        <v>0</v>
      </c>
    </row>
    <row r="323" spans="1:25" ht="45" x14ac:dyDescent="0.25">
      <c r="A323" s="1344">
        <v>2</v>
      </c>
      <c r="B323" s="1344">
        <v>1</v>
      </c>
      <c r="C323" s="1346" t="s">
        <v>2706</v>
      </c>
      <c r="D323" s="1344"/>
      <c r="E323" s="1344"/>
      <c r="F323" s="1344"/>
      <c r="G323" s="1344"/>
      <c r="H323" s="1345" t="str">
        <f>'BID II'!B295</f>
        <v>Pemeliharaan Sarana dan Prasarana TK Milik Desa (Lapis Water Proofig)</v>
      </c>
      <c r="I323" s="1347">
        <f>SUM(I324:I328)</f>
        <v>21546000</v>
      </c>
      <c r="J323" s="1345" t="s">
        <v>2387</v>
      </c>
      <c r="K323" s="1796" t="s">
        <v>3030</v>
      </c>
      <c r="L323" s="1344"/>
      <c r="M323" s="1344"/>
      <c r="N323" s="1344"/>
      <c r="O323" s="1344"/>
      <c r="P323" s="1344"/>
      <c r="Q323" s="1344"/>
      <c r="R323" s="1344"/>
      <c r="S323" s="1344"/>
      <c r="T323" s="1344"/>
      <c r="U323" s="1344"/>
      <c r="V323" s="1344"/>
      <c r="W323" s="1344"/>
      <c r="X323" s="1353">
        <f t="shared" si="12"/>
        <v>0</v>
      </c>
      <c r="Y323" s="175">
        <f t="shared" si="13"/>
        <v>-21546000</v>
      </c>
    </row>
    <row r="324" spans="1:25" ht="30" x14ac:dyDescent="0.25">
      <c r="A324" s="32"/>
      <c r="B324" s="32"/>
      <c r="C324" s="32"/>
      <c r="D324" s="32">
        <v>5</v>
      </c>
      <c r="E324" s="32">
        <v>3</v>
      </c>
      <c r="F324" s="32"/>
      <c r="G324" s="32"/>
      <c r="H324" s="66" t="str">
        <f>'BID II'!B302</f>
        <v>Belanja Modal</v>
      </c>
      <c r="I324" s="32"/>
      <c r="J324" s="66"/>
      <c r="K324" s="851" t="s">
        <v>3030</v>
      </c>
      <c r="L324" s="1753"/>
      <c r="M324" s="1753"/>
      <c r="N324" s="1753"/>
      <c r="O324" s="1753"/>
      <c r="P324" s="1758"/>
      <c r="Q324" s="1758"/>
      <c r="R324" s="1758"/>
      <c r="S324" s="1758"/>
      <c r="T324" s="1762"/>
      <c r="U324" s="1762"/>
      <c r="V324" s="1762"/>
      <c r="W324" s="1762"/>
      <c r="X324" s="1750">
        <f t="shared" si="12"/>
        <v>0</v>
      </c>
      <c r="Y324" s="175">
        <f t="shared" si="13"/>
        <v>0</v>
      </c>
    </row>
    <row r="325" spans="1:25" ht="30" x14ac:dyDescent="0.25">
      <c r="A325" s="32"/>
      <c r="B325" s="32"/>
      <c r="C325" s="32"/>
      <c r="D325" s="32"/>
      <c r="E325" s="32"/>
      <c r="F325" s="32">
        <v>4</v>
      </c>
      <c r="G325" s="32"/>
      <c r="H325" s="66" t="str">
        <f>'BID II'!B303</f>
        <v>Belanja modal Gedung, Bangunan, Tanaman</v>
      </c>
      <c r="I325" s="32"/>
      <c r="J325" s="66"/>
      <c r="K325" s="851" t="s">
        <v>3030</v>
      </c>
      <c r="L325" s="1753"/>
      <c r="M325" s="1753"/>
      <c r="N325" s="1753"/>
      <c r="O325" s="1753"/>
      <c r="P325" s="1758"/>
      <c r="Q325" s="1758"/>
      <c r="R325" s="1758"/>
      <c r="S325" s="1758"/>
      <c r="T325" s="1762"/>
      <c r="U325" s="1762"/>
      <c r="V325" s="1762"/>
      <c r="W325" s="1762"/>
      <c r="X325" s="1750">
        <f t="shared" si="12"/>
        <v>0</v>
      </c>
      <c r="Y325" s="175">
        <f t="shared" si="13"/>
        <v>0</v>
      </c>
    </row>
    <row r="326" spans="1:25" ht="45" x14ac:dyDescent="0.25">
      <c r="A326" s="32"/>
      <c r="B326" s="32"/>
      <c r="C326" s="32"/>
      <c r="D326" s="32"/>
      <c r="E326" s="32"/>
      <c r="F326" s="32"/>
      <c r="G326" s="1340" t="s">
        <v>2688</v>
      </c>
      <c r="H326" s="66" t="str">
        <f>'BID II'!B304</f>
        <v>Belanja modal honor tim yang melaksanakan kegiatan</v>
      </c>
      <c r="I326" s="174">
        <f>'BID II'!F306</f>
        <v>422000</v>
      </c>
      <c r="J326" s="66" t="s">
        <v>2387</v>
      </c>
      <c r="K326" s="851" t="s">
        <v>3030</v>
      </c>
      <c r="L326" s="1753"/>
      <c r="M326" s="1753"/>
      <c r="N326" s="1753"/>
      <c r="O326" s="1753"/>
      <c r="P326" s="1758"/>
      <c r="Q326" s="1758"/>
      <c r="R326" s="1759">
        <v>422000</v>
      </c>
      <c r="S326" s="1758"/>
      <c r="T326" s="1762"/>
      <c r="U326" s="1762"/>
      <c r="V326" s="1762"/>
      <c r="W326" s="1762"/>
      <c r="X326" s="1750">
        <f t="shared" si="12"/>
        <v>422000</v>
      </c>
      <c r="Y326" s="175">
        <f t="shared" si="13"/>
        <v>0</v>
      </c>
    </row>
    <row r="327" spans="1:25" ht="30" x14ac:dyDescent="0.25">
      <c r="A327" s="32"/>
      <c r="B327" s="32"/>
      <c r="C327" s="32"/>
      <c r="D327" s="32"/>
      <c r="E327" s="32"/>
      <c r="F327" s="32"/>
      <c r="G327" s="1340" t="s">
        <v>2702</v>
      </c>
      <c r="H327" s="66" t="str">
        <f>'BID II'!B307</f>
        <v>Belanja modal upah tenaga kerja</v>
      </c>
      <c r="I327" s="174">
        <f>'BID II'!F311</f>
        <v>1898000</v>
      </c>
      <c r="J327" s="66" t="s">
        <v>2387</v>
      </c>
      <c r="K327" s="851" t="s">
        <v>3030</v>
      </c>
      <c r="L327" s="1753"/>
      <c r="M327" s="1753"/>
      <c r="N327" s="1753"/>
      <c r="O327" s="1753"/>
      <c r="P327" s="1758"/>
      <c r="Q327" s="1758"/>
      <c r="R327" s="1759">
        <v>1898000</v>
      </c>
      <c r="S327" s="1758"/>
      <c r="T327" s="1762"/>
      <c r="U327" s="1762"/>
      <c r="V327" s="1762"/>
      <c r="W327" s="1762"/>
      <c r="X327" s="1750">
        <f t="shared" si="12"/>
        <v>1898000</v>
      </c>
      <c r="Y327" s="175">
        <f t="shared" si="13"/>
        <v>0</v>
      </c>
    </row>
    <row r="328" spans="1:25" ht="30" x14ac:dyDescent="0.25">
      <c r="A328" s="32"/>
      <c r="B328" s="32"/>
      <c r="C328" s="32"/>
      <c r="D328" s="32"/>
      <c r="E328" s="32"/>
      <c r="F328" s="32"/>
      <c r="G328" s="1340" t="s">
        <v>2703</v>
      </c>
      <c r="H328" s="66" t="str">
        <f>'BID II'!B312</f>
        <v>Belanja modal bahan baku</v>
      </c>
      <c r="I328" s="174">
        <f>'BID II'!F316</f>
        <v>19226000</v>
      </c>
      <c r="J328" s="66" t="s">
        <v>2387</v>
      </c>
      <c r="K328" s="851" t="s">
        <v>3030</v>
      </c>
      <c r="L328" s="1753"/>
      <c r="M328" s="1753"/>
      <c r="N328" s="1753"/>
      <c r="O328" s="1753"/>
      <c r="P328" s="1758"/>
      <c r="Q328" s="1758"/>
      <c r="R328" s="1759">
        <v>19226000</v>
      </c>
      <c r="S328" s="1758"/>
      <c r="T328" s="1762"/>
      <c r="U328" s="1762"/>
      <c r="V328" s="1762"/>
      <c r="W328" s="1762"/>
      <c r="X328" s="1750">
        <f t="shared" si="12"/>
        <v>19226000</v>
      </c>
      <c r="Y328" s="175">
        <f t="shared" si="13"/>
        <v>0</v>
      </c>
    </row>
    <row r="329" spans="1:25" ht="45" x14ac:dyDescent="0.25">
      <c r="A329" s="1344">
        <v>2</v>
      </c>
      <c r="B329" s="1344">
        <v>1</v>
      </c>
      <c r="C329" s="1346" t="s">
        <v>2706</v>
      </c>
      <c r="D329" s="1344"/>
      <c r="E329" s="1344"/>
      <c r="F329" s="1344"/>
      <c r="G329" s="1344"/>
      <c r="H329" s="1345" t="str">
        <f>'BID II'!B331</f>
        <v>Pemeliharaan Sarana dan Prasarana TK Milik Desa (Cat Plafon)</v>
      </c>
      <c r="I329" s="1347">
        <f>SUM(I330:I334)</f>
        <v>11123000</v>
      </c>
      <c r="J329" s="1345" t="s">
        <v>2625</v>
      </c>
      <c r="K329" s="1796" t="s">
        <v>3030</v>
      </c>
      <c r="L329" s="1344"/>
      <c r="M329" s="1344"/>
      <c r="N329" s="1344"/>
      <c r="O329" s="1344"/>
      <c r="P329" s="1344"/>
      <c r="Q329" s="1344"/>
      <c r="R329" s="1344"/>
      <c r="S329" s="1344"/>
      <c r="T329" s="1344"/>
      <c r="U329" s="1344"/>
      <c r="V329" s="1344"/>
      <c r="W329" s="1344"/>
      <c r="X329" s="1353">
        <f t="shared" si="12"/>
        <v>0</v>
      </c>
      <c r="Y329" s="175">
        <f t="shared" si="13"/>
        <v>-11123000</v>
      </c>
    </row>
    <row r="330" spans="1:25" ht="30" x14ac:dyDescent="0.25">
      <c r="A330" s="32"/>
      <c r="B330" s="32"/>
      <c r="C330" s="32"/>
      <c r="D330" s="32">
        <v>5</v>
      </c>
      <c r="E330" s="32">
        <v>3</v>
      </c>
      <c r="F330" s="32"/>
      <c r="G330" s="32"/>
      <c r="H330" s="66" t="str">
        <f>'BID II'!B338</f>
        <v>Belanja Modal</v>
      </c>
      <c r="I330" s="32"/>
      <c r="J330" s="66"/>
      <c r="K330" s="851" t="s">
        <v>3030</v>
      </c>
      <c r="L330" s="1753"/>
      <c r="M330" s="1753"/>
      <c r="N330" s="1753"/>
      <c r="O330" s="1753"/>
      <c r="P330" s="1758"/>
      <c r="Q330" s="1758"/>
      <c r="R330" s="1758"/>
      <c r="S330" s="1758"/>
      <c r="T330" s="1762"/>
      <c r="U330" s="1762"/>
      <c r="V330" s="1762"/>
      <c r="W330" s="1762"/>
      <c r="X330" s="1750">
        <f t="shared" si="12"/>
        <v>0</v>
      </c>
      <c r="Y330" s="175">
        <f t="shared" si="13"/>
        <v>0</v>
      </c>
    </row>
    <row r="331" spans="1:25" ht="30" x14ac:dyDescent="0.25">
      <c r="A331" s="32"/>
      <c r="B331" s="32"/>
      <c r="C331" s="32"/>
      <c r="D331" s="32"/>
      <c r="E331" s="32"/>
      <c r="F331" s="32">
        <v>4</v>
      </c>
      <c r="G331" s="32"/>
      <c r="H331" s="66" t="str">
        <f>'BID II'!B339</f>
        <v>Belanja modal Gedung, Bangunan, Tanaman</v>
      </c>
      <c r="I331" s="32"/>
      <c r="J331" s="66"/>
      <c r="K331" s="851" t="s">
        <v>3030</v>
      </c>
      <c r="L331" s="1753"/>
      <c r="M331" s="1753"/>
      <c r="N331" s="1753"/>
      <c r="O331" s="1753"/>
      <c r="P331" s="1758"/>
      <c r="Q331" s="1758"/>
      <c r="R331" s="1758"/>
      <c r="S331" s="1758"/>
      <c r="T331" s="1762"/>
      <c r="U331" s="1762"/>
      <c r="V331" s="1762"/>
      <c r="W331" s="1762"/>
      <c r="X331" s="1750">
        <f t="shared" si="12"/>
        <v>0</v>
      </c>
      <c r="Y331" s="175">
        <f t="shared" si="13"/>
        <v>0</v>
      </c>
    </row>
    <row r="332" spans="1:25" ht="45" x14ac:dyDescent="0.25">
      <c r="A332" s="32"/>
      <c r="B332" s="32"/>
      <c r="C332" s="32"/>
      <c r="D332" s="32"/>
      <c r="E332" s="32"/>
      <c r="F332" s="32"/>
      <c r="G332" s="1340" t="s">
        <v>2688</v>
      </c>
      <c r="H332" s="66" t="str">
        <f>'BID II'!B340</f>
        <v>Belanja modal honor tim yang melaksanakan kegiatan</v>
      </c>
      <c r="I332" s="174">
        <f>'BID II'!F342</f>
        <v>218000</v>
      </c>
      <c r="J332" s="66" t="s">
        <v>2625</v>
      </c>
      <c r="K332" s="851" t="s">
        <v>3030</v>
      </c>
      <c r="L332" s="1753"/>
      <c r="M332" s="1753"/>
      <c r="N332" s="1753"/>
      <c r="O332" s="1753"/>
      <c r="P332" s="1758"/>
      <c r="Q332" s="1758"/>
      <c r="R332" s="1759">
        <v>218000</v>
      </c>
      <c r="S332" s="1758"/>
      <c r="T332" s="1762"/>
      <c r="U332" s="1762"/>
      <c r="V332" s="1762"/>
      <c r="W332" s="1762"/>
      <c r="X332" s="1750">
        <f t="shared" si="12"/>
        <v>218000</v>
      </c>
      <c r="Y332" s="175">
        <f t="shared" si="13"/>
        <v>0</v>
      </c>
    </row>
    <row r="333" spans="1:25" ht="30" x14ac:dyDescent="0.25">
      <c r="A333" s="32"/>
      <c r="B333" s="32"/>
      <c r="C333" s="32"/>
      <c r="D333" s="32"/>
      <c r="E333" s="32"/>
      <c r="F333" s="32"/>
      <c r="G333" s="1340" t="s">
        <v>2702</v>
      </c>
      <c r="H333" s="1352" t="str">
        <f>'BID II'!B343</f>
        <v>Belanja modal upah tenaga kerja</v>
      </c>
      <c r="I333" s="174">
        <f>'BID II'!F347</f>
        <v>2028000</v>
      </c>
      <c r="J333" s="66" t="s">
        <v>2625</v>
      </c>
      <c r="K333" s="851" t="s">
        <v>3030</v>
      </c>
      <c r="L333" s="1753"/>
      <c r="M333" s="1753"/>
      <c r="N333" s="1753"/>
      <c r="O333" s="1753"/>
      <c r="P333" s="1758"/>
      <c r="Q333" s="1758"/>
      <c r="R333" s="1759">
        <v>2028000</v>
      </c>
      <c r="S333" s="1758"/>
      <c r="T333" s="1762"/>
      <c r="U333" s="1762"/>
      <c r="V333" s="1762"/>
      <c r="W333" s="1762"/>
      <c r="X333" s="1750">
        <f t="shared" si="12"/>
        <v>2028000</v>
      </c>
      <c r="Y333" s="175">
        <f t="shared" si="13"/>
        <v>0</v>
      </c>
    </row>
    <row r="334" spans="1:25" ht="30" x14ac:dyDescent="0.25">
      <c r="A334" s="32"/>
      <c r="B334" s="32"/>
      <c r="C334" s="32"/>
      <c r="D334" s="32"/>
      <c r="E334" s="32"/>
      <c r="F334" s="32"/>
      <c r="G334" s="1340" t="s">
        <v>2703</v>
      </c>
      <c r="H334" s="66" t="str">
        <f>'BID II'!B348</f>
        <v>Belanja modal bahan baku</v>
      </c>
      <c r="I334" s="174">
        <f>'BID II'!F354</f>
        <v>8877000</v>
      </c>
      <c r="J334" s="66" t="s">
        <v>2625</v>
      </c>
      <c r="K334" s="851" t="s">
        <v>3030</v>
      </c>
      <c r="L334" s="1753"/>
      <c r="M334" s="1753"/>
      <c r="N334" s="1753"/>
      <c r="O334" s="1753"/>
      <c r="P334" s="1758"/>
      <c r="Q334" s="1758"/>
      <c r="R334" s="1759">
        <v>8877000</v>
      </c>
      <c r="S334" s="1758"/>
      <c r="T334" s="1762"/>
      <c r="U334" s="1762"/>
      <c r="V334" s="1762"/>
      <c r="W334" s="1762"/>
      <c r="X334" s="1750">
        <f t="shared" si="12"/>
        <v>8877000</v>
      </c>
      <c r="Y334" s="175">
        <f t="shared" si="13"/>
        <v>0</v>
      </c>
    </row>
    <row r="335" spans="1:25" ht="45" x14ac:dyDescent="0.25">
      <c r="A335" s="1344">
        <v>2</v>
      </c>
      <c r="B335" s="1344">
        <v>1</v>
      </c>
      <c r="C335" s="1346" t="s">
        <v>2706</v>
      </c>
      <c r="D335" s="1344"/>
      <c r="E335" s="1344"/>
      <c r="F335" s="1344"/>
      <c r="G335" s="1344"/>
      <c r="H335" s="1345" t="str">
        <f>'BID II'!B370</f>
        <v>Pemeliharaan Sarana dan Prasarana TK Milik Desa (Mural)</v>
      </c>
      <c r="I335" s="1347">
        <f>SUM(I336:I339)</f>
        <v>80557200</v>
      </c>
      <c r="J335" s="1345" t="s">
        <v>2620</v>
      </c>
      <c r="K335" s="1796" t="s">
        <v>3030</v>
      </c>
      <c r="L335" s="1344"/>
      <c r="M335" s="1344"/>
      <c r="N335" s="1344"/>
      <c r="O335" s="1344"/>
      <c r="P335" s="1344"/>
      <c r="Q335" s="1344"/>
      <c r="R335" s="1344"/>
      <c r="S335" s="1344"/>
      <c r="T335" s="1344"/>
      <c r="U335" s="1344"/>
      <c r="V335" s="1344"/>
      <c r="W335" s="1344"/>
      <c r="X335" s="1353">
        <f t="shared" si="12"/>
        <v>0</v>
      </c>
      <c r="Y335" s="175">
        <f t="shared" si="13"/>
        <v>-80557200</v>
      </c>
    </row>
    <row r="336" spans="1:25" ht="30" x14ac:dyDescent="0.25">
      <c r="A336" s="32"/>
      <c r="B336" s="32"/>
      <c r="C336" s="32"/>
      <c r="D336" s="32">
        <v>5</v>
      </c>
      <c r="E336" s="32">
        <v>3</v>
      </c>
      <c r="F336" s="32"/>
      <c r="G336" s="32"/>
      <c r="H336" s="66" t="str">
        <f>'BID II'!B377</f>
        <v>Belanja Modal</v>
      </c>
      <c r="I336" s="32"/>
      <c r="J336" s="66"/>
      <c r="K336" s="851" t="s">
        <v>3030</v>
      </c>
      <c r="L336" s="1753"/>
      <c r="M336" s="1753"/>
      <c r="N336" s="1753"/>
      <c r="O336" s="1753"/>
      <c r="P336" s="1758"/>
      <c r="Q336" s="1758"/>
      <c r="R336" s="1758"/>
      <c r="S336" s="1758"/>
      <c r="T336" s="1762"/>
      <c r="U336" s="1762"/>
      <c r="V336" s="1762"/>
      <c r="W336" s="1762"/>
      <c r="X336" s="1750">
        <f t="shared" si="12"/>
        <v>0</v>
      </c>
      <c r="Y336" s="175">
        <f t="shared" si="13"/>
        <v>0</v>
      </c>
    </row>
    <row r="337" spans="1:25" ht="30" x14ac:dyDescent="0.25">
      <c r="A337" s="32"/>
      <c r="B337" s="32"/>
      <c r="C337" s="32"/>
      <c r="D337" s="32"/>
      <c r="E337" s="32"/>
      <c r="F337" s="32">
        <v>4</v>
      </c>
      <c r="G337" s="32"/>
      <c r="H337" s="66" t="str">
        <f>'BID II'!B378</f>
        <v>Belanja modal Gedung, Bangunan, Tanaman</v>
      </c>
      <c r="I337" s="32"/>
      <c r="J337" s="66"/>
      <c r="K337" s="851" t="s">
        <v>3030</v>
      </c>
      <c r="L337" s="1753"/>
      <c r="M337" s="1753"/>
      <c r="N337" s="1753"/>
      <c r="O337" s="1753"/>
      <c r="P337" s="1758"/>
      <c r="Q337" s="1758"/>
      <c r="R337" s="1758"/>
      <c r="S337" s="1758"/>
      <c r="T337" s="1762"/>
      <c r="U337" s="1762"/>
      <c r="V337" s="1762"/>
      <c r="W337" s="1762"/>
      <c r="X337" s="1750">
        <f t="shared" si="12"/>
        <v>0</v>
      </c>
      <c r="Y337" s="175">
        <f t="shared" si="13"/>
        <v>0</v>
      </c>
    </row>
    <row r="338" spans="1:25" ht="45" x14ac:dyDescent="0.25">
      <c r="A338" s="32"/>
      <c r="B338" s="32"/>
      <c r="C338" s="32"/>
      <c r="D338" s="32"/>
      <c r="E338" s="32"/>
      <c r="F338" s="32"/>
      <c r="G338" s="1340" t="s">
        <v>2688</v>
      </c>
      <c r="H338" s="66" t="str">
        <f>'BID II'!B379</f>
        <v>Belanja modal honor tim yang melaksanakan kegiatan</v>
      </c>
      <c r="I338" s="174">
        <f>'BID II'!F381</f>
        <v>1500000</v>
      </c>
      <c r="J338" s="66" t="s">
        <v>2620</v>
      </c>
      <c r="K338" s="851" t="s">
        <v>3030</v>
      </c>
      <c r="L338" s="1753"/>
      <c r="M338" s="1753"/>
      <c r="N338" s="1753"/>
      <c r="O338" s="1753"/>
      <c r="P338" s="1758"/>
      <c r="Q338" s="1758"/>
      <c r="R338" s="1759">
        <v>1500000</v>
      </c>
      <c r="S338" s="1758"/>
      <c r="T338" s="1762"/>
      <c r="U338" s="1762"/>
      <c r="V338" s="1762"/>
      <c r="W338" s="1762"/>
      <c r="X338" s="1750">
        <f t="shared" si="12"/>
        <v>1500000</v>
      </c>
      <c r="Y338" s="175">
        <f t="shared" si="13"/>
        <v>0</v>
      </c>
    </row>
    <row r="339" spans="1:25" ht="30" x14ac:dyDescent="0.25">
      <c r="A339" s="32"/>
      <c r="B339" s="32"/>
      <c r="C339" s="32"/>
      <c r="D339" s="32"/>
      <c r="E339" s="32"/>
      <c r="F339" s="32"/>
      <c r="G339" s="1340" t="s">
        <v>2703</v>
      </c>
      <c r="H339" s="66" t="str">
        <f>'BID II'!B382</f>
        <v>Belanja modal bahan baku</v>
      </c>
      <c r="I339" s="174">
        <f>'BID II'!F385</f>
        <v>79057200</v>
      </c>
      <c r="J339" s="66" t="s">
        <v>2620</v>
      </c>
      <c r="K339" s="851" t="s">
        <v>3030</v>
      </c>
      <c r="L339" s="1753"/>
      <c r="M339" s="1753"/>
      <c r="N339" s="1753"/>
      <c r="O339" s="1753"/>
      <c r="P339" s="1758"/>
      <c r="Q339" s="1758"/>
      <c r="R339" s="1759">
        <v>79057200</v>
      </c>
      <c r="S339" s="1758"/>
      <c r="T339" s="1762"/>
      <c r="U339" s="1762"/>
      <c r="V339" s="1762"/>
      <c r="W339" s="1762"/>
      <c r="X339" s="1750">
        <f t="shared" si="12"/>
        <v>79057200</v>
      </c>
      <c r="Y339" s="175">
        <f t="shared" si="13"/>
        <v>0</v>
      </c>
    </row>
    <row r="340" spans="1:25" ht="105" x14ac:dyDescent="0.25">
      <c r="A340" s="1344">
        <v>2</v>
      </c>
      <c r="B340" s="1344">
        <v>1</v>
      </c>
      <c r="C340" s="1346" t="s">
        <v>2708</v>
      </c>
      <c r="D340" s="1344"/>
      <c r="E340" s="1344"/>
      <c r="F340" s="1344"/>
      <c r="G340" s="1346"/>
      <c r="H340" s="1345" t="str">
        <f>'BID II'!B400</f>
        <v>:Peningkatan Sarana Prasarana Perpustakaan/Taman Bacaan Desa/ Sanggar Belajar Milik Desa (Perpustakaan Desa, Digital dan keliling)</v>
      </c>
      <c r="I340" s="1349">
        <f>SUM(I341:I353)</f>
        <v>196621400</v>
      </c>
      <c r="J340" s="1345" t="s">
        <v>2620</v>
      </c>
      <c r="K340" s="1796" t="s">
        <v>3030</v>
      </c>
      <c r="L340" s="1344"/>
      <c r="M340" s="1344"/>
      <c r="N340" s="1344"/>
      <c r="O340" s="1344"/>
      <c r="P340" s="1344"/>
      <c r="Q340" s="1344"/>
      <c r="R340" s="1344"/>
      <c r="S340" s="1344"/>
      <c r="T340" s="1344"/>
      <c r="U340" s="1344"/>
      <c r="V340" s="1344"/>
      <c r="W340" s="1344"/>
      <c r="X340" s="1353">
        <f t="shared" si="12"/>
        <v>0</v>
      </c>
      <c r="Y340" s="175">
        <f t="shared" si="13"/>
        <v>-196621400</v>
      </c>
    </row>
    <row r="341" spans="1:25" ht="30" x14ac:dyDescent="0.25">
      <c r="A341" s="32"/>
      <c r="B341" s="32"/>
      <c r="C341" s="32"/>
      <c r="D341" s="32">
        <v>5</v>
      </c>
      <c r="E341" s="32">
        <v>2</v>
      </c>
      <c r="F341" s="32"/>
      <c r="G341" s="1340"/>
      <c r="H341" s="66" t="str">
        <f>'BID II'!B407</f>
        <v>Belanja Barang Jasa</v>
      </c>
      <c r="I341" s="174"/>
      <c r="J341" s="66"/>
      <c r="K341" s="851" t="s">
        <v>3030</v>
      </c>
      <c r="L341" s="1753"/>
      <c r="M341" s="1753"/>
      <c r="N341" s="1753"/>
      <c r="O341" s="1753"/>
      <c r="P341" s="1758"/>
      <c r="Q341" s="1758"/>
      <c r="R341" s="1758"/>
      <c r="S341" s="1758"/>
      <c r="T341" s="1762"/>
      <c r="U341" s="1762"/>
      <c r="V341" s="1762"/>
      <c r="W341" s="1762"/>
      <c r="X341" s="1750">
        <f t="shared" si="12"/>
        <v>0</v>
      </c>
      <c r="Y341" s="175">
        <f t="shared" si="13"/>
        <v>0</v>
      </c>
    </row>
    <row r="342" spans="1:25" ht="30" x14ac:dyDescent="0.25">
      <c r="A342" s="32"/>
      <c r="B342" s="32"/>
      <c r="C342" s="32"/>
      <c r="D342" s="32"/>
      <c r="E342" s="32"/>
      <c r="F342" s="32">
        <v>1</v>
      </c>
      <c r="G342" s="1340"/>
      <c r="H342" s="66" t="str">
        <f>'BID II'!B408</f>
        <v>Belanja Barang Perlengkapan</v>
      </c>
      <c r="I342" s="174"/>
      <c r="J342" s="66"/>
      <c r="K342" s="851" t="s">
        <v>3030</v>
      </c>
      <c r="L342" s="1753"/>
      <c r="M342" s="1753"/>
      <c r="N342" s="1753"/>
      <c r="O342" s="1753"/>
      <c r="P342" s="1758"/>
      <c r="Q342" s="1758"/>
      <c r="R342" s="1758"/>
      <c r="S342" s="1758"/>
      <c r="T342" s="1762"/>
      <c r="U342" s="1762"/>
      <c r="V342" s="1762"/>
      <c r="W342" s="1762"/>
      <c r="X342" s="1750">
        <f t="shared" si="12"/>
        <v>0</v>
      </c>
      <c r="Y342" s="175">
        <f t="shared" si="13"/>
        <v>0</v>
      </c>
    </row>
    <row r="343" spans="1:25" ht="30" x14ac:dyDescent="0.25">
      <c r="A343" s="32"/>
      <c r="B343" s="32"/>
      <c r="C343" s="32"/>
      <c r="D343" s="32"/>
      <c r="E343" s="32"/>
      <c r="F343" s="32"/>
      <c r="G343" s="1340" t="s">
        <v>2688</v>
      </c>
      <c r="H343" s="66" t="str">
        <f>'BID II'!B409</f>
        <v>Belanja Alat Tulis Kantor dan Benda Pos</v>
      </c>
      <c r="I343" s="174">
        <f>SUM('BID II'!F410)</f>
        <v>20000000</v>
      </c>
      <c r="J343" s="66" t="s">
        <v>2620</v>
      </c>
      <c r="K343" s="851" t="s">
        <v>3030</v>
      </c>
      <c r="L343" s="1753"/>
      <c r="M343" s="1753"/>
      <c r="N343" s="1753"/>
      <c r="O343" s="1753"/>
      <c r="P343" s="1758"/>
      <c r="Q343" s="1758"/>
      <c r="R343" s="1759">
        <v>20000000</v>
      </c>
      <c r="S343" s="1758"/>
      <c r="T343" s="1762"/>
      <c r="U343" s="1762"/>
      <c r="V343" s="1762"/>
      <c r="W343" s="1762"/>
      <c r="X343" s="1750">
        <f t="shared" si="12"/>
        <v>20000000</v>
      </c>
      <c r="Y343" s="175">
        <f t="shared" si="13"/>
        <v>0</v>
      </c>
    </row>
    <row r="344" spans="1:25" ht="30" x14ac:dyDescent="0.25">
      <c r="A344" s="32"/>
      <c r="B344" s="32"/>
      <c r="C344" s="32"/>
      <c r="D344" s="32"/>
      <c r="E344" s="32"/>
      <c r="F344" s="32"/>
      <c r="G344" s="1340" t="s">
        <v>2704</v>
      </c>
      <c r="H344" s="66" t="str">
        <f>'BID II'!B411</f>
        <v>Belanja Bahan Bakar Kendaraan Bermotor</v>
      </c>
      <c r="I344" s="174">
        <f>'BID II'!F412</f>
        <v>5000000</v>
      </c>
      <c r="J344" s="66" t="s">
        <v>2620</v>
      </c>
      <c r="K344" s="851" t="s">
        <v>3030</v>
      </c>
      <c r="L344" s="1753"/>
      <c r="M344" s="1753"/>
      <c r="N344" s="1753"/>
      <c r="O344" s="1753"/>
      <c r="P344" s="1758"/>
      <c r="Q344" s="1758"/>
      <c r="R344" s="1759">
        <v>5000000</v>
      </c>
      <c r="S344" s="1758"/>
      <c r="T344" s="1762"/>
      <c r="U344" s="1762"/>
      <c r="V344" s="1762"/>
      <c r="W344" s="1762"/>
      <c r="X344" s="1750">
        <f t="shared" si="12"/>
        <v>5000000</v>
      </c>
      <c r="Y344" s="175">
        <f t="shared" si="13"/>
        <v>0</v>
      </c>
    </row>
    <row r="345" spans="1:25" ht="30" x14ac:dyDescent="0.25">
      <c r="A345" s="32"/>
      <c r="B345" s="32"/>
      <c r="C345" s="32"/>
      <c r="D345" s="32">
        <v>5</v>
      </c>
      <c r="E345" s="32">
        <v>2</v>
      </c>
      <c r="F345" s="32">
        <v>6</v>
      </c>
      <c r="G345" s="1340"/>
      <c r="H345" s="66" t="str">
        <f>'BID II'!B413</f>
        <v>Belanja Pemeliharaan</v>
      </c>
      <c r="I345" s="174"/>
      <c r="J345" s="66"/>
      <c r="K345" s="851" t="s">
        <v>3030</v>
      </c>
      <c r="L345" s="1753"/>
      <c r="M345" s="1753"/>
      <c r="N345" s="1753"/>
      <c r="O345" s="1753"/>
      <c r="P345" s="1758"/>
      <c r="Q345" s="1758"/>
      <c r="R345" s="1759"/>
      <c r="S345" s="1758"/>
      <c r="T345" s="1762"/>
      <c r="U345" s="1762"/>
      <c r="V345" s="1762"/>
      <c r="W345" s="1762"/>
      <c r="X345" s="1750">
        <f t="shared" si="12"/>
        <v>0</v>
      </c>
      <c r="Y345" s="175">
        <f t="shared" si="13"/>
        <v>0</v>
      </c>
    </row>
    <row r="346" spans="1:25" ht="30" x14ac:dyDescent="0.25">
      <c r="A346" s="32"/>
      <c r="B346" s="32"/>
      <c r="C346" s="32"/>
      <c r="D346" s="32"/>
      <c r="E346" s="32"/>
      <c r="F346" s="32"/>
      <c r="G346" s="1340" t="s">
        <v>2702</v>
      </c>
      <c r="H346" s="66" t="str">
        <f>'BID II'!B414</f>
        <v>Belanja Pemeliharaan Kendaraan Bermotor</v>
      </c>
      <c r="I346" s="174">
        <f>'BID II'!F415</f>
        <v>2000000</v>
      </c>
      <c r="J346" s="66" t="s">
        <v>2620</v>
      </c>
      <c r="K346" s="851" t="s">
        <v>3030</v>
      </c>
      <c r="L346" s="1753"/>
      <c r="M346" s="1753"/>
      <c r="N346" s="1753"/>
      <c r="O346" s="1753"/>
      <c r="P346" s="1758"/>
      <c r="Q346" s="1758"/>
      <c r="R346" s="1759">
        <v>2000000</v>
      </c>
      <c r="S346" s="1758"/>
      <c r="T346" s="1762"/>
      <c r="U346" s="1762"/>
      <c r="V346" s="1762"/>
      <c r="W346" s="1762"/>
      <c r="X346" s="1750">
        <f t="shared" ref="X346:X409" si="14">SUM(L346:W346)</f>
        <v>2000000</v>
      </c>
      <c r="Y346" s="175">
        <f t="shared" ref="Y346:Y409" si="15">X346-I346</f>
        <v>0</v>
      </c>
    </row>
    <row r="347" spans="1:25" ht="30" x14ac:dyDescent="0.25">
      <c r="A347" s="32"/>
      <c r="B347" s="32"/>
      <c r="C347" s="32"/>
      <c r="D347" s="32">
        <v>5</v>
      </c>
      <c r="E347" s="32">
        <v>2</v>
      </c>
      <c r="F347" s="32">
        <v>2</v>
      </c>
      <c r="G347" s="1340"/>
      <c r="H347" s="66" t="str">
        <f>'BID II'!B416</f>
        <v>Belanja Jasa Honorarium</v>
      </c>
      <c r="I347" s="174"/>
      <c r="J347" s="66"/>
      <c r="K347" s="851" t="s">
        <v>3030</v>
      </c>
      <c r="L347" s="1753"/>
      <c r="M347" s="1753"/>
      <c r="N347" s="1753"/>
      <c r="O347" s="1753"/>
      <c r="P347" s="1758"/>
      <c r="Q347" s="1758"/>
      <c r="R347" s="1759"/>
      <c r="S347" s="1758"/>
      <c r="T347" s="1762"/>
      <c r="U347" s="1762"/>
      <c r="V347" s="1762"/>
      <c r="W347" s="1762"/>
      <c r="X347" s="1750">
        <f t="shared" si="14"/>
        <v>0</v>
      </c>
      <c r="Y347" s="175">
        <f t="shared" si="15"/>
        <v>0</v>
      </c>
    </row>
    <row r="348" spans="1:25" ht="45" x14ac:dyDescent="0.25">
      <c r="A348" s="32"/>
      <c r="B348" s="32"/>
      <c r="C348" s="32"/>
      <c r="D348" s="32"/>
      <c r="E348" s="32"/>
      <c r="F348" s="32"/>
      <c r="G348" s="1340" t="s">
        <v>2688</v>
      </c>
      <c r="H348" s="66" t="str">
        <f>'BID II'!B417</f>
        <v>Belanja Jasa Honorarium Tim yang Melaksanakan Kegiatan</v>
      </c>
      <c r="I348" s="174">
        <f>SUM('BID II'!F418:F420)</f>
        <v>1150000</v>
      </c>
      <c r="J348" s="66" t="s">
        <v>2620</v>
      </c>
      <c r="K348" s="851" t="s">
        <v>3030</v>
      </c>
      <c r="L348" s="1753"/>
      <c r="M348" s="1753"/>
      <c r="N348" s="1753"/>
      <c r="O348" s="1753"/>
      <c r="P348" s="1758"/>
      <c r="Q348" s="1758"/>
      <c r="R348" s="1759">
        <v>1150000</v>
      </c>
      <c r="S348" s="1758"/>
      <c r="T348" s="1762"/>
      <c r="U348" s="1762"/>
      <c r="V348" s="1762"/>
      <c r="W348" s="1762"/>
      <c r="X348" s="1750">
        <f t="shared" si="14"/>
        <v>1150000</v>
      </c>
      <c r="Y348" s="175">
        <f t="shared" si="15"/>
        <v>0</v>
      </c>
    </row>
    <row r="349" spans="1:25" ht="30" x14ac:dyDescent="0.25">
      <c r="A349" s="32"/>
      <c r="B349" s="32"/>
      <c r="C349" s="32"/>
      <c r="D349" s="32">
        <v>5</v>
      </c>
      <c r="E349" s="32">
        <v>3</v>
      </c>
      <c r="F349" s="32"/>
      <c r="G349" s="1340"/>
      <c r="H349" s="66" t="str">
        <f>'BID II'!B421</f>
        <v>Belanja Modal</v>
      </c>
      <c r="I349" s="174"/>
      <c r="J349" s="66"/>
      <c r="K349" s="851" t="s">
        <v>3030</v>
      </c>
      <c r="L349" s="1753"/>
      <c r="M349" s="1753"/>
      <c r="N349" s="1753"/>
      <c r="O349" s="1753"/>
      <c r="P349" s="1758"/>
      <c r="Q349" s="1758"/>
      <c r="R349" s="1759"/>
      <c r="S349" s="1758"/>
      <c r="T349" s="1762"/>
      <c r="U349" s="1762"/>
      <c r="V349" s="1762"/>
      <c r="W349" s="1762"/>
      <c r="X349" s="1750">
        <f t="shared" si="14"/>
        <v>0</v>
      </c>
      <c r="Y349" s="175">
        <f t="shared" si="15"/>
        <v>0</v>
      </c>
    </row>
    <row r="350" spans="1:25" ht="30" x14ac:dyDescent="0.25">
      <c r="A350" s="32"/>
      <c r="B350" s="32"/>
      <c r="C350" s="32"/>
      <c r="D350" s="32"/>
      <c r="E350" s="32"/>
      <c r="F350" s="32">
        <v>2</v>
      </c>
      <c r="G350" s="1340"/>
      <c r="H350" s="66" t="str">
        <f>'BID II'!B422</f>
        <v>Belanja Modal Peralatan, Mesin, dan Alat Berat</v>
      </c>
      <c r="I350" s="174"/>
      <c r="J350" s="66"/>
      <c r="K350" s="851" t="s">
        <v>3030</v>
      </c>
      <c r="L350" s="1753"/>
      <c r="M350" s="1753"/>
      <c r="N350" s="1753"/>
      <c r="O350" s="1753"/>
      <c r="P350" s="1758"/>
      <c r="Q350" s="1758"/>
      <c r="R350" s="1759"/>
      <c r="S350" s="1758"/>
      <c r="T350" s="1762"/>
      <c r="U350" s="1762"/>
      <c r="V350" s="1762"/>
      <c r="W350" s="1762"/>
      <c r="X350" s="1750">
        <f t="shared" si="14"/>
        <v>0</v>
      </c>
      <c r="Y350" s="175">
        <f t="shared" si="15"/>
        <v>0</v>
      </c>
    </row>
    <row r="351" spans="1:25" ht="30" x14ac:dyDescent="0.25">
      <c r="A351" s="32"/>
      <c r="B351" s="32"/>
      <c r="C351" s="32"/>
      <c r="D351" s="32"/>
      <c r="E351" s="32"/>
      <c r="F351" s="32"/>
      <c r="G351" s="1340" t="s">
        <v>2702</v>
      </c>
      <c r="H351" s="66" t="str">
        <f>'BID II'!B423</f>
        <v>Belanja Modal Peralatan Elektronik dan Alat Studio</v>
      </c>
      <c r="I351" s="174">
        <f>SUM('BID II'!F424:F426)</f>
        <v>119750000</v>
      </c>
      <c r="J351" s="66" t="s">
        <v>2620</v>
      </c>
      <c r="K351" s="851" t="s">
        <v>3030</v>
      </c>
      <c r="L351" s="1753"/>
      <c r="M351" s="1753"/>
      <c r="N351" s="1753"/>
      <c r="O351" s="1753"/>
      <c r="P351" s="1758"/>
      <c r="Q351" s="1758"/>
      <c r="R351" s="1759"/>
      <c r="S351" s="1758"/>
      <c r="T351" s="1763">
        <v>119750000</v>
      </c>
      <c r="U351" s="1762"/>
      <c r="V351" s="1762"/>
      <c r="W351" s="1762"/>
      <c r="X351" s="1750">
        <f t="shared" si="14"/>
        <v>119750000</v>
      </c>
      <c r="Y351" s="175">
        <f t="shared" si="15"/>
        <v>0</v>
      </c>
    </row>
    <row r="352" spans="1:25" ht="30" x14ac:dyDescent="0.25">
      <c r="A352" s="32"/>
      <c r="B352" s="32"/>
      <c r="C352" s="32"/>
      <c r="D352" s="32">
        <v>5</v>
      </c>
      <c r="E352" s="32">
        <v>3</v>
      </c>
      <c r="F352" s="32">
        <v>3</v>
      </c>
      <c r="G352" s="1340"/>
      <c r="H352" s="66" t="str">
        <f>'BID II'!B427</f>
        <v>Belanja Modal Kendaraan</v>
      </c>
      <c r="I352" s="174"/>
      <c r="J352" s="66"/>
      <c r="K352" s="851" t="s">
        <v>3030</v>
      </c>
      <c r="L352" s="1753"/>
      <c r="M352" s="1753"/>
      <c r="N352" s="1753"/>
      <c r="O352" s="1753"/>
      <c r="P352" s="1758"/>
      <c r="Q352" s="1758"/>
      <c r="R352" s="1759"/>
      <c r="S352" s="1758"/>
      <c r="T352" s="1762"/>
      <c r="U352" s="1762"/>
      <c r="V352" s="1762"/>
      <c r="W352" s="1762"/>
      <c r="X352" s="1750">
        <f t="shared" si="14"/>
        <v>0</v>
      </c>
      <c r="Y352" s="175">
        <f t="shared" si="15"/>
        <v>0</v>
      </c>
    </row>
    <row r="353" spans="1:25" ht="30" x14ac:dyDescent="0.25">
      <c r="A353" s="32"/>
      <c r="B353" s="32"/>
      <c r="C353" s="32"/>
      <c r="D353" s="32"/>
      <c r="E353" s="32"/>
      <c r="F353" s="32"/>
      <c r="G353" s="1340" t="s">
        <v>2702</v>
      </c>
      <c r="H353" s="66" t="str">
        <f>'BID II'!B428</f>
        <v>Belanja Modal Kendaraan Darat Bermotor</v>
      </c>
      <c r="I353" s="174">
        <f>SUM('BID II'!F429:F430)</f>
        <v>48721400</v>
      </c>
      <c r="J353" s="66" t="s">
        <v>2620</v>
      </c>
      <c r="K353" s="851" t="s">
        <v>3030</v>
      </c>
      <c r="L353" s="1753"/>
      <c r="M353" s="1753"/>
      <c r="N353" s="1753"/>
      <c r="O353" s="1753"/>
      <c r="P353" s="1758"/>
      <c r="Q353" s="1758"/>
      <c r="R353" s="1759">
        <v>48721400</v>
      </c>
      <c r="S353" s="1758"/>
      <c r="T353" s="1762"/>
      <c r="U353" s="1762"/>
      <c r="V353" s="1762"/>
      <c r="W353" s="1762"/>
      <c r="X353" s="1750">
        <f t="shared" si="14"/>
        <v>48721400</v>
      </c>
      <c r="Y353" s="175">
        <f t="shared" si="15"/>
        <v>0</v>
      </c>
    </row>
    <row r="354" spans="1:25" ht="45" x14ac:dyDescent="0.25">
      <c r="A354" s="1344">
        <v>2</v>
      </c>
      <c r="B354" s="1344">
        <v>2</v>
      </c>
      <c r="C354" s="1346" t="s">
        <v>2702</v>
      </c>
      <c r="D354" s="1344"/>
      <c r="E354" s="1344"/>
      <c r="F354" s="1344"/>
      <c r="G354" s="1344"/>
      <c r="H354" s="1345" t="str">
        <f>'BID II'!B444</f>
        <v>: Penyelenggaraan Posyandu (Pemberian PMT)</v>
      </c>
      <c r="I354" s="1347">
        <f>SUM(I355:I364)</f>
        <v>266295500</v>
      </c>
      <c r="J354" s="1345"/>
      <c r="K354" s="1796" t="s">
        <v>3030</v>
      </c>
      <c r="L354" s="1344"/>
      <c r="M354" s="1344"/>
      <c r="N354" s="1344"/>
      <c r="O354" s="1344"/>
      <c r="P354" s="1344"/>
      <c r="Q354" s="1344"/>
      <c r="R354" s="1344"/>
      <c r="S354" s="1344"/>
      <c r="T354" s="1344"/>
      <c r="U354" s="1344"/>
      <c r="V354" s="1344"/>
      <c r="W354" s="1344"/>
      <c r="X354" s="1353">
        <f t="shared" si="14"/>
        <v>0</v>
      </c>
      <c r="Y354" s="175">
        <f t="shared" si="15"/>
        <v>-266295500</v>
      </c>
    </row>
    <row r="355" spans="1:25" ht="30" x14ac:dyDescent="0.25">
      <c r="A355" s="32"/>
      <c r="B355" s="32"/>
      <c r="C355" s="32"/>
      <c r="D355" s="32">
        <v>5</v>
      </c>
      <c r="E355" s="32">
        <v>2</v>
      </c>
      <c r="F355" s="32"/>
      <c r="G355" s="32"/>
      <c r="H355" s="66" t="str">
        <f>'BID II'!B449</f>
        <v>Belanja Barang dan Jasa</v>
      </c>
      <c r="I355" s="32"/>
      <c r="J355" s="66"/>
      <c r="K355" s="851" t="s">
        <v>3030</v>
      </c>
      <c r="L355" s="1753"/>
      <c r="M355" s="1753"/>
      <c r="N355" s="1753"/>
      <c r="O355" s="1753"/>
      <c r="P355" s="1758"/>
      <c r="Q355" s="1758"/>
      <c r="R355" s="1758"/>
      <c r="S355" s="1758"/>
      <c r="T355" s="1762"/>
      <c r="U355" s="1762"/>
      <c r="V355" s="1762"/>
      <c r="W355" s="1762"/>
      <c r="X355" s="1750">
        <f t="shared" si="14"/>
        <v>0</v>
      </c>
      <c r="Y355" s="175">
        <f t="shared" si="15"/>
        <v>0</v>
      </c>
    </row>
    <row r="356" spans="1:25" ht="30" x14ac:dyDescent="0.25">
      <c r="A356" s="32"/>
      <c r="B356" s="32"/>
      <c r="C356" s="32"/>
      <c r="D356" s="32"/>
      <c r="E356" s="32"/>
      <c r="F356" s="32">
        <v>1</v>
      </c>
      <c r="G356" s="32"/>
      <c r="H356" s="66" t="str">
        <f>'BID II'!B450</f>
        <v>Belanaja Barang Pelengkapan</v>
      </c>
      <c r="I356" s="32"/>
      <c r="J356" s="66"/>
      <c r="K356" s="851" t="s">
        <v>3030</v>
      </c>
      <c r="L356" s="1753"/>
      <c r="M356" s="1753"/>
      <c r="N356" s="1753"/>
      <c r="O356" s="1753"/>
      <c r="P356" s="1758"/>
      <c r="Q356" s="1758"/>
      <c r="R356" s="1758"/>
      <c r="S356" s="1758"/>
      <c r="T356" s="1762"/>
      <c r="U356" s="1762"/>
      <c r="V356" s="1762"/>
      <c r="W356" s="1762"/>
      <c r="X356" s="1750">
        <f t="shared" si="14"/>
        <v>0</v>
      </c>
      <c r="Y356" s="175">
        <f t="shared" si="15"/>
        <v>0</v>
      </c>
    </row>
    <row r="357" spans="1:25" ht="30" x14ac:dyDescent="0.25">
      <c r="A357" s="32"/>
      <c r="B357" s="32"/>
      <c r="C357" s="32"/>
      <c r="D357" s="32"/>
      <c r="E357" s="32"/>
      <c r="F357" s="32"/>
      <c r="G357" s="1340" t="s">
        <v>2688</v>
      </c>
      <c r="H357" s="66" t="str">
        <f>'BID II'!B451</f>
        <v>Perlangakapan Alat Tulis Kantor dan Benda POS</v>
      </c>
      <c r="I357" s="174">
        <f>SUM('BID II'!F452:F459)</f>
        <v>11993500</v>
      </c>
      <c r="J357" s="66" t="s">
        <v>2387</v>
      </c>
      <c r="K357" s="851" t="s">
        <v>3030</v>
      </c>
      <c r="L357" s="1753"/>
      <c r="M357" s="1753"/>
      <c r="N357" s="1753"/>
      <c r="O357" s="1753"/>
      <c r="P357" s="1759">
        <v>11993500</v>
      </c>
      <c r="Q357" s="1758"/>
      <c r="R357" s="1758"/>
      <c r="S357" s="1758"/>
      <c r="T357" s="1762"/>
      <c r="U357" s="1762"/>
      <c r="V357" s="1762"/>
      <c r="W357" s="1762"/>
      <c r="X357" s="1750">
        <f t="shared" si="14"/>
        <v>11993500</v>
      </c>
      <c r="Y357" s="175">
        <f t="shared" si="15"/>
        <v>0</v>
      </c>
    </row>
    <row r="358" spans="1:25" ht="30" x14ac:dyDescent="0.25">
      <c r="A358" s="32"/>
      <c r="B358" s="32"/>
      <c r="C358" s="32"/>
      <c r="D358" s="32"/>
      <c r="E358" s="32"/>
      <c r="F358" s="32"/>
      <c r="G358" s="1340" t="s">
        <v>2705</v>
      </c>
      <c r="H358" s="66" t="str">
        <f>'BID II'!B460</f>
        <v>Belanja Perlengkapan Barang Konsumsi</v>
      </c>
      <c r="I358" s="174">
        <f>SUM('BID II'!F462:F467)</f>
        <v>151992000</v>
      </c>
      <c r="J358" s="66" t="s">
        <v>2387</v>
      </c>
      <c r="K358" s="851" t="s">
        <v>3030</v>
      </c>
      <c r="L358" s="1754">
        <v>12666000</v>
      </c>
      <c r="M358" s="1754">
        <v>12666000</v>
      </c>
      <c r="N358" s="1754">
        <v>12666000</v>
      </c>
      <c r="O358" s="1754">
        <v>12666000</v>
      </c>
      <c r="P358" s="1754">
        <v>12666000</v>
      </c>
      <c r="Q358" s="1754">
        <v>12666000</v>
      </c>
      <c r="R358" s="1754">
        <v>12666000</v>
      </c>
      <c r="S358" s="1754">
        <v>12666000</v>
      </c>
      <c r="T358" s="1754">
        <v>12666000</v>
      </c>
      <c r="U358" s="1754">
        <v>12666000</v>
      </c>
      <c r="V358" s="1754">
        <v>12666000</v>
      </c>
      <c r="W358" s="1754">
        <v>12666000</v>
      </c>
      <c r="X358" s="1750">
        <f t="shared" si="14"/>
        <v>151992000</v>
      </c>
      <c r="Y358" s="175">
        <f t="shared" si="15"/>
        <v>0</v>
      </c>
    </row>
    <row r="359" spans="1:25" ht="30" x14ac:dyDescent="0.25">
      <c r="A359" s="32"/>
      <c r="B359" s="32"/>
      <c r="C359" s="32"/>
      <c r="D359" s="32"/>
      <c r="E359" s="32"/>
      <c r="F359" s="32"/>
      <c r="G359" s="1340" t="s">
        <v>2708</v>
      </c>
      <c r="H359" s="32" t="str">
        <f>'BID II'!B469</f>
        <v>Belanja Bahan/Material</v>
      </c>
      <c r="I359" s="174">
        <f>SUM('BID II'!F470)</f>
        <v>3900000</v>
      </c>
      <c r="J359" s="66" t="s">
        <v>2625</v>
      </c>
      <c r="K359" s="851" t="s">
        <v>3030</v>
      </c>
      <c r="L359" s="1754">
        <v>325000</v>
      </c>
      <c r="M359" s="1754">
        <v>325000</v>
      </c>
      <c r="N359" s="1754">
        <v>325000</v>
      </c>
      <c r="O359" s="1754">
        <v>325000</v>
      </c>
      <c r="P359" s="1754">
        <v>325000</v>
      </c>
      <c r="Q359" s="1754">
        <v>325000</v>
      </c>
      <c r="R359" s="1754">
        <v>325000</v>
      </c>
      <c r="S359" s="1754">
        <v>325000</v>
      </c>
      <c r="T359" s="1754">
        <v>325000</v>
      </c>
      <c r="U359" s="1754">
        <v>325000</v>
      </c>
      <c r="V359" s="1754">
        <v>325000</v>
      </c>
      <c r="W359" s="1754">
        <v>325000</v>
      </c>
      <c r="X359" s="1750">
        <f t="shared" si="14"/>
        <v>3900000</v>
      </c>
      <c r="Y359" s="175">
        <f t="shared" si="15"/>
        <v>0</v>
      </c>
    </row>
    <row r="360" spans="1:25" ht="30" x14ac:dyDescent="0.25">
      <c r="A360" s="32"/>
      <c r="B360" s="32"/>
      <c r="C360" s="32"/>
      <c r="D360" s="32"/>
      <c r="E360" s="32"/>
      <c r="F360" s="32"/>
      <c r="G360" s="1340" t="s">
        <v>2707</v>
      </c>
      <c r="H360" s="66" t="str">
        <f>'BID II'!B472</f>
        <v>Belanja Bendera/Umbul - umbul Spanduk</v>
      </c>
      <c r="I360" s="174">
        <f>'BID II'!F473</f>
        <v>1170000</v>
      </c>
      <c r="J360" s="66" t="s">
        <v>2625</v>
      </c>
      <c r="K360" s="851" t="s">
        <v>3030</v>
      </c>
      <c r="L360" s="1753"/>
      <c r="M360" s="1753"/>
      <c r="N360" s="1753"/>
      <c r="O360" s="1753"/>
      <c r="P360" s="1759">
        <v>1170000</v>
      </c>
      <c r="Q360" s="1758"/>
      <c r="R360" s="1758"/>
      <c r="S360" s="1758"/>
      <c r="T360" s="1762"/>
      <c r="U360" s="1762"/>
      <c r="V360" s="1762"/>
      <c r="W360" s="1762"/>
      <c r="X360" s="1750">
        <f t="shared" si="14"/>
        <v>1170000</v>
      </c>
      <c r="Y360" s="175">
        <f t="shared" si="15"/>
        <v>0</v>
      </c>
    </row>
    <row r="361" spans="1:25" ht="30" x14ac:dyDescent="0.25">
      <c r="A361" s="32"/>
      <c r="B361" s="32"/>
      <c r="C361" s="32"/>
      <c r="D361" s="32"/>
      <c r="E361" s="32"/>
      <c r="F361" s="32"/>
      <c r="G361" s="32">
        <v>90</v>
      </c>
      <c r="H361" s="66" t="str">
        <f>'BID II'!B475</f>
        <v>Belanja Upakara, Upacara Dan Aci</v>
      </c>
      <c r="I361" s="174">
        <f>SUM('BID II'!F476:F477)</f>
        <v>6240000</v>
      </c>
      <c r="J361" s="66" t="s">
        <v>2625</v>
      </c>
      <c r="K361" s="851" t="s">
        <v>3030</v>
      </c>
      <c r="L361" s="1754">
        <v>520000</v>
      </c>
      <c r="M361" s="1754">
        <v>520000</v>
      </c>
      <c r="N361" s="1754">
        <v>520000</v>
      </c>
      <c r="O361" s="1754">
        <v>520000</v>
      </c>
      <c r="P361" s="1754">
        <v>520000</v>
      </c>
      <c r="Q361" s="1754">
        <v>520000</v>
      </c>
      <c r="R361" s="1754">
        <v>520000</v>
      </c>
      <c r="S361" s="1754">
        <v>520000</v>
      </c>
      <c r="T361" s="1754">
        <v>520000</v>
      </c>
      <c r="U361" s="1754">
        <v>520000</v>
      </c>
      <c r="V361" s="1754">
        <v>520000</v>
      </c>
      <c r="W361" s="1754">
        <v>520000</v>
      </c>
      <c r="X361" s="1750">
        <f t="shared" si="14"/>
        <v>6240000</v>
      </c>
      <c r="Y361" s="175">
        <f t="shared" si="15"/>
        <v>0</v>
      </c>
    </row>
    <row r="362" spans="1:25" ht="30" x14ac:dyDescent="0.25">
      <c r="A362" s="32"/>
      <c r="B362" s="32"/>
      <c r="C362" s="32"/>
      <c r="D362" s="32">
        <v>5</v>
      </c>
      <c r="E362" s="32">
        <v>2</v>
      </c>
      <c r="F362" s="32">
        <v>2</v>
      </c>
      <c r="G362" s="32"/>
      <c r="H362" s="32" t="str">
        <f>'BID II'!B478</f>
        <v>Belanja Jasa Honorarium</v>
      </c>
      <c r="I362" s="32"/>
      <c r="J362" s="66"/>
      <c r="K362" s="851" t="s">
        <v>3030</v>
      </c>
      <c r="L362" s="1753"/>
      <c r="M362" s="1753"/>
      <c r="N362" s="1753"/>
      <c r="O362" s="1753"/>
      <c r="P362" s="1758"/>
      <c r="Q362" s="1758"/>
      <c r="R362" s="1758"/>
      <c r="S362" s="1758"/>
      <c r="T362" s="1762"/>
      <c r="U362" s="1762"/>
      <c r="V362" s="1762"/>
      <c r="W362" s="1762"/>
      <c r="X362" s="1750">
        <f t="shared" si="14"/>
        <v>0</v>
      </c>
      <c r="Y362" s="175">
        <f t="shared" si="15"/>
        <v>0</v>
      </c>
    </row>
    <row r="363" spans="1:25" ht="30" x14ac:dyDescent="0.25">
      <c r="A363" s="32"/>
      <c r="B363" s="32"/>
      <c r="C363" s="32"/>
      <c r="D363" s="32"/>
      <c r="E363" s="32"/>
      <c r="F363" s="32"/>
      <c r="G363" s="1340" t="s">
        <v>2704</v>
      </c>
      <c r="H363" s="66" t="str">
        <f>'BID II'!B479</f>
        <v>Belanja Jasa Honorarium Narasumber/ Ahli</v>
      </c>
      <c r="I363" s="174">
        <f>SUM('BID II'!F480)</f>
        <v>13000000</v>
      </c>
      <c r="J363" s="66" t="s">
        <v>2625</v>
      </c>
      <c r="K363" s="851" t="s">
        <v>3030</v>
      </c>
      <c r="L363" s="1753"/>
      <c r="M363" s="1753"/>
      <c r="N363" s="1753"/>
      <c r="O363" s="1753"/>
      <c r="P363" s="1759">
        <v>13000000</v>
      </c>
      <c r="Q363" s="1758"/>
      <c r="R363" s="1758"/>
      <c r="S363" s="1758"/>
      <c r="T363" s="1762"/>
      <c r="U363" s="1762"/>
      <c r="V363" s="1762"/>
      <c r="W363" s="1762"/>
      <c r="X363" s="1750">
        <f t="shared" si="14"/>
        <v>13000000</v>
      </c>
      <c r="Y363" s="175">
        <f t="shared" si="15"/>
        <v>0</v>
      </c>
    </row>
    <row r="364" spans="1:25" ht="30" x14ac:dyDescent="0.25">
      <c r="A364" s="32"/>
      <c r="B364" s="32"/>
      <c r="C364" s="32"/>
      <c r="D364" s="32"/>
      <c r="E364" s="32"/>
      <c r="F364" s="32"/>
      <c r="G364" s="1340" t="s">
        <v>2706</v>
      </c>
      <c r="H364" s="66" t="str">
        <f>'BID II'!B481</f>
        <v>Belanja Jasa Honorarium Petugas</v>
      </c>
      <c r="I364" s="174">
        <f>'BID II'!F482</f>
        <v>78000000</v>
      </c>
      <c r="J364" s="66" t="s">
        <v>2387</v>
      </c>
      <c r="K364" s="851" t="s">
        <v>3030</v>
      </c>
      <c r="L364" s="1754">
        <v>6500000</v>
      </c>
      <c r="M364" s="1754">
        <v>6500000</v>
      </c>
      <c r="N364" s="1754">
        <v>6500000</v>
      </c>
      <c r="O364" s="1754">
        <v>6500000</v>
      </c>
      <c r="P364" s="1754">
        <v>6500000</v>
      </c>
      <c r="Q364" s="1754">
        <v>6500000</v>
      </c>
      <c r="R364" s="1754">
        <v>6500000</v>
      </c>
      <c r="S364" s="1754">
        <v>6500000</v>
      </c>
      <c r="T364" s="1754">
        <v>6500000</v>
      </c>
      <c r="U364" s="1754">
        <v>6500000</v>
      </c>
      <c r="V364" s="1754">
        <v>6500000</v>
      </c>
      <c r="W364" s="1754">
        <v>6500000</v>
      </c>
      <c r="X364" s="1750">
        <f t="shared" si="14"/>
        <v>78000000</v>
      </c>
      <c r="Y364" s="175">
        <f t="shared" si="15"/>
        <v>0</v>
      </c>
    </row>
    <row r="365" spans="1:25" ht="45" x14ac:dyDescent="0.25">
      <c r="A365" s="1344">
        <v>2</v>
      </c>
      <c r="B365" s="1344">
        <v>2</v>
      </c>
      <c r="C365" s="1346" t="s">
        <v>2702</v>
      </c>
      <c r="D365" s="1344"/>
      <c r="E365" s="1344"/>
      <c r="F365" s="1344"/>
      <c r="G365" s="1344"/>
      <c r="H365" s="1345" t="str">
        <f>'BID II'!B496</f>
        <v>: Penyelenggaraan POSyandu (Pos Gizi dan Ibu Hamil)</v>
      </c>
      <c r="I365" s="1347">
        <f>SUM(I366:I371)</f>
        <v>4140000</v>
      </c>
      <c r="J365" s="1345" t="s">
        <v>2625</v>
      </c>
      <c r="K365" s="1796" t="s">
        <v>3030</v>
      </c>
      <c r="L365" s="1344"/>
      <c r="M365" s="1344"/>
      <c r="N365" s="1344"/>
      <c r="O365" s="1344"/>
      <c r="P365" s="1344"/>
      <c r="Q365" s="1344"/>
      <c r="R365" s="1344"/>
      <c r="S365" s="1344"/>
      <c r="T365" s="1344"/>
      <c r="U365" s="1344"/>
      <c r="V365" s="1344"/>
      <c r="W365" s="1344"/>
      <c r="X365" s="1353">
        <f t="shared" si="14"/>
        <v>0</v>
      </c>
      <c r="Y365" s="175">
        <f t="shared" si="15"/>
        <v>-4140000</v>
      </c>
    </row>
    <row r="366" spans="1:25" ht="30" x14ac:dyDescent="0.25">
      <c r="A366" s="32"/>
      <c r="B366" s="32"/>
      <c r="C366" s="32"/>
      <c r="D366" s="32">
        <v>5</v>
      </c>
      <c r="E366" s="32">
        <v>2</v>
      </c>
      <c r="F366" s="32"/>
      <c r="G366" s="32"/>
      <c r="H366" s="66" t="str">
        <f>'BID II'!B503</f>
        <v>Belanja Barang Jasa</v>
      </c>
      <c r="I366" s="32"/>
      <c r="J366" s="66"/>
      <c r="K366" s="851" t="s">
        <v>3030</v>
      </c>
      <c r="L366" s="1753"/>
      <c r="M366" s="1753"/>
      <c r="N366" s="1753"/>
      <c r="O366" s="1753"/>
      <c r="P366" s="1758"/>
      <c r="Q366" s="1758"/>
      <c r="R366" s="1758"/>
      <c r="S366" s="1758"/>
      <c r="T366" s="1762"/>
      <c r="U366" s="1762"/>
      <c r="V366" s="1762"/>
      <c r="W366" s="1762"/>
      <c r="X366" s="1750">
        <f t="shared" si="14"/>
        <v>0</v>
      </c>
      <c r="Y366" s="175">
        <f t="shared" si="15"/>
        <v>0</v>
      </c>
    </row>
    <row r="367" spans="1:25" ht="30" x14ac:dyDescent="0.25">
      <c r="A367" s="32"/>
      <c r="B367" s="32"/>
      <c r="C367" s="32"/>
      <c r="D367" s="32"/>
      <c r="E367" s="32"/>
      <c r="F367" s="32">
        <v>1</v>
      </c>
      <c r="G367" s="32"/>
      <c r="H367" s="66" t="str">
        <f>'BID II'!B504</f>
        <v>Belanja Barang Perlengkapan</v>
      </c>
      <c r="I367" s="32"/>
      <c r="J367" s="66"/>
      <c r="K367" s="851" t="s">
        <v>3030</v>
      </c>
      <c r="L367" s="1753"/>
      <c r="M367" s="1753"/>
      <c r="N367" s="1753"/>
      <c r="O367" s="1753"/>
      <c r="P367" s="1758"/>
      <c r="Q367" s="1758"/>
      <c r="R367" s="1758"/>
      <c r="S367" s="1758"/>
      <c r="T367" s="1762"/>
      <c r="U367" s="1762"/>
      <c r="V367" s="1762"/>
      <c r="W367" s="1762"/>
      <c r="X367" s="1750">
        <f t="shared" si="14"/>
        <v>0</v>
      </c>
      <c r="Y367" s="175">
        <f t="shared" si="15"/>
        <v>0</v>
      </c>
    </row>
    <row r="368" spans="1:25" ht="30" x14ac:dyDescent="0.25">
      <c r="A368" s="32"/>
      <c r="B368" s="32"/>
      <c r="C368" s="32"/>
      <c r="D368" s="32"/>
      <c r="E368" s="32"/>
      <c r="F368" s="32"/>
      <c r="G368" s="1340" t="s">
        <v>2705</v>
      </c>
      <c r="H368" s="66" t="str">
        <f>'BID II'!B505</f>
        <v>Belanja Perlengkapan Barang Konsumsi</v>
      </c>
      <c r="I368" s="174">
        <f>SUM('BID II'!F506:F508)</f>
        <v>3450000</v>
      </c>
      <c r="J368" s="66" t="s">
        <v>2625</v>
      </c>
      <c r="K368" s="851" t="s">
        <v>3030</v>
      </c>
      <c r="L368" s="1753"/>
      <c r="M368" s="1753"/>
      <c r="N368" s="1753"/>
      <c r="O368" s="1753"/>
      <c r="P368" s="1759">
        <v>3450000</v>
      </c>
      <c r="Q368" s="1758"/>
      <c r="R368" s="1758"/>
      <c r="S368" s="1758"/>
      <c r="T368" s="1762"/>
      <c r="U368" s="1762"/>
      <c r="V368" s="1762"/>
      <c r="W368" s="1762"/>
      <c r="X368" s="1750">
        <f t="shared" si="14"/>
        <v>3450000</v>
      </c>
      <c r="Y368" s="175">
        <f t="shared" si="15"/>
        <v>0</v>
      </c>
    </row>
    <row r="369" spans="1:25" ht="30" x14ac:dyDescent="0.25">
      <c r="A369" s="32"/>
      <c r="B369" s="32"/>
      <c r="C369" s="32"/>
      <c r="D369" s="32"/>
      <c r="E369" s="32"/>
      <c r="F369" s="32"/>
      <c r="G369" s="1340" t="s">
        <v>2707</v>
      </c>
      <c r="H369" s="66" t="str">
        <f>'BID II'!B511</f>
        <v>Belanja Bendera/ Umbul-umbul/ Spanduk</v>
      </c>
      <c r="I369" s="174">
        <f>'BID II'!F512</f>
        <v>90000</v>
      </c>
      <c r="J369" s="66" t="s">
        <v>2625</v>
      </c>
      <c r="K369" s="851" t="s">
        <v>3030</v>
      </c>
      <c r="L369" s="1753"/>
      <c r="M369" s="1753"/>
      <c r="N369" s="1753"/>
      <c r="O369" s="1753"/>
      <c r="P369" s="1759">
        <v>90000</v>
      </c>
      <c r="Q369" s="1758"/>
      <c r="R369" s="1758"/>
      <c r="S369" s="1758"/>
      <c r="T369" s="1762"/>
      <c r="U369" s="1762"/>
      <c r="V369" s="1762"/>
      <c r="W369" s="1762"/>
      <c r="X369" s="1750">
        <f t="shared" si="14"/>
        <v>90000</v>
      </c>
      <c r="Y369" s="175">
        <f t="shared" si="15"/>
        <v>0</v>
      </c>
    </row>
    <row r="370" spans="1:25" ht="30" x14ac:dyDescent="0.25">
      <c r="A370" s="32"/>
      <c r="B370" s="32"/>
      <c r="C370" s="32"/>
      <c r="D370" s="32">
        <v>5</v>
      </c>
      <c r="E370" s="32">
        <v>2</v>
      </c>
      <c r="F370" s="32">
        <v>2</v>
      </c>
      <c r="G370" s="32"/>
      <c r="H370" s="66" t="str">
        <f>'BID II'!B514</f>
        <v>Belanja Jasa Honorarium</v>
      </c>
      <c r="I370" s="32"/>
      <c r="J370" s="66"/>
      <c r="K370" s="851" t="s">
        <v>3030</v>
      </c>
      <c r="L370" s="1753"/>
      <c r="M370" s="1753"/>
      <c r="N370" s="1753"/>
      <c r="O370" s="1753"/>
      <c r="P370" s="1759"/>
      <c r="Q370" s="1758"/>
      <c r="R370" s="1758"/>
      <c r="S370" s="1758"/>
      <c r="T370" s="1762"/>
      <c r="U370" s="1762"/>
      <c r="V370" s="1762"/>
      <c r="W370" s="1762"/>
      <c r="X370" s="1750">
        <f t="shared" si="14"/>
        <v>0</v>
      </c>
      <c r="Y370" s="175">
        <f t="shared" si="15"/>
        <v>0</v>
      </c>
    </row>
    <row r="371" spans="1:25" ht="60" x14ac:dyDescent="0.25">
      <c r="A371" s="32"/>
      <c r="B371" s="32"/>
      <c r="C371" s="32"/>
      <c r="D371" s="32"/>
      <c r="E371" s="32"/>
      <c r="F371" s="32"/>
      <c r="G371" s="1340" t="s">
        <v>2704</v>
      </c>
      <c r="H371" s="66" t="str">
        <f>'BID II'!B515</f>
        <v>Belanja Jasa Honorarium Ahli/ Profesi/Konsultan/Narasumber</v>
      </c>
      <c r="I371" s="174">
        <f>'BID II'!F516</f>
        <v>600000</v>
      </c>
      <c r="J371" s="66" t="s">
        <v>2625</v>
      </c>
      <c r="K371" s="851" t="s">
        <v>3030</v>
      </c>
      <c r="L371" s="1753"/>
      <c r="M371" s="1753"/>
      <c r="N371" s="1753"/>
      <c r="O371" s="1753"/>
      <c r="P371" s="1759">
        <v>600000</v>
      </c>
      <c r="Q371" s="1758"/>
      <c r="R371" s="1758"/>
      <c r="S371" s="1758"/>
      <c r="T371" s="1762"/>
      <c r="U371" s="1762"/>
      <c r="V371" s="1762"/>
      <c r="W371" s="1762"/>
      <c r="X371" s="1750">
        <f t="shared" si="14"/>
        <v>600000</v>
      </c>
      <c r="Y371" s="175">
        <f t="shared" si="15"/>
        <v>0</v>
      </c>
    </row>
    <row r="372" spans="1:25" ht="60" x14ac:dyDescent="0.25">
      <c r="A372" s="1344">
        <v>2</v>
      </c>
      <c r="B372" s="1344">
        <v>2</v>
      </c>
      <c r="C372" s="1346" t="s">
        <v>2702</v>
      </c>
      <c r="D372" s="1344"/>
      <c r="E372" s="1344"/>
      <c r="F372" s="1344"/>
      <c r="G372" s="1344"/>
      <c r="H372" s="1345" t="str">
        <f>'BID II'!B531</f>
        <v>: Penyelenggaraan Posyandu Lansia (Pemberian tambahan nutrisi bagi lansia)</v>
      </c>
      <c r="I372" s="1347">
        <f>SUM(I373:I378)</f>
        <v>104580000</v>
      </c>
      <c r="J372" s="1345" t="s">
        <v>2626</v>
      </c>
      <c r="K372" s="1796" t="s">
        <v>3030</v>
      </c>
      <c r="L372" s="1344"/>
      <c r="M372" s="1344"/>
      <c r="N372" s="1344"/>
      <c r="O372" s="1344"/>
      <c r="P372" s="1344"/>
      <c r="Q372" s="1344"/>
      <c r="R372" s="1344"/>
      <c r="S372" s="1344"/>
      <c r="T372" s="1344"/>
      <c r="U372" s="1344"/>
      <c r="V372" s="1344"/>
      <c r="W372" s="1344"/>
      <c r="X372" s="1353">
        <f t="shared" si="14"/>
        <v>0</v>
      </c>
      <c r="Y372" s="175">
        <f t="shared" si="15"/>
        <v>-104580000</v>
      </c>
    </row>
    <row r="373" spans="1:25" ht="30" x14ac:dyDescent="0.25">
      <c r="A373" s="32"/>
      <c r="B373" s="32"/>
      <c r="C373" s="32"/>
      <c r="D373" s="32">
        <v>5</v>
      </c>
      <c r="E373" s="32">
        <v>2</v>
      </c>
      <c r="F373" s="32"/>
      <c r="G373" s="32"/>
      <c r="H373" s="66" t="str">
        <f>'BID II'!B536</f>
        <v xml:space="preserve">Belanja Barang dan Jasa </v>
      </c>
      <c r="I373" s="32"/>
      <c r="J373" s="66"/>
      <c r="K373" s="851" t="s">
        <v>3030</v>
      </c>
      <c r="L373" s="1753"/>
      <c r="M373" s="1753"/>
      <c r="N373" s="1753"/>
      <c r="O373" s="1753"/>
      <c r="P373" s="1758"/>
      <c r="Q373" s="1758"/>
      <c r="R373" s="1758"/>
      <c r="S373" s="1758"/>
      <c r="T373" s="1762"/>
      <c r="U373" s="1762"/>
      <c r="V373" s="1762"/>
      <c r="W373" s="1762"/>
      <c r="X373" s="1750">
        <f t="shared" si="14"/>
        <v>0</v>
      </c>
      <c r="Y373" s="175">
        <f t="shared" si="15"/>
        <v>0</v>
      </c>
    </row>
    <row r="374" spans="1:25" ht="30" x14ac:dyDescent="0.25">
      <c r="A374" s="32"/>
      <c r="B374" s="32"/>
      <c r="C374" s="32"/>
      <c r="D374" s="32"/>
      <c r="E374" s="32"/>
      <c r="F374" s="32">
        <v>1</v>
      </c>
      <c r="G374" s="32"/>
      <c r="H374" s="66" t="str">
        <f>'BID II'!B537</f>
        <v>Belanja Barang perlengkapan</v>
      </c>
      <c r="I374" s="32"/>
      <c r="J374" s="66"/>
      <c r="K374" s="851" t="s">
        <v>3030</v>
      </c>
      <c r="L374" s="1753"/>
      <c r="M374" s="1753"/>
      <c r="N374" s="1753"/>
      <c r="O374" s="1753"/>
      <c r="P374" s="1758"/>
      <c r="Q374" s="1758"/>
      <c r="R374" s="1758"/>
      <c r="S374" s="1758"/>
      <c r="T374" s="1762"/>
      <c r="U374" s="1762"/>
      <c r="V374" s="1762"/>
      <c r="W374" s="1762"/>
      <c r="X374" s="1750">
        <f t="shared" si="14"/>
        <v>0</v>
      </c>
      <c r="Y374" s="175">
        <f t="shared" si="15"/>
        <v>0</v>
      </c>
    </row>
    <row r="375" spans="1:25" ht="30" x14ac:dyDescent="0.25">
      <c r="A375" s="32"/>
      <c r="B375" s="32"/>
      <c r="C375" s="32"/>
      <c r="D375" s="32"/>
      <c r="E375" s="32"/>
      <c r="F375" s="32"/>
      <c r="G375" s="1340" t="s">
        <v>2705</v>
      </c>
      <c r="H375" s="66" t="str">
        <f>'BID II'!B538</f>
        <v>Belanja Perlengkapan Barang Konsumsi</v>
      </c>
      <c r="I375" s="513">
        <f>SUM('BID II'!F539:F544)</f>
        <v>68040000</v>
      </c>
      <c r="J375" s="66" t="s">
        <v>2626</v>
      </c>
      <c r="K375" s="851" t="s">
        <v>3030</v>
      </c>
      <c r="L375" s="1754">
        <v>5670000</v>
      </c>
      <c r="M375" s="1754">
        <v>5670000</v>
      </c>
      <c r="N375" s="1754">
        <v>5670000</v>
      </c>
      <c r="O375" s="1754">
        <v>5670000</v>
      </c>
      <c r="P375" s="1754">
        <v>5670000</v>
      </c>
      <c r="Q375" s="1754">
        <v>5670000</v>
      </c>
      <c r="R375" s="1754">
        <v>5670000</v>
      </c>
      <c r="S375" s="1754">
        <v>5670000</v>
      </c>
      <c r="T375" s="1754">
        <v>5670000</v>
      </c>
      <c r="U375" s="1754">
        <v>5670000</v>
      </c>
      <c r="V375" s="1754">
        <v>5670000</v>
      </c>
      <c r="W375" s="1754">
        <v>5670000</v>
      </c>
      <c r="X375" s="1750">
        <f t="shared" si="14"/>
        <v>68040000</v>
      </c>
      <c r="Y375" s="175">
        <f t="shared" si="15"/>
        <v>0</v>
      </c>
    </row>
    <row r="376" spans="1:25" ht="30" x14ac:dyDescent="0.25">
      <c r="A376" s="32"/>
      <c r="B376" s="32"/>
      <c r="C376" s="32"/>
      <c r="D376" s="32"/>
      <c r="E376" s="32"/>
      <c r="F376" s="32"/>
      <c r="G376" s="1340" t="s">
        <v>2707</v>
      </c>
      <c r="H376" s="66" t="str">
        <f>'BID II'!B546</f>
        <v>Belanja Bendera/ Umbul-Umbul/ Spanduk</v>
      </c>
      <c r="I376" s="513">
        <f>'BID II'!F547</f>
        <v>540000</v>
      </c>
      <c r="J376" s="66" t="s">
        <v>2626</v>
      </c>
      <c r="K376" s="851" t="s">
        <v>3030</v>
      </c>
      <c r="L376" s="1754">
        <v>540000</v>
      </c>
      <c r="M376" s="1753"/>
      <c r="N376" s="1753"/>
      <c r="O376" s="1753"/>
      <c r="P376" s="1758"/>
      <c r="Q376" s="1758"/>
      <c r="R376" s="1758"/>
      <c r="S376" s="1758"/>
      <c r="T376" s="1762"/>
      <c r="U376" s="1762"/>
      <c r="V376" s="1762"/>
      <c r="W376" s="1762"/>
      <c r="X376" s="1750">
        <f t="shared" si="14"/>
        <v>540000</v>
      </c>
      <c r="Y376" s="175">
        <f t="shared" si="15"/>
        <v>0</v>
      </c>
    </row>
    <row r="377" spans="1:25" ht="30" x14ac:dyDescent="0.25">
      <c r="A377" s="32"/>
      <c r="B377" s="32"/>
      <c r="C377" s="32"/>
      <c r="D377" s="32">
        <v>5</v>
      </c>
      <c r="E377" s="32">
        <v>2</v>
      </c>
      <c r="F377" s="32">
        <v>2</v>
      </c>
      <c r="G377" s="32"/>
      <c r="H377" s="66" t="str">
        <f>'BID II'!B549</f>
        <v>Belanaja Jasa Honorarium</v>
      </c>
      <c r="I377" s="32"/>
      <c r="J377" s="66"/>
      <c r="K377" s="851" t="s">
        <v>3030</v>
      </c>
      <c r="L377" s="1753"/>
      <c r="M377" s="1753"/>
      <c r="N377" s="1753"/>
      <c r="O377" s="1753"/>
      <c r="P377" s="1758"/>
      <c r="Q377" s="1758"/>
      <c r="R377" s="1758"/>
      <c r="S377" s="1758"/>
      <c r="T377" s="1762"/>
      <c r="U377" s="1762"/>
      <c r="V377" s="1762"/>
      <c r="W377" s="1762"/>
      <c r="X377" s="1750">
        <f t="shared" si="14"/>
        <v>0</v>
      </c>
      <c r="Y377" s="175">
        <f t="shared" si="15"/>
        <v>0</v>
      </c>
    </row>
    <row r="378" spans="1:25" ht="30" x14ac:dyDescent="0.25">
      <c r="A378" s="32"/>
      <c r="B378" s="32"/>
      <c r="C378" s="32"/>
      <c r="D378" s="32"/>
      <c r="E378" s="32"/>
      <c r="F378" s="32"/>
      <c r="G378" s="1340" t="s">
        <v>2706</v>
      </c>
      <c r="H378" s="66" t="str">
        <f>'BID II'!B550</f>
        <v>Belanja Jasa Honorarium Petugas</v>
      </c>
      <c r="I378" s="513">
        <f>'BID II'!F551</f>
        <v>36000000</v>
      </c>
      <c r="J378" s="66" t="s">
        <v>2626</v>
      </c>
      <c r="K378" s="851" t="s">
        <v>3030</v>
      </c>
      <c r="L378" s="1754">
        <v>3000000</v>
      </c>
      <c r="M378" s="1754">
        <v>3000000</v>
      </c>
      <c r="N378" s="1754">
        <v>3000000</v>
      </c>
      <c r="O378" s="1754">
        <v>3000000</v>
      </c>
      <c r="P378" s="1754">
        <v>3000000</v>
      </c>
      <c r="Q378" s="1754">
        <v>3000000</v>
      </c>
      <c r="R378" s="1754">
        <v>3000000</v>
      </c>
      <c r="S378" s="1754">
        <v>3000000</v>
      </c>
      <c r="T378" s="1754">
        <v>3000000</v>
      </c>
      <c r="U378" s="1754">
        <v>3000000</v>
      </c>
      <c r="V378" s="1754">
        <v>3000000</v>
      </c>
      <c r="W378" s="1754">
        <v>3000000</v>
      </c>
      <c r="X378" s="1750">
        <f t="shared" si="14"/>
        <v>36000000</v>
      </c>
      <c r="Y378" s="175">
        <f t="shared" si="15"/>
        <v>0</v>
      </c>
    </row>
    <row r="379" spans="1:25" ht="75" x14ac:dyDescent="0.25">
      <c r="A379" s="1344">
        <v>2</v>
      </c>
      <c r="B379" s="1344">
        <v>2</v>
      </c>
      <c r="C379" s="1346" t="s">
        <v>2703</v>
      </c>
      <c r="D379" s="1344"/>
      <c r="E379" s="1344"/>
      <c r="F379" s="1344"/>
      <c r="G379" s="1344"/>
      <c r="H379" s="1345" t="str">
        <f>'BID II'!B566</f>
        <v xml:space="preserve"> :Penyuluhan dan Pelatiah Bidang Kesehatan (Pendampingan calon pengantin Stunting)</v>
      </c>
      <c r="I379" s="1347">
        <f>SUM(I380:I388)</f>
        <v>6877440</v>
      </c>
      <c r="J379" s="1345" t="s">
        <v>2387</v>
      </c>
      <c r="K379" s="1796" t="s">
        <v>3030</v>
      </c>
      <c r="L379" s="1344"/>
      <c r="M379" s="1344"/>
      <c r="N379" s="1344"/>
      <c r="O379" s="1344"/>
      <c r="P379" s="1344"/>
      <c r="Q379" s="1344"/>
      <c r="R379" s="1344"/>
      <c r="S379" s="1344"/>
      <c r="T379" s="1344"/>
      <c r="U379" s="1344"/>
      <c r="V379" s="1344"/>
      <c r="W379" s="1344"/>
      <c r="X379" s="1353">
        <f t="shared" si="14"/>
        <v>0</v>
      </c>
      <c r="Y379" s="175">
        <f t="shared" si="15"/>
        <v>-6877440</v>
      </c>
    </row>
    <row r="380" spans="1:25" ht="30" x14ac:dyDescent="0.25">
      <c r="A380" s="32"/>
      <c r="B380" s="32"/>
      <c r="C380" s="32"/>
      <c r="D380" s="32"/>
      <c r="E380" s="32"/>
      <c r="F380" s="32"/>
      <c r="G380" s="32"/>
      <c r="H380" s="66" t="str">
        <f>'BID II'!B572</f>
        <v>Pendampingan Calon Pengantin</v>
      </c>
      <c r="I380" s="32"/>
      <c r="J380" s="66"/>
      <c r="K380" s="851" t="s">
        <v>3030</v>
      </c>
      <c r="L380" s="1753"/>
      <c r="M380" s="1753"/>
      <c r="N380" s="1753"/>
      <c r="O380" s="1753"/>
      <c r="P380" s="1758"/>
      <c r="Q380" s="1758"/>
      <c r="R380" s="1758"/>
      <c r="S380" s="1758"/>
      <c r="T380" s="1762"/>
      <c r="U380" s="1762"/>
      <c r="V380" s="1762"/>
      <c r="W380" s="1762"/>
      <c r="X380" s="1750">
        <f t="shared" si="14"/>
        <v>0</v>
      </c>
      <c r="Y380" s="175">
        <f t="shared" si="15"/>
        <v>0</v>
      </c>
    </row>
    <row r="381" spans="1:25" ht="30" x14ac:dyDescent="0.25">
      <c r="A381" s="32"/>
      <c r="B381" s="32"/>
      <c r="C381" s="32"/>
      <c r="D381" s="32">
        <v>5</v>
      </c>
      <c r="E381" s="32">
        <v>2</v>
      </c>
      <c r="F381" s="32"/>
      <c r="G381" s="32"/>
      <c r="H381" s="66" t="str">
        <f>'BID II'!B573</f>
        <v>Belanja Barang Jasa</v>
      </c>
      <c r="I381" s="32"/>
      <c r="J381" s="66"/>
      <c r="K381" s="851" t="s">
        <v>3030</v>
      </c>
      <c r="L381" s="1753"/>
      <c r="M381" s="1753"/>
      <c r="N381" s="1753"/>
      <c r="O381" s="1753"/>
      <c r="P381" s="1758"/>
      <c r="Q381" s="1758"/>
      <c r="R381" s="1758"/>
      <c r="S381" s="1758"/>
      <c r="T381" s="1762"/>
      <c r="U381" s="1762"/>
      <c r="V381" s="1762"/>
      <c r="W381" s="1762"/>
      <c r="X381" s="1750">
        <f t="shared" si="14"/>
        <v>0</v>
      </c>
      <c r="Y381" s="175">
        <f t="shared" si="15"/>
        <v>0</v>
      </c>
    </row>
    <row r="382" spans="1:25" ht="30" x14ac:dyDescent="0.25">
      <c r="A382" s="32"/>
      <c r="B382" s="32"/>
      <c r="C382" s="32"/>
      <c r="D382" s="32"/>
      <c r="E382" s="32"/>
      <c r="F382" s="32">
        <v>1</v>
      </c>
      <c r="G382" s="32"/>
      <c r="H382" s="66" t="str">
        <f>'BID II'!B574</f>
        <v>Belanja Barang Perlengkapan</v>
      </c>
      <c r="I382" s="32"/>
      <c r="J382" s="66"/>
      <c r="K382" s="851" t="s">
        <v>3030</v>
      </c>
      <c r="L382" s="1753"/>
      <c r="M382" s="1753"/>
      <c r="N382" s="1753"/>
      <c r="O382" s="1753"/>
      <c r="P382" s="1758"/>
      <c r="Q382" s="1758"/>
      <c r="R382" s="1758"/>
      <c r="S382" s="1758"/>
      <c r="T382" s="1762"/>
      <c r="U382" s="1762"/>
      <c r="V382" s="1762"/>
      <c r="W382" s="1762"/>
      <c r="X382" s="1750">
        <f t="shared" si="14"/>
        <v>0</v>
      </c>
      <c r="Y382" s="175">
        <f t="shared" si="15"/>
        <v>0</v>
      </c>
    </row>
    <row r="383" spans="1:25" ht="30" x14ac:dyDescent="0.25">
      <c r="A383" s="32"/>
      <c r="B383" s="32"/>
      <c r="C383" s="32"/>
      <c r="D383" s="32"/>
      <c r="E383" s="32"/>
      <c r="F383" s="32"/>
      <c r="G383" s="1340" t="s">
        <v>2688</v>
      </c>
      <c r="H383" s="66" t="str">
        <f>'BID II'!B575</f>
        <v>Belanja Alat Tulis Kantor dan Benda Pos</v>
      </c>
      <c r="I383" s="470">
        <f>SUM('BID II'!F576:F577)</f>
        <v>100500</v>
      </c>
      <c r="J383" s="66" t="s">
        <v>2387</v>
      </c>
      <c r="K383" s="851" t="s">
        <v>3030</v>
      </c>
      <c r="L383" s="1753"/>
      <c r="M383" s="1753"/>
      <c r="N383" s="1754">
        <v>100500</v>
      </c>
      <c r="O383" s="1753"/>
      <c r="P383" s="1758"/>
      <c r="Q383" s="1758"/>
      <c r="R383" s="1758"/>
      <c r="S383" s="1758"/>
      <c r="T383" s="1762"/>
      <c r="U383" s="1762"/>
      <c r="V383" s="1762"/>
      <c r="W383" s="1762"/>
      <c r="X383" s="1750">
        <f t="shared" si="14"/>
        <v>100500</v>
      </c>
      <c r="Y383" s="175">
        <f t="shared" si="15"/>
        <v>0</v>
      </c>
    </row>
    <row r="384" spans="1:25" ht="30" x14ac:dyDescent="0.25">
      <c r="A384" s="32"/>
      <c r="B384" s="32"/>
      <c r="C384" s="32"/>
      <c r="D384" s="32"/>
      <c r="E384" s="32"/>
      <c r="F384" s="32"/>
      <c r="G384" s="1340" t="s">
        <v>2708</v>
      </c>
      <c r="H384" s="32" t="str">
        <f>'BID II'!B579</f>
        <v>Belanja Bahan Material</v>
      </c>
      <c r="I384" s="470">
        <f>SUM('BID II'!F580:F581)</f>
        <v>686940</v>
      </c>
      <c r="J384" s="66" t="s">
        <v>2387</v>
      </c>
      <c r="K384" s="851" t="s">
        <v>3030</v>
      </c>
      <c r="L384" s="1753"/>
      <c r="M384" s="1753"/>
      <c r="N384" s="1754">
        <v>686940</v>
      </c>
      <c r="O384" s="1753"/>
      <c r="P384" s="1758"/>
      <c r="Q384" s="1758"/>
      <c r="R384" s="1758"/>
      <c r="S384" s="1758"/>
      <c r="T384" s="1762"/>
      <c r="U384" s="1762"/>
      <c r="V384" s="1762"/>
      <c r="W384" s="1762"/>
      <c r="X384" s="1750">
        <f t="shared" si="14"/>
        <v>686940</v>
      </c>
      <c r="Y384" s="175">
        <f t="shared" si="15"/>
        <v>0</v>
      </c>
    </row>
    <row r="385" spans="1:25" ht="30" x14ac:dyDescent="0.25">
      <c r="A385" s="32"/>
      <c r="B385" s="32"/>
      <c r="C385" s="32"/>
      <c r="D385" s="32"/>
      <c r="E385" s="32"/>
      <c r="F385" s="32"/>
      <c r="G385" s="1340" t="s">
        <v>2705</v>
      </c>
      <c r="H385" s="66" t="str">
        <f>'BID II'!B583</f>
        <v>Belanja Perlengkapan Barang Konsumsi</v>
      </c>
      <c r="I385" s="174">
        <f>SUM('BID II'!F584)</f>
        <v>1500000</v>
      </c>
      <c r="J385" s="66" t="s">
        <v>2387</v>
      </c>
      <c r="K385" s="851" t="s">
        <v>3030</v>
      </c>
      <c r="L385" s="1753"/>
      <c r="M385" s="1753"/>
      <c r="N385" s="1754">
        <v>1500000</v>
      </c>
      <c r="O385" s="1753"/>
      <c r="P385" s="1758"/>
      <c r="Q385" s="1758"/>
      <c r="R385" s="1758"/>
      <c r="S385" s="1758"/>
      <c r="T385" s="1762"/>
      <c r="U385" s="1762"/>
      <c r="V385" s="1762"/>
      <c r="W385" s="1762"/>
      <c r="X385" s="1750">
        <f t="shared" si="14"/>
        <v>1500000</v>
      </c>
      <c r="Y385" s="175">
        <f t="shared" si="15"/>
        <v>0</v>
      </c>
    </row>
    <row r="386" spans="1:25" ht="30" x14ac:dyDescent="0.25">
      <c r="A386" s="32"/>
      <c r="B386" s="32"/>
      <c r="C386" s="32"/>
      <c r="D386" s="32"/>
      <c r="E386" s="32"/>
      <c r="F386" s="32"/>
      <c r="G386" s="1340" t="s">
        <v>2707</v>
      </c>
      <c r="H386" s="66" t="str">
        <f>'BID II'!B586</f>
        <v>Belanja Bendera/ Umbul-umbul/ Spanduk</v>
      </c>
      <c r="I386" s="174">
        <f>'BID II'!F587</f>
        <v>90000</v>
      </c>
      <c r="J386" s="66" t="s">
        <v>2387</v>
      </c>
      <c r="K386" s="851" t="s">
        <v>3030</v>
      </c>
      <c r="L386" s="1753"/>
      <c r="M386" s="1753"/>
      <c r="N386" s="1754">
        <v>90000</v>
      </c>
      <c r="O386" s="1753"/>
      <c r="P386" s="1758"/>
      <c r="Q386" s="1758"/>
      <c r="R386" s="1758"/>
      <c r="S386" s="1758"/>
      <c r="T386" s="1762"/>
      <c r="U386" s="1762"/>
      <c r="V386" s="1762"/>
      <c r="W386" s="1762"/>
      <c r="X386" s="1750">
        <f t="shared" si="14"/>
        <v>90000</v>
      </c>
      <c r="Y386" s="175">
        <f t="shared" si="15"/>
        <v>0</v>
      </c>
    </row>
    <row r="387" spans="1:25" ht="30" x14ac:dyDescent="0.25">
      <c r="A387" s="32"/>
      <c r="B387" s="32"/>
      <c r="C387" s="32"/>
      <c r="D387" s="32">
        <v>5</v>
      </c>
      <c r="E387" s="32">
        <v>2</v>
      </c>
      <c r="F387" s="32">
        <v>2</v>
      </c>
      <c r="G387" s="32"/>
      <c r="H387" s="66" t="str">
        <f>'BID II'!B590</f>
        <v>Belanja Jasa Honorarium</v>
      </c>
      <c r="I387" s="32"/>
      <c r="J387" s="66"/>
      <c r="K387" s="851" t="s">
        <v>3030</v>
      </c>
      <c r="L387" s="1753"/>
      <c r="M387" s="1753"/>
      <c r="N387" s="1753"/>
      <c r="O387" s="1753"/>
      <c r="P387" s="1758"/>
      <c r="Q387" s="1758"/>
      <c r="R387" s="1758"/>
      <c r="S387" s="1758"/>
      <c r="T387" s="1762"/>
      <c r="U387" s="1762"/>
      <c r="V387" s="1762"/>
      <c r="W387" s="1762"/>
      <c r="X387" s="1750">
        <f t="shared" si="14"/>
        <v>0</v>
      </c>
      <c r="Y387" s="175">
        <f t="shared" si="15"/>
        <v>0</v>
      </c>
    </row>
    <row r="388" spans="1:25" ht="60" x14ac:dyDescent="0.25">
      <c r="A388" s="32"/>
      <c r="B388" s="32"/>
      <c r="C388" s="32"/>
      <c r="D388" s="32"/>
      <c r="E388" s="32"/>
      <c r="F388" s="32"/>
      <c r="G388" s="1340" t="s">
        <v>2704</v>
      </c>
      <c r="H388" s="66" t="str">
        <f>'BID II'!B592</f>
        <v>Belanja Jasa Honorarium Ahli/ Profesi/Konsultan/Narasumber</v>
      </c>
      <c r="I388" s="174">
        <f>SUM('BID II'!F593:F594)</f>
        <v>4500000</v>
      </c>
      <c r="J388" s="66" t="s">
        <v>2387</v>
      </c>
      <c r="K388" s="851" t="s">
        <v>3030</v>
      </c>
      <c r="L388" s="1753"/>
      <c r="M388" s="1753"/>
      <c r="N388" s="1754">
        <v>1500000</v>
      </c>
      <c r="O388" s="1753"/>
      <c r="P388" s="1758"/>
      <c r="Q388" s="1754">
        <v>1500000</v>
      </c>
      <c r="R388" s="1758"/>
      <c r="S388" s="1758"/>
      <c r="T388" s="1754">
        <v>1500000</v>
      </c>
      <c r="U388" s="1762"/>
      <c r="V388" s="1762"/>
      <c r="W388" s="1762"/>
      <c r="X388" s="1750">
        <f t="shared" si="14"/>
        <v>4500000</v>
      </c>
      <c r="Y388" s="175">
        <f t="shared" si="15"/>
        <v>0</v>
      </c>
    </row>
    <row r="389" spans="1:25" ht="60" x14ac:dyDescent="0.25">
      <c r="A389" s="1344">
        <v>2</v>
      </c>
      <c r="B389" s="1344">
        <v>2</v>
      </c>
      <c r="C389" s="1346" t="s">
        <v>2703</v>
      </c>
      <c r="D389" s="1344"/>
      <c r="E389" s="1344"/>
      <c r="F389" s="1344"/>
      <c r="G389" s="1344"/>
      <c r="H389" s="1345" t="str">
        <f>'BID II'!B650</f>
        <v>: Penyuluhan dan Pelatihan Bidang Kesehatan (Pembinaan Kader POSyandu)</v>
      </c>
      <c r="I389" s="1347">
        <f>SUM(I390:I400)</f>
        <v>31525000</v>
      </c>
      <c r="J389" s="1345"/>
      <c r="K389" s="1796" t="s">
        <v>3030</v>
      </c>
      <c r="L389" s="1344"/>
      <c r="M389" s="1344"/>
      <c r="N389" s="1344"/>
      <c r="O389" s="1344"/>
      <c r="P389" s="1344"/>
      <c r="Q389" s="1344"/>
      <c r="R389" s="1344"/>
      <c r="S389" s="1344"/>
      <c r="T389" s="1344"/>
      <c r="U389" s="1344"/>
      <c r="V389" s="1344"/>
      <c r="W389" s="1344"/>
      <c r="X389" s="1353">
        <f t="shared" si="14"/>
        <v>0</v>
      </c>
      <c r="Y389" s="175">
        <f t="shared" si="15"/>
        <v>-31525000</v>
      </c>
    </row>
    <row r="390" spans="1:25" ht="30" x14ac:dyDescent="0.25">
      <c r="A390" s="32"/>
      <c r="B390" s="32"/>
      <c r="C390" s="32"/>
      <c r="D390" s="32">
        <v>5</v>
      </c>
      <c r="E390" s="32">
        <v>2</v>
      </c>
      <c r="F390" s="32"/>
      <c r="G390" s="32"/>
      <c r="H390" s="66" t="str">
        <f>'BID II'!B655</f>
        <v>Belanja Barang dan Jasa</v>
      </c>
      <c r="I390" s="32"/>
      <c r="J390" s="66"/>
      <c r="K390" s="851" t="s">
        <v>3030</v>
      </c>
      <c r="L390" s="1753"/>
      <c r="M390" s="1753"/>
      <c r="N390" s="1753"/>
      <c r="O390" s="1753"/>
      <c r="P390" s="1758"/>
      <c r="Q390" s="1758"/>
      <c r="R390" s="1758"/>
      <c r="S390" s="1758"/>
      <c r="T390" s="1762"/>
      <c r="U390" s="1762"/>
      <c r="V390" s="1762"/>
      <c r="W390" s="1762"/>
      <c r="X390" s="1750">
        <f t="shared" si="14"/>
        <v>0</v>
      </c>
      <c r="Y390" s="175">
        <f t="shared" si="15"/>
        <v>0</v>
      </c>
    </row>
    <row r="391" spans="1:25" ht="30" x14ac:dyDescent="0.25">
      <c r="A391" s="32"/>
      <c r="B391" s="32"/>
      <c r="C391" s="32"/>
      <c r="D391" s="32"/>
      <c r="E391" s="32"/>
      <c r="F391" s="32">
        <v>1</v>
      </c>
      <c r="G391" s="32"/>
      <c r="H391" s="66" t="str">
        <f>'BID II'!B656</f>
        <v>Belanaja Barang Pelengkapan</v>
      </c>
      <c r="I391" s="32"/>
      <c r="J391" s="66"/>
      <c r="K391" s="851" t="s">
        <v>3030</v>
      </c>
      <c r="L391" s="1753"/>
      <c r="M391" s="1753"/>
      <c r="N391" s="1753"/>
      <c r="O391" s="1753"/>
      <c r="P391" s="1758"/>
      <c r="Q391" s="1758"/>
      <c r="R391" s="1758"/>
      <c r="S391" s="1758"/>
      <c r="T391" s="1762"/>
      <c r="U391" s="1762"/>
      <c r="V391" s="1762"/>
      <c r="W391" s="1762"/>
      <c r="X391" s="1750">
        <f t="shared" si="14"/>
        <v>0</v>
      </c>
      <c r="Y391" s="175">
        <f t="shared" si="15"/>
        <v>0</v>
      </c>
    </row>
    <row r="392" spans="1:25" ht="30" x14ac:dyDescent="0.25">
      <c r="A392" s="32"/>
      <c r="B392" s="32"/>
      <c r="C392" s="32"/>
      <c r="D392" s="32"/>
      <c r="E392" s="32"/>
      <c r="F392" s="32"/>
      <c r="G392" s="1340" t="s">
        <v>2688</v>
      </c>
      <c r="H392" s="66" t="str">
        <f>'BID II'!B657</f>
        <v>Perlangakapan Alat Tulis Kantor dan Benda POS</v>
      </c>
      <c r="I392" s="174">
        <f>SUM('BID II'!F658:F660)</f>
        <v>895000</v>
      </c>
      <c r="J392" s="66" t="s">
        <v>2387</v>
      </c>
      <c r="K392" s="851" t="s">
        <v>3030</v>
      </c>
      <c r="L392" s="1753"/>
      <c r="M392" s="1753"/>
      <c r="N392" s="1753"/>
      <c r="O392" s="1753"/>
      <c r="P392" s="1759">
        <v>895000</v>
      </c>
      <c r="Q392" s="1758"/>
      <c r="R392" s="1758"/>
      <c r="S392" s="1758"/>
      <c r="T392" s="1762"/>
      <c r="U392" s="1762"/>
      <c r="V392" s="1762"/>
      <c r="W392" s="1762"/>
      <c r="X392" s="1750">
        <f t="shared" si="14"/>
        <v>895000</v>
      </c>
      <c r="Y392" s="175">
        <f t="shared" si="15"/>
        <v>0</v>
      </c>
    </row>
    <row r="393" spans="1:25" ht="30" x14ac:dyDescent="0.25">
      <c r="A393" s="32"/>
      <c r="B393" s="32"/>
      <c r="C393" s="32"/>
      <c r="D393" s="32"/>
      <c r="E393" s="32"/>
      <c r="F393" s="32"/>
      <c r="G393" s="1340" t="s">
        <v>2705</v>
      </c>
      <c r="H393" s="66" t="str">
        <f>'BID II'!B662</f>
        <v>Belanja Perlengkapan Barang Konsumsi</v>
      </c>
      <c r="I393" s="174">
        <f>SUM('BID II'!F663)</f>
        <v>1065000</v>
      </c>
      <c r="J393" s="66" t="s">
        <v>2387</v>
      </c>
      <c r="K393" s="851" t="s">
        <v>3030</v>
      </c>
      <c r="L393" s="1753"/>
      <c r="M393" s="1753"/>
      <c r="N393" s="1753"/>
      <c r="O393" s="1753"/>
      <c r="P393" s="1759">
        <v>1065000</v>
      </c>
      <c r="Q393" s="1758"/>
      <c r="R393" s="1758"/>
      <c r="S393" s="1758"/>
      <c r="T393" s="1762"/>
      <c r="U393" s="1762"/>
      <c r="V393" s="1762"/>
      <c r="W393" s="1762"/>
      <c r="X393" s="1750">
        <f t="shared" si="14"/>
        <v>1065000</v>
      </c>
      <c r="Y393" s="175">
        <f t="shared" si="15"/>
        <v>0</v>
      </c>
    </row>
    <row r="394" spans="1:25" ht="30" x14ac:dyDescent="0.25">
      <c r="A394" s="32"/>
      <c r="B394" s="32"/>
      <c r="C394" s="32"/>
      <c r="D394" s="32"/>
      <c r="E394" s="32"/>
      <c r="F394" s="32"/>
      <c r="G394" s="1340" t="s">
        <v>2707</v>
      </c>
      <c r="H394" s="66" t="str">
        <f>'BID II'!B665</f>
        <v>Belanja Bendera/Umbul - umbul Spanduk</v>
      </c>
      <c r="I394" s="174">
        <f>'BID II'!F666</f>
        <v>90000</v>
      </c>
      <c r="J394" s="66" t="s">
        <v>2387</v>
      </c>
      <c r="K394" s="851" t="s">
        <v>3030</v>
      </c>
      <c r="L394" s="1753"/>
      <c r="M394" s="1753"/>
      <c r="N394" s="1753"/>
      <c r="O394" s="1753"/>
      <c r="P394" s="1759">
        <v>90000</v>
      </c>
      <c r="Q394" s="1758"/>
      <c r="R394" s="1758"/>
      <c r="S394" s="1758"/>
      <c r="T394" s="1762"/>
      <c r="U394" s="1762"/>
      <c r="V394" s="1762"/>
      <c r="W394" s="1762"/>
      <c r="X394" s="1750">
        <f t="shared" si="14"/>
        <v>90000</v>
      </c>
      <c r="Y394" s="175">
        <f t="shared" si="15"/>
        <v>0</v>
      </c>
    </row>
    <row r="395" spans="1:25" ht="30" x14ac:dyDescent="0.25">
      <c r="A395" s="32"/>
      <c r="B395" s="32"/>
      <c r="C395" s="32"/>
      <c r="D395" s="32"/>
      <c r="E395" s="32"/>
      <c r="F395" s="32"/>
      <c r="G395" s="1340" t="s">
        <v>2709</v>
      </c>
      <c r="H395" s="66" t="str">
        <f>'BID II'!B668</f>
        <v>Belanja Pakaian Dinas/ Seragam/ Atribut</v>
      </c>
      <c r="I395" s="32"/>
      <c r="J395" s="66"/>
      <c r="K395" s="851" t="s">
        <v>3030</v>
      </c>
      <c r="L395" s="1753"/>
      <c r="M395" s="1753"/>
      <c r="N395" s="1753"/>
      <c r="O395" s="1753"/>
      <c r="P395" s="1759"/>
      <c r="Q395" s="1758"/>
      <c r="R395" s="1758"/>
      <c r="S395" s="1758"/>
      <c r="T395" s="1762"/>
      <c r="U395" s="1762"/>
      <c r="V395" s="1762"/>
      <c r="W395" s="1762"/>
      <c r="X395" s="1750">
        <f t="shared" si="14"/>
        <v>0</v>
      </c>
      <c r="Y395" s="175">
        <f t="shared" si="15"/>
        <v>0</v>
      </c>
    </row>
    <row r="396" spans="1:25" ht="30" x14ac:dyDescent="0.25">
      <c r="A396" s="32"/>
      <c r="B396" s="32"/>
      <c r="C396" s="32"/>
      <c r="D396" s="32"/>
      <c r="E396" s="32"/>
      <c r="F396" s="32"/>
      <c r="G396" s="32">
        <v>90</v>
      </c>
      <c r="H396" s="66" t="str">
        <f>'BID II'!B670</f>
        <v>Belanja Upakara, Upacara Dan Aci-Aci</v>
      </c>
      <c r="I396" s="174">
        <f>SUM('BID II'!F671:F673)</f>
        <v>75000</v>
      </c>
      <c r="J396" s="66" t="s">
        <v>2387</v>
      </c>
      <c r="K396" s="851" t="s">
        <v>3030</v>
      </c>
      <c r="L396" s="1753"/>
      <c r="M396" s="1753"/>
      <c r="N396" s="1753"/>
      <c r="O396" s="1753"/>
      <c r="P396" s="1759">
        <v>75000</v>
      </c>
      <c r="Q396" s="1758"/>
      <c r="R396" s="1758"/>
      <c r="S396" s="1758"/>
      <c r="T396" s="1762"/>
      <c r="U396" s="1762"/>
      <c r="V396" s="1762"/>
      <c r="W396" s="1762"/>
      <c r="X396" s="1750">
        <f t="shared" si="14"/>
        <v>75000</v>
      </c>
      <c r="Y396" s="175">
        <f t="shared" si="15"/>
        <v>0</v>
      </c>
    </row>
    <row r="397" spans="1:25" ht="30" x14ac:dyDescent="0.25">
      <c r="A397" s="32"/>
      <c r="B397" s="32"/>
      <c r="C397" s="32"/>
      <c r="D397" s="32">
        <v>5</v>
      </c>
      <c r="E397" s="32">
        <v>2</v>
      </c>
      <c r="F397" s="32">
        <v>2</v>
      </c>
      <c r="G397" s="32"/>
      <c r="H397" s="66" t="str">
        <f>'BID II'!B675</f>
        <v>Belanja Jasa Honorarium</v>
      </c>
      <c r="I397" s="32"/>
      <c r="J397" s="66"/>
      <c r="K397" s="851" t="s">
        <v>3030</v>
      </c>
      <c r="L397" s="1753"/>
      <c r="M397" s="1753"/>
      <c r="N397" s="1753"/>
      <c r="O397" s="1753"/>
      <c r="P397" s="1759"/>
      <c r="Q397" s="1758"/>
      <c r="R397" s="1758"/>
      <c r="S397" s="1758"/>
      <c r="T397" s="1762"/>
      <c r="U397" s="1762"/>
      <c r="V397" s="1762"/>
      <c r="W397" s="1762"/>
      <c r="X397" s="1750">
        <f t="shared" si="14"/>
        <v>0</v>
      </c>
      <c r="Y397" s="175">
        <f t="shared" si="15"/>
        <v>0</v>
      </c>
    </row>
    <row r="398" spans="1:25" ht="60" x14ac:dyDescent="0.25">
      <c r="A398" s="32"/>
      <c r="B398" s="32"/>
      <c r="C398" s="32"/>
      <c r="D398" s="32"/>
      <c r="E398" s="32"/>
      <c r="F398" s="32"/>
      <c r="G398" s="1340" t="s">
        <v>2704</v>
      </c>
      <c r="H398" s="66" t="str">
        <f>'BID II'!B676</f>
        <v>Belanja Jasa Honorarium Ahli/ Profesi/Konsultan/Narasumber</v>
      </c>
      <c r="I398" s="174">
        <f>SUM('BID II'!F677)</f>
        <v>600000</v>
      </c>
      <c r="J398" s="66" t="s">
        <v>2625</v>
      </c>
      <c r="K398" s="851" t="s">
        <v>3030</v>
      </c>
      <c r="L398" s="1753"/>
      <c r="M398" s="1753"/>
      <c r="N398" s="1753"/>
      <c r="O398" s="1753"/>
      <c r="P398" s="1759">
        <v>600000</v>
      </c>
      <c r="Q398" s="1758"/>
      <c r="R398" s="1758"/>
      <c r="S398" s="1758"/>
      <c r="T398" s="1762"/>
      <c r="U398" s="1762"/>
      <c r="V398" s="1762"/>
      <c r="W398" s="1762"/>
      <c r="X398" s="1750">
        <f t="shared" si="14"/>
        <v>600000</v>
      </c>
      <c r="Y398" s="175">
        <f t="shared" si="15"/>
        <v>0</v>
      </c>
    </row>
    <row r="399" spans="1:25" ht="30" x14ac:dyDescent="0.25">
      <c r="A399" s="32"/>
      <c r="B399" s="32"/>
      <c r="C399" s="32"/>
      <c r="D399" s="32">
        <v>5</v>
      </c>
      <c r="E399" s="32">
        <v>2</v>
      </c>
      <c r="F399" s="32">
        <v>4</v>
      </c>
      <c r="G399" s="1340"/>
      <c r="H399" s="66" t="str">
        <f>'BID II'!B679</f>
        <v>Belanja Jasa Sewa</v>
      </c>
      <c r="I399" s="174"/>
      <c r="J399" s="66"/>
      <c r="K399" s="851" t="s">
        <v>3030</v>
      </c>
      <c r="L399" s="1753"/>
      <c r="M399" s="1753"/>
      <c r="N399" s="1753"/>
      <c r="O399" s="1753"/>
      <c r="P399" s="1759"/>
      <c r="Q399" s="1758"/>
      <c r="R399" s="1758"/>
      <c r="S399" s="1758"/>
      <c r="T399" s="1762"/>
      <c r="U399" s="1762"/>
      <c r="V399" s="1762"/>
      <c r="W399" s="1762"/>
      <c r="X399" s="1750">
        <f t="shared" si="14"/>
        <v>0</v>
      </c>
      <c r="Y399" s="175">
        <f t="shared" si="15"/>
        <v>0</v>
      </c>
    </row>
    <row r="400" spans="1:25" ht="30" x14ac:dyDescent="0.25">
      <c r="A400" s="32"/>
      <c r="B400" s="32"/>
      <c r="C400" s="32"/>
      <c r="D400" s="32"/>
      <c r="E400" s="32"/>
      <c r="F400" s="32"/>
      <c r="G400" s="1340" t="s">
        <v>2703</v>
      </c>
      <c r="H400" s="66" t="str">
        <f>'BID II'!B681</f>
        <v>Outbond Kader Posyandu</v>
      </c>
      <c r="I400" s="174">
        <f>'BID II'!F681</f>
        <v>28800000</v>
      </c>
      <c r="J400" s="66" t="s">
        <v>2620</v>
      </c>
      <c r="K400" s="851" t="s">
        <v>3030</v>
      </c>
      <c r="L400" s="1753"/>
      <c r="M400" s="1753"/>
      <c r="N400" s="1753"/>
      <c r="O400" s="1753"/>
      <c r="P400" s="1759">
        <v>28800000</v>
      </c>
      <c r="Q400" s="1758"/>
      <c r="R400" s="1758"/>
      <c r="S400" s="1758"/>
      <c r="T400" s="1762"/>
      <c r="U400" s="1762"/>
      <c r="V400" s="1762"/>
      <c r="W400" s="1762"/>
      <c r="X400" s="1750">
        <f t="shared" si="14"/>
        <v>28800000</v>
      </c>
      <c r="Y400" s="175">
        <f t="shared" si="15"/>
        <v>0</v>
      </c>
    </row>
    <row r="401" spans="1:25" ht="60" x14ac:dyDescent="0.25">
      <c r="A401" s="1344">
        <v>2</v>
      </c>
      <c r="B401" s="1344">
        <v>2</v>
      </c>
      <c r="C401" s="1346" t="s">
        <v>2703</v>
      </c>
      <c r="D401" s="1344"/>
      <c r="E401" s="1344"/>
      <c r="F401" s="1344"/>
      <c r="G401" s="1344"/>
      <c r="H401" s="1345" t="str">
        <f>'BID II'!B697</f>
        <v>: Penyuluhan dan Pelatihan Bidang Kesehatan (Penyuluhan Narkoba dan HIV/AIDS)</v>
      </c>
      <c r="I401" s="1347">
        <f>SUM(I402:I411)</f>
        <v>18340000</v>
      </c>
      <c r="J401" s="1345" t="s">
        <v>1682</v>
      </c>
      <c r="K401" s="1796" t="s">
        <v>3030</v>
      </c>
      <c r="L401" s="1344"/>
      <c r="M401" s="1344"/>
      <c r="N401" s="1344"/>
      <c r="O401" s="1344"/>
      <c r="P401" s="1344"/>
      <c r="Q401" s="1344"/>
      <c r="R401" s="1344"/>
      <c r="S401" s="1344"/>
      <c r="T401" s="1344"/>
      <c r="U401" s="1344"/>
      <c r="V401" s="1344"/>
      <c r="W401" s="1344"/>
      <c r="X401" s="1353">
        <f t="shared" si="14"/>
        <v>0</v>
      </c>
      <c r="Y401" s="175">
        <f t="shared" si="15"/>
        <v>-18340000</v>
      </c>
    </row>
    <row r="402" spans="1:25" ht="30" x14ac:dyDescent="0.25">
      <c r="A402" s="32"/>
      <c r="B402" s="32"/>
      <c r="C402" s="32"/>
      <c r="D402" s="32">
        <v>5</v>
      </c>
      <c r="E402" s="32">
        <v>2</v>
      </c>
      <c r="F402" s="32"/>
      <c r="G402" s="32"/>
      <c r="H402" s="66" t="str">
        <f>'BID II'!B703</f>
        <v>Belanja Barang Jasa</v>
      </c>
      <c r="I402" s="32"/>
      <c r="J402" s="66"/>
      <c r="K402" s="851" t="s">
        <v>3030</v>
      </c>
      <c r="L402" s="1753"/>
      <c r="M402" s="1753"/>
      <c r="N402" s="1753"/>
      <c r="O402" s="1753"/>
      <c r="P402" s="1758"/>
      <c r="Q402" s="1758"/>
      <c r="R402" s="1758"/>
      <c r="S402" s="1758"/>
      <c r="T402" s="1762"/>
      <c r="U402" s="1762"/>
      <c r="V402" s="1762"/>
      <c r="W402" s="1762"/>
      <c r="X402" s="1750">
        <f t="shared" si="14"/>
        <v>0</v>
      </c>
      <c r="Y402" s="175">
        <f t="shared" si="15"/>
        <v>0</v>
      </c>
    </row>
    <row r="403" spans="1:25" ht="30" x14ac:dyDescent="0.25">
      <c r="A403" s="32"/>
      <c r="B403" s="32"/>
      <c r="C403" s="32"/>
      <c r="D403" s="32"/>
      <c r="E403" s="32"/>
      <c r="F403" s="32">
        <v>1</v>
      </c>
      <c r="G403" s="32"/>
      <c r="H403" s="66" t="str">
        <f>'BID II'!B704</f>
        <v>Belanja Barang Perlengkapan</v>
      </c>
      <c r="I403" s="32"/>
      <c r="J403" s="66"/>
      <c r="K403" s="851" t="s">
        <v>3030</v>
      </c>
      <c r="L403" s="1753"/>
      <c r="M403" s="1753"/>
      <c r="N403" s="1753"/>
      <c r="O403" s="1753"/>
      <c r="P403" s="1758"/>
      <c r="Q403" s="1758"/>
      <c r="R403" s="1758"/>
      <c r="S403" s="1758"/>
      <c r="T403" s="1762"/>
      <c r="U403" s="1762"/>
      <c r="V403" s="1762"/>
      <c r="W403" s="1762"/>
      <c r="X403" s="1750">
        <f t="shared" si="14"/>
        <v>0</v>
      </c>
      <c r="Y403" s="175">
        <f t="shared" si="15"/>
        <v>0</v>
      </c>
    </row>
    <row r="404" spans="1:25" ht="30" x14ac:dyDescent="0.25">
      <c r="A404" s="32"/>
      <c r="B404" s="32"/>
      <c r="C404" s="32"/>
      <c r="D404" s="32"/>
      <c r="E404" s="32"/>
      <c r="F404" s="32"/>
      <c r="G404" s="1340" t="s">
        <v>2688</v>
      </c>
      <c r="H404" s="66" t="str">
        <f>'BID II'!B705</f>
        <v>Belanja Alat Tulis Kantor dan Benda Pos</v>
      </c>
      <c r="I404" s="174">
        <f>SUM('BID II'!F706)</f>
        <v>2250000</v>
      </c>
      <c r="J404" s="66" t="s">
        <v>1682</v>
      </c>
      <c r="K404" s="851" t="s">
        <v>3030</v>
      </c>
      <c r="L404" s="1753"/>
      <c r="M404" s="1753"/>
      <c r="N404" s="1753"/>
      <c r="O404" s="1753"/>
      <c r="P404" s="1759">
        <v>2250000</v>
      </c>
      <c r="Q404" s="1758"/>
      <c r="R404" s="1758"/>
      <c r="S404" s="1758"/>
      <c r="T404" s="1762"/>
      <c r="U404" s="1762"/>
      <c r="V404" s="1762"/>
      <c r="W404" s="1762"/>
      <c r="X404" s="1750">
        <f t="shared" si="14"/>
        <v>2250000</v>
      </c>
      <c r="Y404" s="175">
        <f t="shared" si="15"/>
        <v>0</v>
      </c>
    </row>
    <row r="405" spans="1:25" ht="30" x14ac:dyDescent="0.25">
      <c r="A405" s="32"/>
      <c r="B405" s="32"/>
      <c r="C405" s="32"/>
      <c r="D405" s="32"/>
      <c r="E405" s="32"/>
      <c r="F405" s="32"/>
      <c r="G405" s="1340" t="s">
        <v>2705</v>
      </c>
      <c r="H405" s="66" t="str">
        <f>'BID II'!B708</f>
        <v>Belanja Perlengkapan Barang Konsumsi</v>
      </c>
      <c r="I405" s="174">
        <f>'BID II'!F709</f>
        <v>600000</v>
      </c>
      <c r="J405" s="66" t="s">
        <v>1682</v>
      </c>
      <c r="K405" s="851" t="s">
        <v>3030</v>
      </c>
      <c r="L405" s="1753"/>
      <c r="M405" s="1753"/>
      <c r="N405" s="1753"/>
      <c r="O405" s="1753"/>
      <c r="P405" s="1759">
        <v>600000</v>
      </c>
      <c r="Q405" s="1758"/>
      <c r="R405" s="1758"/>
      <c r="S405" s="1758"/>
      <c r="T405" s="1762"/>
      <c r="U405" s="1762"/>
      <c r="V405" s="1762"/>
      <c r="W405" s="1762"/>
      <c r="X405" s="1750">
        <f t="shared" si="14"/>
        <v>600000</v>
      </c>
      <c r="Y405" s="175">
        <f t="shared" si="15"/>
        <v>0</v>
      </c>
    </row>
    <row r="406" spans="1:25" ht="30" x14ac:dyDescent="0.25">
      <c r="A406" s="32"/>
      <c r="B406" s="32"/>
      <c r="C406" s="32"/>
      <c r="D406" s="32"/>
      <c r="E406" s="32"/>
      <c r="F406" s="32"/>
      <c r="G406" s="1340" t="s">
        <v>2707</v>
      </c>
      <c r="H406" s="66" t="str">
        <f>'BID II'!B711</f>
        <v>Belanja Bendera/ Umbul-umbul/ Spanduk</v>
      </c>
      <c r="I406" s="174">
        <f>'BID II'!F712</f>
        <v>90000</v>
      </c>
      <c r="J406" s="66" t="s">
        <v>1682</v>
      </c>
      <c r="K406" s="851" t="s">
        <v>3030</v>
      </c>
      <c r="L406" s="1753"/>
      <c r="M406" s="1753"/>
      <c r="N406" s="1753"/>
      <c r="O406" s="1753"/>
      <c r="P406" s="1759">
        <v>90000</v>
      </c>
      <c r="Q406" s="1758"/>
      <c r="R406" s="1758"/>
      <c r="S406" s="1758"/>
      <c r="T406" s="1762"/>
      <c r="U406" s="1762"/>
      <c r="V406" s="1762"/>
      <c r="W406" s="1762"/>
      <c r="X406" s="1750">
        <f t="shared" si="14"/>
        <v>90000</v>
      </c>
      <c r="Y406" s="175">
        <f t="shared" si="15"/>
        <v>0</v>
      </c>
    </row>
    <row r="407" spans="1:25" ht="30" x14ac:dyDescent="0.25">
      <c r="A407" s="32"/>
      <c r="B407" s="32"/>
      <c r="C407" s="32"/>
      <c r="D407" s="32">
        <v>5</v>
      </c>
      <c r="E407" s="32">
        <v>2</v>
      </c>
      <c r="F407" s="32">
        <v>2</v>
      </c>
      <c r="G407" s="32"/>
      <c r="H407" s="66" t="str">
        <f>'BID II'!B714</f>
        <v>Belanja Jasa Honorarium</v>
      </c>
      <c r="I407" s="32"/>
      <c r="J407" s="66"/>
      <c r="K407" s="851" t="s">
        <v>3030</v>
      </c>
      <c r="L407" s="1753"/>
      <c r="M407" s="1753"/>
      <c r="N407" s="1753"/>
      <c r="O407" s="1753"/>
      <c r="P407" s="1759"/>
      <c r="Q407" s="1758"/>
      <c r="R407" s="1758"/>
      <c r="S407" s="1758"/>
      <c r="T407" s="1762"/>
      <c r="U407" s="1762"/>
      <c r="V407" s="1762"/>
      <c r="W407" s="1762"/>
      <c r="X407" s="1750">
        <f t="shared" si="14"/>
        <v>0</v>
      </c>
      <c r="Y407" s="175">
        <f t="shared" si="15"/>
        <v>0</v>
      </c>
    </row>
    <row r="408" spans="1:25" ht="45" x14ac:dyDescent="0.25">
      <c r="A408" s="32"/>
      <c r="B408" s="32"/>
      <c r="C408" s="32"/>
      <c r="D408" s="32"/>
      <c r="E408" s="32"/>
      <c r="F408" s="32"/>
      <c r="G408" s="1340" t="s">
        <v>2688</v>
      </c>
      <c r="H408" s="66" t="str">
        <f>'BID II'!B715</f>
        <v>Belanja Jasa Honorarium Tim yang Melaksanakan Kegiatan (TPK )</v>
      </c>
      <c r="I408" s="174">
        <f>SUM('BID II'!F716:F718)</f>
        <v>1150000</v>
      </c>
      <c r="J408" s="66" t="s">
        <v>1682</v>
      </c>
      <c r="K408" s="851" t="s">
        <v>3030</v>
      </c>
      <c r="L408" s="1753"/>
      <c r="M408" s="1753"/>
      <c r="N408" s="1753"/>
      <c r="O408" s="1753"/>
      <c r="P408" s="1759">
        <v>1150000</v>
      </c>
      <c r="Q408" s="1758"/>
      <c r="R408" s="1758"/>
      <c r="S408" s="1758"/>
      <c r="T408" s="1762"/>
      <c r="U408" s="1762"/>
      <c r="V408" s="1762"/>
      <c r="W408" s="1762"/>
      <c r="X408" s="1750">
        <f t="shared" si="14"/>
        <v>1150000</v>
      </c>
      <c r="Y408" s="175">
        <f t="shared" si="15"/>
        <v>0</v>
      </c>
    </row>
    <row r="409" spans="1:25" ht="60" x14ac:dyDescent="0.25">
      <c r="A409" s="32"/>
      <c r="B409" s="32"/>
      <c r="C409" s="32"/>
      <c r="D409" s="32"/>
      <c r="E409" s="32"/>
      <c r="F409" s="32"/>
      <c r="G409" s="1340" t="s">
        <v>2706</v>
      </c>
      <c r="H409" s="66" t="str">
        <f>'BID II'!B720</f>
        <v>Belanja Jasa Honorarium Ahli/ Profesi/Konsultan/Narasumber</v>
      </c>
      <c r="I409" s="174">
        <f>SUM('BID II'!F721:F722)</f>
        <v>800000</v>
      </c>
      <c r="J409" s="66" t="s">
        <v>1682</v>
      </c>
      <c r="K409" s="851" t="s">
        <v>3030</v>
      </c>
      <c r="L409" s="1753"/>
      <c r="M409" s="1753"/>
      <c r="N409" s="1753"/>
      <c r="O409" s="1753"/>
      <c r="P409" s="1759">
        <v>800000</v>
      </c>
      <c r="Q409" s="1758"/>
      <c r="R409" s="1758"/>
      <c r="S409" s="1758"/>
      <c r="T409" s="1762"/>
      <c r="U409" s="1762"/>
      <c r="V409" s="1762"/>
      <c r="W409" s="1762"/>
      <c r="X409" s="1750">
        <f t="shared" si="14"/>
        <v>800000</v>
      </c>
      <c r="Y409" s="175">
        <f t="shared" si="15"/>
        <v>0</v>
      </c>
    </row>
    <row r="410" spans="1:25" ht="30" x14ac:dyDescent="0.25">
      <c r="A410" s="32"/>
      <c r="B410" s="32"/>
      <c r="C410" s="32"/>
      <c r="D410" s="32">
        <v>5</v>
      </c>
      <c r="E410" s="32">
        <v>2</v>
      </c>
      <c r="F410" s="32">
        <v>4</v>
      </c>
      <c r="G410" s="32"/>
      <c r="H410" s="66" t="str">
        <f>'BID II'!B724</f>
        <v>Belanja Jasa Sewa</v>
      </c>
      <c r="I410" s="32"/>
      <c r="J410" s="66"/>
      <c r="K410" s="851" t="s">
        <v>3030</v>
      </c>
      <c r="L410" s="1753"/>
      <c r="M410" s="1753"/>
      <c r="N410" s="1753"/>
      <c r="O410" s="1753"/>
      <c r="P410" s="1759"/>
      <c r="Q410" s="1758"/>
      <c r="R410" s="1758"/>
      <c r="S410" s="1758"/>
      <c r="T410" s="1762"/>
      <c r="U410" s="1762"/>
      <c r="V410" s="1762"/>
      <c r="W410" s="1762"/>
      <c r="X410" s="1750">
        <f t="shared" ref="X410:X473" si="16">SUM(L410:W410)</f>
        <v>0</v>
      </c>
      <c r="Y410" s="175">
        <f t="shared" ref="Y410:Y473" si="17">X410-I410</f>
        <v>0</v>
      </c>
    </row>
    <row r="411" spans="1:25" ht="30" x14ac:dyDescent="0.25">
      <c r="A411" s="32"/>
      <c r="B411" s="32"/>
      <c r="C411" s="32"/>
      <c r="D411" s="32"/>
      <c r="E411" s="32"/>
      <c r="F411" s="32"/>
      <c r="G411" s="1340" t="s">
        <v>2702</v>
      </c>
      <c r="H411" s="66" t="str">
        <f>'BID II'!B725</f>
        <v>Belanja Jasa Sewa Alat Perlengkapan</v>
      </c>
      <c r="I411" s="174">
        <f>SUM('BID II'!F726:F729)</f>
        <v>13450000</v>
      </c>
      <c r="J411" s="66" t="s">
        <v>1682</v>
      </c>
      <c r="K411" s="851" t="s">
        <v>3030</v>
      </c>
      <c r="L411" s="1753"/>
      <c r="M411" s="1753"/>
      <c r="N411" s="1753"/>
      <c r="O411" s="1753"/>
      <c r="P411" s="1759">
        <v>13450000</v>
      </c>
      <c r="Q411" s="1758"/>
      <c r="R411" s="1758"/>
      <c r="S411" s="1758"/>
      <c r="T411" s="1762"/>
      <c r="U411" s="1762"/>
      <c r="V411" s="1762"/>
      <c r="W411" s="1762"/>
      <c r="X411" s="1750">
        <f t="shared" si="16"/>
        <v>13450000</v>
      </c>
      <c r="Y411" s="175">
        <f t="shared" si="17"/>
        <v>0</v>
      </c>
    </row>
    <row r="412" spans="1:25" ht="45" x14ac:dyDescent="0.25">
      <c r="A412" s="1344">
        <v>2</v>
      </c>
      <c r="B412" s="1344">
        <v>2</v>
      </c>
      <c r="C412" s="1346" t="s">
        <v>2703</v>
      </c>
      <c r="D412" s="1344"/>
      <c r="E412" s="1344"/>
      <c r="F412" s="1344"/>
      <c r="G412" s="1344"/>
      <c r="H412" s="1345" t="str">
        <f>'BID II'!B744</f>
        <v>: Penyuluhan dan Pelatihan Bidang Kesehatan (Posbindu)</v>
      </c>
      <c r="I412" s="1347">
        <f>SUM(I413:I428)</f>
        <v>19924087.09</v>
      </c>
      <c r="J412" s="1345"/>
      <c r="K412" s="1796" t="s">
        <v>3030</v>
      </c>
      <c r="L412" s="1344"/>
      <c r="M412" s="1344"/>
      <c r="N412" s="1344"/>
      <c r="O412" s="1344"/>
      <c r="P412" s="1344"/>
      <c r="Q412" s="1344"/>
      <c r="R412" s="1344"/>
      <c r="S412" s="1344"/>
      <c r="T412" s="1344"/>
      <c r="U412" s="1344"/>
      <c r="V412" s="1344"/>
      <c r="W412" s="1344"/>
      <c r="X412" s="1353">
        <f t="shared" si="16"/>
        <v>0</v>
      </c>
      <c r="Y412" s="175">
        <f t="shared" si="17"/>
        <v>-19924087.09</v>
      </c>
    </row>
    <row r="413" spans="1:25" ht="30" x14ac:dyDescent="0.25">
      <c r="A413" s="32"/>
      <c r="B413" s="32"/>
      <c r="C413" s="32"/>
      <c r="D413" s="32"/>
      <c r="E413" s="32"/>
      <c r="F413" s="32"/>
      <c r="G413" s="32"/>
      <c r="H413" s="66" t="str">
        <f>'BID II'!B749</f>
        <v>Pelatihan</v>
      </c>
      <c r="I413" s="32"/>
      <c r="J413" s="66"/>
      <c r="K413" s="851" t="s">
        <v>3030</v>
      </c>
      <c r="L413" s="1753"/>
      <c r="M413" s="1753"/>
      <c r="N413" s="1753"/>
      <c r="O413" s="1753"/>
      <c r="P413" s="1758"/>
      <c r="Q413" s="1758"/>
      <c r="R413" s="1758"/>
      <c r="S413" s="1758"/>
      <c r="T413" s="1762"/>
      <c r="U413" s="1762"/>
      <c r="V413" s="1762"/>
      <c r="W413" s="1762"/>
      <c r="X413" s="1750">
        <f t="shared" si="16"/>
        <v>0</v>
      </c>
      <c r="Y413" s="175">
        <f t="shared" si="17"/>
        <v>0</v>
      </c>
    </row>
    <row r="414" spans="1:25" ht="30" x14ac:dyDescent="0.25">
      <c r="A414" s="32"/>
      <c r="B414" s="32"/>
      <c r="C414" s="32"/>
      <c r="D414" s="32">
        <v>5</v>
      </c>
      <c r="E414" s="32">
        <v>2</v>
      </c>
      <c r="F414" s="32"/>
      <c r="G414" s="32"/>
      <c r="H414" s="66" t="str">
        <f>'BID II'!B750</f>
        <v>Belanja Barang dan Jasa</v>
      </c>
      <c r="I414" s="32"/>
      <c r="J414" s="66"/>
      <c r="K414" s="851" t="s">
        <v>3030</v>
      </c>
      <c r="L414" s="1753"/>
      <c r="M414" s="1753"/>
      <c r="N414" s="1753"/>
      <c r="O414" s="1753"/>
      <c r="P414" s="1758"/>
      <c r="Q414" s="1758"/>
      <c r="R414" s="1758"/>
      <c r="S414" s="1758"/>
      <c r="T414" s="1762"/>
      <c r="U414" s="1762"/>
      <c r="V414" s="1762"/>
      <c r="W414" s="1762"/>
      <c r="X414" s="1750">
        <f t="shared" si="16"/>
        <v>0</v>
      </c>
      <c r="Y414" s="175">
        <f t="shared" si="17"/>
        <v>0</v>
      </c>
    </row>
    <row r="415" spans="1:25" ht="30" x14ac:dyDescent="0.25">
      <c r="A415" s="32"/>
      <c r="B415" s="32"/>
      <c r="C415" s="32"/>
      <c r="D415" s="32"/>
      <c r="E415" s="32"/>
      <c r="F415" s="32">
        <v>1</v>
      </c>
      <c r="G415" s="32"/>
      <c r="H415" s="66" t="str">
        <f>'BID II'!B751</f>
        <v>Belanaja Barang Pelengkapan</v>
      </c>
      <c r="I415" s="32"/>
      <c r="J415" s="66"/>
      <c r="K415" s="851" t="s">
        <v>3030</v>
      </c>
      <c r="L415" s="1753"/>
      <c r="M415" s="1753"/>
      <c r="N415" s="1753"/>
      <c r="O415" s="1753"/>
      <c r="P415" s="1758"/>
      <c r="Q415" s="1758"/>
      <c r="R415" s="1758"/>
      <c r="S415" s="1758"/>
      <c r="T415" s="1762"/>
      <c r="U415" s="1762"/>
      <c r="V415" s="1762"/>
      <c r="W415" s="1762"/>
      <c r="X415" s="1750">
        <f t="shared" si="16"/>
        <v>0</v>
      </c>
      <c r="Y415" s="175">
        <f t="shared" si="17"/>
        <v>0</v>
      </c>
    </row>
    <row r="416" spans="1:25" ht="30" x14ac:dyDescent="0.25">
      <c r="A416" s="32"/>
      <c r="B416" s="32"/>
      <c r="C416" s="32"/>
      <c r="D416" s="32"/>
      <c r="E416" s="32"/>
      <c r="F416" s="32"/>
      <c r="G416" s="1340" t="s">
        <v>2688</v>
      </c>
      <c r="H416" s="66" t="str">
        <f>'BID II'!B752</f>
        <v>Perlangakapan Alat Tulis Kantor dan Benda POS</v>
      </c>
      <c r="I416" s="174">
        <f>'BID II'!F753</f>
        <v>80000</v>
      </c>
      <c r="J416" s="66" t="s">
        <v>2625</v>
      </c>
      <c r="K416" s="851" t="s">
        <v>3030</v>
      </c>
      <c r="L416" s="1753"/>
      <c r="M416" s="1753"/>
      <c r="N416" s="1753"/>
      <c r="O416" s="1753"/>
      <c r="P416" s="1758"/>
      <c r="Q416" s="1759">
        <v>80000</v>
      </c>
      <c r="R416" s="1758"/>
      <c r="S416" s="1758"/>
      <c r="T416" s="1762"/>
      <c r="U416" s="1762"/>
      <c r="V416" s="1762"/>
      <c r="W416" s="1762"/>
      <c r="X416" s="1750">
        <f t="shared" si="16"/>
        <v>80000</v>
      </c>
      <c r="Y416" s="175">
        <f t="shared" si="17"/>
        <v>0</v>
      </c>
    </row>
    <row r="417" spans="1:25" ht="30" x14ac:dyDescent="0.25">
      <c r="A417" s="32"/>
      <c r="B417" s="32"/>
      <c r="C417" s="32"/>
      <c r="D417" s="32"/>
      <c r="E417" s="32"/>
      <c r="F417" s="32"/>
      <c r="G417" s="1340" t="s">
        <v>2705</v>
      </c>
      <c r="H417" s="32" t="str">
        <f>'BID II'!B755</f>
        <v>Belanja Barang Konsumsi</v>
      </c>
      <c r="I417" s="174">
        <f>SUM('BID II'!F756)</f>
        <v>1800000</v>
      </c>
      <c r="J417" s="66" t="s">
        <v>2625</v>
      </c>
      <c r="K417" s="851" t="s">
        <v>3030</v>
      </c>
      <c r="L417" s="1753"/>
      <c r="M417" s="1753"/>
      <c r="N417" s="1753"/>
      <c r="O417" s="1753"/>
      <c r="P417" s="1758"/>
      <c r="Q417" s="1759">
        <v>1800000</v>
      </c>
      <c r="R417" s="1758"/>
      <c r="S417" s="1758"/>
      <c r="T417" s="1762"/>
      <c r="U417" s="1762"/>
      <c r="V417" s="1762"/>
      <c r="W417" s="1762"/>
      <c r="X417" s="1750">
        <f t="shared" si="16"/>
        <v>1800000</v>
      </c>
      <c r="Y417" s="175">
        <f t="shared" si="17"/>
        <v>0</v>
      </c>
    </row>
    <row r="418" spans="1:25" ht="30" x14ac:dyDescent="0.25">
      <c r="A418" s="32"/>
      <c r="B418" s="32"/>
      <c r="C418" s="32"/>
      <c r="D418" s="32"/>
      <c r="E418" s="32"/>
      <c r="F418" s="32"/>
      <c r="G418" s="32">
        <v>90</v>
      </c>
      <c r="H418" s="66" t="str">
        <f>'BID II'!B758</f>
        <v>Belanja Upakara, Upacara Dan Aci-Aci</v>
      </c>
      <c r="I418" s="174">
        <f>SUM('BID II'!F759:F760)</f>
        <v>480000</v>
      </c>
      <c r="J418" s="66" t="s">
        <v>2625</v>
      </c>
      <c r="K418" s="851" t="s">
        <v>3030</v>
      </c>
      <c r="L418" s="1753"/>
      <c r="M418" s="1753"/>
      <c r="N418" s="1753"/>
      <c r="O418" s="1753"/>
      <c r="P418" s="1758"/>
      <c r="Q418" s="1759">
        <v>480000</v>
      </c>
      <c r="R418" s="1758"/>
      <c r="S418" s="1758"/>
      <c r="T418" s="1762"/>
      <c r="U418" s="1762"/>
      <c r="V418" s="1762"/>
      <c r="W418" s="1762"/>
      <c r="X418" s="1750">
        <f t="shared" si="16"/>
        <v>480000</v>
      </c>
      <c r="Y418" s="175">
        <f t="shared" si="17"/>
        <v>0</v>
      </c>
    </row>
    <row r="419" spans="1:25" ht="30" x14ac:dyDescent="0.25">
      <c r="A419" s="32"/>
      <c r="B419" s="32"/>
      <c r="C419" s="32"/>
      <c r="D419" s="32">
        <v>5</v>
      </c>
      <c r="E419" s="32">
        <v>2</v>
      </c>
      <c r="F419" s="32">
        <v>2</v>
      </c>
      <c r="G419" s="32"/>
      <c r="H419" s="66" t="str">
        <f>'BID II'!B762</f>
        <v>Belanja Jasa Honorarium</v>
      </c>
      <c r="I419" s="32"/>
      <c r="J419" s="66"/>
      <c r="K419" s="851" t="s">
        <v>3030</v>
      </c>
      <c r="L419" s="1753"/>
      <c r="M419" s="1753"/>
      <c r="N419" s="1753"/>
      <c r="O419" s="1753"/>
      <c r="P419" s="1758"/>
      <c r="Q419" s="1759"/>
      <c r="R419" s="1758"/>
      <c r="S419" s="1758"/>
      <c r="T419" s="1762"/>
      <c r="U419" s="1762"/>
      <c r="V419" s="1762"/>
      <c r="W419" s="1762"/>
      <c r="X419" s="1750">
        <f t="shared" si="16"/>
        <v>0</v>
      </c>
      <c r="Y419" s="175">
        <f t="shared" si="17"/>
        <v>0</v>
      </c>
    </row>
    <row r="420" spans="1:25" ht="30" x14ac:dyDescent="0.25">
      <c r="A420" s="32"/>
      <c r="B420" s="32"/>
      <c r="C420" s="32"/>
      <c r="D420" s="32"/>
      <c r="E420" s="32"/>
      <c r="F420" s="32"/>
      <c r="G420" s="1340" t="s">
        <v>2706</v>
      </c>
      <c r="H420" s="66" t="str">
        <f>'BID II'!B763</f>
        <v>Belanja Jasa Honorarium Narasumber</v>
      </c>
      <c r="I420" s="174">
        <f>'BID II'!F763</f>
        <v>600000</v>
      </c>
      <c r="J420" s="66" t="s">
        <v>2625</v>
      </c>
      <c r="K420" s="851" t="s">
        <v>3030</v>
      </c>
      <c r="L420" s="1753"/>
      <c r="M420" s="1753"/>
      <c r="N420" s="1753"/>
      <c r="O420" s="1753"/>
      <c r="P420" s="1758"/>
      <c r="Q420" s="1759">
        <v>600000</v>
      </c>
      <c r="R420" s="1758"/>
      <c r="S420" s="1758"/>
      <c r="T420" s="1762"/>
      <c r="U420" s="1762"/>
      <c r="V420" s="1762"/>
      <c r="W420" s="1762"/>
      <c r="X420" s="1750">
        <f t="shared" si="16"/>
        <v>600000</v>
      </c>
      <c r="Y420" s="175">
        <f t="shared" si="17"/>
        <v>0</v>
      </c>
    </row>
    <row r="421" spans="1:25" ht="30" x14ac:dyDescent="0.25">
      <c r="A421" s="32"/>
      <c r="B421" s="32"/>
      <c r="C421" s="32"/>
      <c r="D421" s="32">
        <v>5</v>
      </c>
      <c r="E421" s="32">
        <v>2</v>
      </c>
      <c r="F421" s="32">
        <v>4</v>
      </c>
      <c r="G421" s="1340"/>
      <c r="H421" s="66" t="str">
        <f>'BID II'!B765</f>
        <v>Belanja Jasa Sewa</v>
      </c>
      <c r="I421" s="174"/>
      <c r="J421" s="66"/>
      <c r="K421" s="851" t="s">
        <v>3030</v>
      </c>
      <c r="L421" s="1753"/>
      <c r="M421" s="1753"/>
      <c r="N421" s="1753"/>
      <c r="O421" s="1753"/>
      <c r="P421" s="1758"/>
      <c r="Q421" s="1759"/>
      <c r="R421" s="1758"/>
      <c r="S421" s="1758"/>
      <c r="T421" s="1762"/>
      <c r="U421" s="1762"/>
      <c r="V421" s="1762"/>
      <c r="W421" s="1762"/>
      <c r="X421" s="1750">
        <f t="shared" si="16"/>
        <v>0</v>
      </c>
      <c r="Y421" s="175">
        <f t="shared" si="17"/>
        <v>0</v>
      </c>
    </row>
    <row r="422" spans="1:25" ht="30" x14ac:dyDescent="0.25">
      <c r="A422" s="32"/>
      <c r="B422" s="32"/>
      <c r="C422" s="32"/>
      <c r="D422" s="32"/>
      <c r="E422" s="32"/>
      <c r="F422" s="32"/>
      <c r="G422" s="1340" t="s">
        <v>2703</v>
      </c>
      <c r="H422" s="66" t="str">
        <f>'BID II'!B766</f>
        <v>Belanja Jasa Sewa Mobilitas</v>
      </c>
      <c r="I422" s="174">
        <f>'BID II'!F767</f>
        <v>2000000</v>
      </c>
      <c r="J422" s="66" t="s">
        <v>2620</v>
      </c>
      <c r="K422" s="851" t="s">
        <v>3030</v>
      </c>
      <c r="L422" s="1753"/>
      <c r="M422" s="1753"/>
      <c r="N422" s="1753"/>
      <c r="O422" s="1753"/>
      <c r="P422" s="1758"/>
      <c r="Q422" s="1759">
        <v>2000000</v>
      </c>
      <c r="R422" s="1758"/>
      <c r="S422" s="1758"/>
      <c r="T422" s="1762"/>
      <c r="U422" s="1762"/>
      <c r="V422" s="1762"/>
      <c r="W422" s="1762"/>
      <c r="X422" s="1750">
        <f t="shared" si="16"/>
        <v>2000000</v>
      </c>
      <c r="Y422" s="175">
        <f t="shared" si="17"/>
        <v>0</v>
      </c>
    </row>
    <row r="423" spans="1:25" ht="30" x14ac:dyDescent="0.25">
      <c r="A423" s="32"/>
      <c r="B423" s="32"/>
      <c r="C423" s="32"/>
      <c r="D423" s="32"/>
      <c r="E423" s="32"/>
      <c r="F423" s="32"/>
      <c r="G423" s="32"/>
      <c r="H423" s="66" t="str">
        <f>'BID II'!B768</f>
        <v>Kegiatan</v>
      </c>
      <c r="I423" s="32"/>
      <c r="J423" s="66"/>
      <c r="K423" s="851" t="s">
        <v>3030</v>
      </c>
      <c r="L423" s="1753"/>
      <c r="M423" s="1753"/>
      <c r="N423" s="1753"/>
      <c r="O423" s="1753"/>
      <c r="P423" s="1758"/>
      <c r="Q423" s="1759"/>
      <c r="R423" s="1758"/>
      <c r="S423" s="1758"/>
      <c r="T423" s="1762"/>
      <c r="U423" s="1762"/>
      <c r="V423" s="1762"/>
      <c r="W423" s="1762"/>
      <c r="X423" s="1750">
        <f t="shared" si="16"/>
        <v>0</v>
      </c>
      <c r="Y423" s="175">
        <f t="shared" si="17"/>
        <v>0</v>
      </c>
    </row>
    <row r="424" spans="1:25" ht="30" x14ac:dyDescent="0.25">
      <c r="A424" s="32"/>
      <c r="B424" s="32"/>
      <c r="C424" s="32"/>
      <c r="D424" s="32"/>
      <c r="E424" s="32"/>
      <c r="F424" s="32"/>
      <c r="G424" s="1340" t="s">
        <v>2705</v>
      </c>
      <c r="H424" s="66" t="str">
        <f>'BID II'!B769</f>
        <v>Belanja Perlengkapan Barang Konsumsi</v>
      </c>
      <c r="I424" s="174">
        <f>'BID II'!F770</f>
        <v>1440000</v>
      </c>
      <c r="J424" s="66" t="s">
        <v>2625</v>
      </c>
      <c r="K424" s="851" t="s">
        <v>3030</v>
      </c>
      <c r="L424" s="1753"/>
      <c r="M424" s="1753"/>
      <c r="N424" s="1753"/>
      <c r="O424" s="1753"/>
      <c r="P424" s="1758"/>
      <c r="Q424" s="1759">
        <v>1440000</v>
      </c>
      <c r="R424" s="1758"/>
      <c r="S424" s="1758"/>
      <c r="T424" s="1762"/>
      <c r="U424" s="1762"/>
      <c r="V424" s="1762"/>
      <c r="W424" s="1762"/>
      <c r="X424" s="1750">
        <f t="shared" si="16"/>
        <v>1440000</v>
      </c>
      <c r="Y424" s="175">
        <f t="shared" si="17"/>
        <v>0</v>
      </c>
    </row>
    <row r="425" spans="1:25" ht="30" x14ac:dyDescent="0.25">
      <c r="A425" s="32"/>
      <c r="B425" s="32"/>
      <c r="C425" s="32"/>
      <c r="D425" s="32"/>
      <c r="E425" s="32"/>
      <c r="F425" s="32"/>
      <c r="G425" s="1340" t="s">
        <v>2708</v>
      </c>
      <c r="H425" s="66" t="str">
        <f>'BID II'!B771</f>
        <v>Belanja Bahan/Material</v>
      </c>
      <c r="I425" s="174">
        <f>SUM('BID II'!F772:F776)</f>
        <v>7434087.0899999999</v>
      </c>
      <c r="J425" s="66" t="s">
        <v>2625</v>
      </c>
      <c r="K425" s="851" t="s">
        <v>3030</v>
      </c>
      <c r="L425" s="1753"/>
      <c r="M425" s="1753"/>
      <c r="N425" s="1753"/>
      <c r="O425" s="1753"/>
      <c r="P425" s="1758"/>
      <c r="Q425" s="1759">
        <v>7434087.0899999999</v>
      </c>
      <c r="R425" s="1758"/>
      <c r="S425" s="1758"/>
      <c r="T425" s="1762"/>
      <c r="U425" s="1762"/>
      <c r="V425" s="1762"/>
      <c r="W425" s="1762"/>
      <c r="X425" s="1750">
        <f t="shared" si="16"/>
        <v>7434087.0899999999</v>
      </c>
      <c r="Y425" s="175">
        <f t="shared" si="17"/>
        <v>0</v>
      </c>
    </row>
    <row r="426" spans="1:25" ht="30" x14ac:dyDescent="0.25">
      <c r="A426" s="32"/>
      <c r="B426" s="32"/>
      <c r="C426" s="32"/>
      <c r="D426" s="32"/>
      <c r="E426" s="32"/>
      <c r="F426" s="32"/>
      <c r="G426" s="1340" t="s">
        <v>2707</v>
      </c>
      <c r="H426" s="66" t="str">
        <f>'BID II'!B778</f>
        <v>Belanja Bendera/Umbul - umbul Spanduk</v>
      </c>
      <c r="I426" s="174">
        <f>'BID II'!F779</f>
        <v>90000</v>
      </c>
      <c r="J426" s="66" t="s">
        <v>2625</v>
      </c>
      <c r="K426" s="851" t="s">
        <v>3030</v>
      </c>
      <c r="L426" s="1753"/>
      <c r="M426" s="1753"/>
      <c r="N426" s="1753"/>
      <c r="O426" s="1753"/>
      <c r="P426" s="1758"/>
      <c r="Q426" s="1759">
        <v>90000</v>
      </c>
      <c r="R426" s="1758"/>
      <c r="S426" s="1758"/>
      <c r="T426" s="1762"/>
      <c r="U426" s="1762"/>
      <c r="V426" s="1762"/>
      <c r="W426" s="1762"/>
      <c r="X426" s="1750">
        <f t="shared" si="16"/>
        <v>90000</v>
      </c>
      <c r="Y426" s="175">
        <f t="shared" si="17"/>
        <v>0</v>
      </c>
    </row>
    <row r="427" spans="1:25" ht="30" x14ac:dyDescent="0.25">
      <c r="A427" s="32"/>
      <c r="B427" s="32"/>
      <c r="C427" s="32"/>
      <c r="D427" s="32">
        <v>5</v>
      </c>
      <c r="E427" s="32">
        <v>2</v>
      </c>
      <c r="F427" s="32">
        <v>2</v>
      </c>
      <c r="G427" s="32"/>
      <c r="H427" s="66" t="str">
        <f>'BID II'!B781</f>
        <v>Belanja Jasa Honorarium</v>
      </c>
      <c r="I427" s="32"/>
      <c r="J427" s="66"/>
      <c r="K427" s="851" t="s">
        <v>3030</v>
      </c>
      <c r="L427" s="1753"/>
      <c r="M427" s="1753"/>
      <c r="N427" s="1753"/>
      <c r="O427" s="1753"/>
      <c r="P427" s="1758"/>
      <c r="Q427" s="1759"/>
      <c r="R427" s="1758"/>
      <c r="S427" s="1758"/>
      <c r="T427" s="1762"/>
      <c r="U427" s="1762"/>
      <c r="V427" s="1762"/>
      <c r="W427" s="1762"/>
      <c r="X427" s="1750">
        <f t="shared" si="16"/>
        <v>0</v>
      </c>
      <c r="Y427" s="175">
        <f t="shared" si="17"/>
        <v>0</v>
      </c>
    </row>
    <row r="428" spans="1:25" ht="30" x14ac:dyDescent="0.25">
      <c r="A428" s="32"/>
      <c r="B428" s="32"/>
      <c r="C428" s="32"/>
      <c r="D428" s="32"/>
      <c r="E428" s="32"/>
      <c r="F428" s="32"/>
      <c r="G428" s="1340" t="s">
        <v>2706</v>
      </c>
      <c r="H428" s="66" t="str">
        <f>'BID II'!B782</f>
        <v>Belanja Honor Petugas</v>
      </c>
      <c r="I428" s="174">
        <f>'BID II'!F783</f>
        <v>6000000</v>
      </c>
      <c r="J428" s="66" t="s">
        <v>2625</v>
      </c>
      <c r="K428" s="851" t="s">
        <v>3030</v>
      </c>
      <c r="L428" s="1753"/>
      <c r="M428" s="1753"/>
      <c r="N428" s="1753"/>
      <c r="O428" s="1753"/>
      <c r="P428" s="1758"/>
      <c r="Q428" s="1759">
        <v>6000000</v>
      </c>
      <c r="R428" s="1758"/>
      <c r="S428" s="1758"/>
      <c r="T428" s="1762"/>
      <c r="U428" s="1762"/>
      <c r="V428" s="1762"/>
      <c r="W428" s="1762"/>
      <c r="X428" s="1750">
        <f t="shared" si="16"/>
        <v>6000000</v>
      </c>
      <c r="Y428" s="175">
        <f t="shared" si="17"/>
        <v>0</v>
      </c>
    </row>
    <row r="429" spans="1:25" ht="60" x14ac:dyDescent="0.25">
      <c r="A429" s="1344">
        <v>2</v>
      </c>
      <c r="B429" s="1344">
        <v>2</v>
      </c>
      <c r="C429" s="1346" t="s">
        <v>2703</v>
      </c>
      <c r="D429" s="1344"/>
      <c r="E429" s="1344"/>
      <c r="F429" s="1344"/>
      <c r="G429" s="1344"/>
      <c r="H429" s="1345" t="str">
        <f>'BID II'!B797</f>
        <v>: Penyuluhan dan Pelatihan Bidang Kesehatan (Penyuluhan KB)</v>
      </c>
      <c r="I429" s="1347">
        <f>SUM(I430:I440)</f>
        <v>17635000</v>
      </c>
      <c r="J429" s="1345" t="s">
        <v>2625</v>
      </c>
      <c r="K429" s="1347" t="s">
        <v>3031</v>
      </c>
      <c r="L429" s="1344"/>
      <c r="M429" s="1344"/>
      <c r="N429" s="1344"/>
      <c r="O429" s="1344"/>
      <c r="P429" s="1344"/>
      <c r="Q429" s="1344"/>
      <c r="R429" s="1344"/>
      <c r="S429" s="1344"/>
      <c r="T429" s="1344"/>
      <c r="U429" s="1344"/>
      <c r="V429" s="1344"/>
      <c r="W429" s="1344"/>
      <c r="X429" s="1353">
        <f t="shared" si="16"/>
        <v>0</v>
      </c>
      <c r="Y429" s="175">
        <f t="shared" si="17"/>
        <v>-17635000</v>
      </c>
    </row>
    <row r="430" spans="1:25" x14ac:dyDescent="0.25">
      <c r="A430" s="32"/>
      <c r="B430" s="32"/>
      <c r="C430" s="32"/>
      <c r="D430" s="32">
        <v>5</v>
      </c>
      <c r="E430" s="32">
        <v>2</v>
      </c>
      <c r="F430" s="32"/>
      <c r="G430" s="32"/>
      <c r="H430" s="66" t="str">
        <f>'BID II'!B802</f>
        <v>Belanja Barang Jasa</v>
      </c>
      <c r="I430" s="32"/>
      <c r="J430" s="66"/>
      <c r="K430" s="470" t="s">
        <v>3031</v>
      </c>
      <c r="L430" s="1753"/>
      <c r="M430" s="1753"/>
      <c r="N430" s="1753"/>
      <c r="O430" s="1753"/>
      <c r="P430" s="1758"/>
      <c r="Q430" s="1758"/>
      <c r="R430" s="1758"/>
      <c r="S430" s="1758"/>
      <c r="T430" s="1762"/>
      <c r="U430" s="1762"/>
      <c r="V430" s="1762"/>
      <c r="W430" s="1762"/>
      <c r="X430" s="1750">
        <f t="shared" si="16"/>
        <v>0</v>
      </c>
      <c r="Y430" s="175">
        <f t="shared" si="17"/>
        <v>0</v>
      </c>
    </row>
    <row r="431" spans="1:25" ht="30" x14ac:dyDescent="0.25">
      <c r="A431" s="32"/>
      <c r="B431" s="32"/>
      <c r="C431" s="32"/>
      <c r="D431" s="32"/>
      <c r="E431" s="32"/>
      <c r="F431" s="32">
        <v>1</v>
      </c>
      <c r="G431" s="32"/>
      <c r="H431" s="66" t="str">
        <f>'BID II'!B803</f>
        <v>Belanja Barang Perlengkapan</v>
      </c>
      <c r="I431" s="32"/>
      <c r="J431" s="66"/>
      <c r="K431" s="470" t="s">
        <v>3031</v>
      </c>
      <c r="L431" s="1753"/>
      <c r="M431" s="1753"/>
      <c r="N431" s="1753"/>
      <c r="O431" s="1753"/>
      <c r="P431" s="1758"/>
      <c r="Q431" s="1758"/>
      <c r="R431" s="1758"/>
      <c r="S431" s="1758"/>
      <c r="T431" s="1762"/>
      <c r="U431" s="1762"/>
      <c r="V431" s="1762"/>
      <c r="W431" s="1762"/>
      <c r="X431" s="1750">
        <f t="shared" si="16"/>
        <v>0</v>
      </c>
      <c r="Y431" s="175">
        <f t="shared" si="17"/>
        <v>0</v>
      </c>
    </row>
    <row r="432" spans="1:25" ht="30" x14ac:dyDescent="0.25">
      <c r="A432" s="32"/>
      <c r="B432" s="32"/>
      <c r="C432" s="32"/>
      <c r="D432" s="32"/>
      <c r="E432" s="32"/>
      <c r="F432" s="32"/>
      <c r="G432" s="1340" t="s">
        <v>2705</v>
      </c>
      <c r="H432" s="66" t="str">
        <f>'BID II'!B804</f>
        <v>Belanja Perlengkapan Barang Konsumsi</v>
      </c>
      <c r="I432" s="174">
        <f>SUM('BID II'!F805:F808)</f>
        <v>1950000</v>
      </c>
      <c r="J432" s="66" t="s">
        <v>2625</v>
      </c>
      <c r="K432" s="470" t="s">
        <v>3031</v>
      </c>
      <c r="L432" s="1753"/>
      <c r="M432" s="1753"/>
      <c r="N432" s="1753"/>
      <c r="O432" s="1753"/>
      <c r="P432" s="1758"/>
      <c r="Q432" s="1758"/>
      <c r="R432" s="1759">
        <v>1950000</v>
      </c>
      <c r="S432" s="1758"/>
      <c r="T432" s="1762"/>
      <c r="U432" s="1762"/>
      <c r="V432" s="1762"/>
      <c r="W432" s="1762"/>
      <c r="X432" s="1750">
        <f t="shared" si="16"/>
        <v>1950000</v>
      </c>
      <c r="Y432" s="175">
        <f t="shared" si="17"/>
        <v>0</v>
      </c>
    </row>
    <row r="433" spans="1:25" ht="30" x14ac:dyDescent="0.25">
      <c r="A433" s="32"/>
      <c r="B433" s="32"/>
      <c r="C433" s="32"/>
      <c r="D433" s="32"/>
      <c r="E433" s="32"/>
      <c r="F433" s="32"/>
      <c r="G433" s="1340" t="s">
        <v>2707</v>
      </c>
      <c r="H433" s="66" t="str">
        <f>'BID II'!B810</f>
        <v>Belanja Bendera/ Umbul-umbul/ Spanduk</v>
      </c>
      <c r="I433" s="174">
        <f>'BID II'!F811</f>
        <v>90000</v>
      </c>
      <c r="J433" s="66" t="s">
        <v>2625</v>
      </c>
      <c r="K433" s="470" t="s">
        <v>3031</v>
      </c>
      <c r="L433" s="1753"/>
      <c r="M433" s="1753"/>
      <c r="N433" s="1753"/>
      <c r="O433" s="1753"/>
      <c r="P433" s="1758"/>
      <c r="Q433" s="1758"/>
      <c r="R433" s="1759">
        <v>90000</v>
      </c>
      <c r="S433" s="1758"/>
      <c r="T433" s="1762"/>
      <c r="U433" s="1762"/>
      <c r="V433" s="1762"/>
      <c r="W433" s="1762"/>
      <c r="X433" s="1750">
        <f t="shared" si="16"/>
        <v>90000</v>
      </c>
      <c r="Y433" s="175">
        <f t="shared" si="17"/>
        <v>0</v>
      </c>
    </row>
    <row r="434" spans="1:25" ht="30" x14ac:dyDescent="0.25">
      <c r="A434" s="32"/>
      <c r="B434" s="32"/>
      <c r="C434" s="32"/>
      <c r="D434" s="32"/>
      <c r="E434" s="32"/>
      <c r="F434" s="32"/>
      <c r="G434" s="32">
        <v>90</v>
      </c>
      <c r="H434" s="66" t="str">
        <f>'BID II'!B813</f>
        <v>Belanja Upakara, Upacara Dan Aci-Aci</v>
      </c>
      <c r="I434" s="174">
        <f>SUM('BID II'!F814:F817)</f>
        <v>195000</v>
      </c>
      <c r="J434" s="66" t="s">
        <v>2625</v>
      </c>
      <c r="K434" s="470" t="s">
        <v>3031</v>
      </c>
      <c r="L434" s="1753"/>
      <c r="M434" s="1753"/>
      <c r="N434" s="1753"/>
      <c r="O434" s="1753"/>
      <c r="P434" s="1758"/>
      <c r="Q434" s="1758"/>
      <c r="R434" s="1759">
        <v>195000</v>
      </c>
      <c r="S434" s="1758"/>
      <c r="T434" s="1762"/>
      <c r="U434" s="1762"/>
      <c r="V434" s="1762"/>
      <c r="W434" s="1762"/>
      <c r="X434" s="1750">
        <f t="shared" si="16"/>
        <v>195000</v>
      </c>
      <c r="Y434" s="175">
        <f t="shared" si="17"/>
        <v>0</v>
      </c>
    </row>
    <row r="435" spans="1:25" x14ac:dyDescent="0.25">
      <c r="A435" s="32"/>
      <c r="B435" s="32"/>
      <c r="C435" s="32"/>
      <c r="D435" s="32">
        <v>5</v>
      </c>
      <c r="E435" s="32">
        <v>2</v>
      </c>
      <c r="F435" s="32">
        <v>2</v>
      </c>
      <c r="G435" s="32"/>
      <c r="H435" s="66" t="str">
        <f>'BID II'!B819</f>
        <v>Belanja Jasa Honorarium</v>
      </c>
      <c r="I435" s="32"/>
      <c r="J435" s="66"/>
      <c r="K435" s="470" t="s">
        <v>3031</v>
      </c>
      <c r="L435" s="1753"/>
      <c r="M435" s="1753"/>
      <c r="N435" s="1753"/>
      <c r="O435" s="1753"/>
      <c r="P435" s="1758"/>
      <c r="Q435" s="1758"/>
      <c r="R435" s="1759"/>
      <c r="S435" s="1758"/>
      <c r="T435" s="1762"/>
      <c r="U435" s="1762"/>
      <c r="V435" s="1762"/>
      <c r="W435" s="1762"/>
      <c r="X435" s="1750">
        <f t="shared" si="16"/>
        <v>0</v>
      </c>
      <c r="Y435" s="175">
        <f t="shared" si="17"/>
        <v>0</v>
      </c>
    </row>
    <row r="436" spans="1:25" ht="45" x14ac:dyDescent="0.25">
      <c r="A436" s="32"/>
      <c r="B436" s="32"/>
      <c r="C436" s="32"/>
      <c r="D436" s="32"/>
      <c r="E436" s="32"/>
      <c r="F436" s="32"/>
      <c r="G436" s="1340" t="s">
        <v>2688</v>
      </c>
      <c r="H436" s="66" t="str">
        <f>'BID II'!B820</f>
        <v>Belanja Jasa Honorarium Tim yang Melaksanakan Kegiatan (TPK )</v>
      </c>
      <c r="I436" s="174">
        <f>SUM('BID II'!F821:F823)</f>
        <v>1150000</v>
      </c>
      <c r="J436" s="66" t="s">
        <v>2625</v>
      </c>
      <c r="K436" s="470" t="s">
        <v>3031</v>
      </c>
      <c r="L436" s="1753"/>
      <c r="M436" s="1753"/>
      <c r="N436" s="1753"/>
      <c r="O436" s="1753"/>
      <c r="P436" s="1758"/>
      <c r="Q436" s="1758"/>
      <c r="R436" s="1759">
        <v>1150000</v>
      </c>
      <c r="S436" s="1758"/>
      <c r="T436" s="1762"/>
      <c r="U436" s="1762"/>
      <c r="V436" s="1762"/>
      <c r="W436" s="1762"/>
      <c r="X436" s="1750">
        <f t="shared" si="16"/>
        <v>1150000</v>
      </c>
      <c r="Y436" s="175">
        <f t="shared" si="17"/>
        <v>0</v>
      </c>
    </row>
    <row r="437" spans="1:25" ht="60" x14ac:dyDescent="0.25">
      <c r="A437" s="32"/>
      <c r="B437" s="32"/>
      <c r="C437" s="32"/>
      <c r="D437" s="32"/>
      <c r="E437" s="32"/>
      <c r="F437" s="32"/>
      <c r="G437" s="1340" t="s">
        <v>2704</v>
      </c>
      <c r="H437" s="66" t="str">
        <f>'BID II'!B825</f>
        <v>Belanja Jasa Honorarium Ahli/ Profesi/Konsultan/Narasumber</v>
      </c>
      <c r="I437" s="174">
        <f>'BID II'!F826</f>
        <v>600000</v>
      </c>
      <c r="J437" s="66" t="s">
        <v>2625</v>
      </c>
      <c r="K437" s="470" t="s">
        <v>3031</v>
      </c>
      <c r="L437" s="1753"/>
      <c r="M437" s="1753"/>
      <c r="N437" s="1753"/>
      <c r="O437" s="1753"/>
      <c r="P437" s="1758"/>
      <c r="Q437" s="1758"/>
      <c r="R437" s="1759">
        <v>600000</v>
      </c>
      <c r="S437" s="1758"/>
      <c r="T437" s="1762"/>
      <c r="U437" s="1762"/>
      <c r="V437" s="1762"/>
      <c r="W437" s="1762"/>
      <c r="X437" s="1750">
        <f t="shared" si="16"/>
        <v>600000</v>
      </c>
      <c r="Y437" s="175">
        <f t="shared" si="17"/>
        <v>0</v>
      </c>
    </row>
    <row r="438" spans="1:25" ht="30" x14ac:dyDescent="0.25">
      <c r="A438" s="32"/>
      <c r="B438" s="32"/>
      <c r="C438" s="32"/>
      <c r="D438" s="32"/>
      <c r="E438" s="32"/>
      <c r="F438" s="32"/>
      <c r="G438" s="1340" t="s">
        <v>2706</v>
      </c>
      <c r="H438" s="66" t="str">
        <f>'BID II'!B828</f>
        <v>Belanja Jasa Honorarium Petugas</v>
      </c>
      <c r="I438" s="174">
        <f>'BID II'!F829</f>
        <v>200000</v>
      </c>
      <c r="J438" s="66" t="s">
        <v>2625</v>
      </c>
      <c r="K438" s="470" t="s">
        <v>3031</v>
      </c>
      <c r="L438" s="1753"/>
      <c r="M438" s="1753"/>
      <c r="N438" s="1753"/>
      <c r="O438" s="1753"/>
      <c r="P438" s="1758"/>
      <c r="Q438" s="1758"/>
      <c r="R438" s="1759">
        <v>200000</v>
      </c>
      <c r="S438" s="1758"/>
      <c r="T438" s="1762"/>
      <c r="U438" s="1762"/>
      <c r="V438" s="1762"/>
      <c r="W438" s="1762"/>
      <c r="X438" s="1750">
        <f t="shared" si="16"/>
        <v>200000</v>
      </c>
      <c r="Y438" s="175">
        <f t="shared" si="17"/>
        <v>0</v>
      </c>
    </row>
    <row r="439" spans="1:25" x14ac:dyDescent="0.25">
      <c r="A439" s="32"/>
      <c r="B439" s="32"/>
      <c r="C439" s="32"/>
      <c r="D439" s="32">
        <v>5</v>
      </c>
      <c r="E439" s="32">
        <v>2</v>
      </c>
      <c r="F439" s="32">
        <v>4</v>
      </c>
      <c r="G439" s="32"/>
      <c r="H439" s="66" t="str">
        <f>'BID II'!B831</f>
        <v>Belanja Jasa Sewa</v>
      </c>
      <c r="I439" s="32"/>
      <c r="J439" s="66"/>
      <c r="K439" s="470" t="s">
        <v>3031</v>
      </c>
      <c r="L439" s="1753"/>
      <c r="M439" s="1753"/>
      <c r="N439" s="1753"/>
      <c r="O439" s="1753"/>
      <c r="P439" s="1758"/>
      <c r="Q439" s="1758"/>
      <c r="R439" s="1759"/>
      <c r="S439" s="1758"/>
      <c r="T439" s="1762"/>
      <c r="U439" s="1762"/>
      <c r="V439" s="1762"/>
      <c r="W439" s="1762"/>
      <c r="X439" s="1750">
        <f t="shared" si="16"/>
        <v>0</v>
      </c>
      <c r="Y439" s="175">
        <f t="shared" si="17"/>
        <v>0</v>
      </c>
    </row>
    <row r="440" spans="1:25" ht="30" x14ac:dyDescent="0.25">
      <c r="A440" s="32"/>
      <c r="B440" s="32"/>
      <c r="C440" s="32"/>
      <c r="D440" s="32"/>
      <c r="E440" s="32"/>
      <c r="F440" s="32"/>
      <c r="G440" s="1340" t="s">
        <v>2702</v>
      </c>
      <c r="H440" s="66" t="str">
        <f>'BID II'!B832</f>
        <v>Belanja Jasa Sewa Sarana/Perlengkapan</v>
      </c>
      <c r="I440" s="174">
        <f>SUM('BID II'!F833:F836)</f>
        <v>13450000</v>
      </c>
      <c r="J440" s="66" t="s">
        <v>2625</v>
      </c>
      <c r="K440" s="470" t="s">
        <v>3031</v>
      </c>
      <c r="L440" s="1753"/>
      <c r="M440" s="1753"/>
      <c r="N440" s="1753"/>
      <c r="O440" s="1753"/>
      <c r="P440" s="1758"/>
      <c r="Q440" s="1758"/>
      <c r="R440" s="1759">
        <v>13450000</v>
      </c>
      <c r="S440" s="1758"/>
      <c r="T440" s="1762"/>
      <c r="U440" s="1762"/>
      <c r="V440" s="1762"/>
      <c r="W440" s="1762"/>
      <c r="X440" s="1750">
        <f t="shared" si="16"/>
        <v>13450000</v>
      </c>
      <c r="Y440" s="175">
        <f t="shared" si="17"/>
        <v>0</v>
      </c>
    </row>
    <row r="441" spans="1:25" ht="60" x14ac:dyDescent="0.25">
      <c r="A441" s="1344">
        <v>2</v>
      </c>
      <c r="B441" s="1344">
        <v>2</v>
      </c>
      <c r="C441" s="1346" t="s">
        <v>2703</v>
      </c>
      <c r="D441" s="1344"/>
      <c r="E441" s="1344"/>
      <c r="F441" s="1344"/>
      <c r="G441" s="1344"/>
      <c r="H441" s="1345" t="str">
        <f>'BID II'!B852</f>
        <v>: Penyuluhan dan Pelatihan Bidang Kesehatan(Sosialisasi Germas)</v>
      </c>
      <c r="I441" s="1347">
        <f>SUM(I442:I446)</f>
        <v>2070000</v>
      </c>
      <c r="J441" s="1345" t="s">
        <v>2625</v>
      </c>
      <c r="K441" s="1796" t="s">
        <v>3030</v>
      </c>
      <c r="L441" s="1344"/>
      <c r="M441" s="1344"/>
      <c r="N441" s="1344"/>
      <c r="O441" s="1344"/>
      <c r="P441" s="1344"/>
      <c r="Q441" s="1344"/>
      <c r="R441" s="1344"/>
      <c r="S441" s="1344"/>
      <c r="T441" s="1344"/>
      <c r="U441" s="1344"/>
      <c r="V441" s="1344"/>
      <c r="W441" s="1344"/>
      <c r="X441" s="1353">
        <f t="shared" si="16"/>
        <v>0</v>
      </c>
      <c r="Y441" s="175">
        <f t="shared" si="17"/>
        <v>-2070000</v>
      </c>
    </row>
    <row r="442" spans="1:25" ht="30" x14ac:dyDescent="0.25">
      <c r="A442" s="32"/>
      <c r="B442" s="32"/>
      <c r="C442" s="32"/>
      <c r="D442" s="32">
        <v>5</v>
      </c>
      <c r="E442" s="32">
        <v>2</v>
      </c>
      <c r="F442" s="32"/>
      <c r="G442" s="32"/>
      <c r="H442" s="66" t="str">
        <f>'BID II'!B857</f>
        <v>Belanja Barang Jasa</v>
      </c>
      <c r="I442" s="32"/>
      <c r="J442" s="66"/>
      <c r="K442" s="851" t="s">
        <v>3030</v>
      </c>
      <c r="L442" s="1753"/>
      <c r="M442" s="1753"/>
      <c r="N442" s="1753"/>
      <c r="O442" s="1753"/>
      <c r="P442" s="1758"/>
      <c r="Q442" s="1758"/>
      <c r="R442" s="1758"/>
      <c r="S442" s="1758"/>
      <c r="T442" s="1762"/>
      <c r="U442" s="1762"/>
      <c r="V442" s="1762"/>
      <c r="W442" s="1762"/>
      <c r="X442" s="1750">
        <f t="shared" si="16"/>
        <v>0</v>
      </c>
      <c r="Y442" s="175">
        <f t="shared" si="17"/>
        <v>0</v>
      </c>
    </row>
    <row r="443" spans="1:25" ht="30" x14ac:dyDescent="0.25">
      <c r="A443" s="32"/>
      <c r="B443" s="32"/>
      <c r="C443" s="32"/>
      <c r="D443" s="32"/>
      <c r="E443" s="32"/>
      <c r="F443" s="32">
        <v>1</v>
      </c>
      <c r="G443" s="32"/>
      <c r="H443" s="66" t="str">
        <f>'BID II'!B858</f>
        <v>Belanja Barang Perlengkapan</v>
      </c>
      <c r="I443" s="32"/>
      <c r="J443" s="66"/>
      <c r="K443" s="851" t="s">
        <v>3030</v>
      </c>
      <c r="L443" s="1753"/>
      <c r="M443" s="1753"/>
      <c r="N443" s="1753"/>
      <c r="O443" s="1753"/>
      <c r="P443" s="1758"/>
      <c r="Q443" s="1758"/>
      <c r="R443" s="1758"/>
      <c r="S443" s="1758"/>
      <c r="T443" s="1762"/>
      <c r="U443" s="1762"/>
      <c r="V443" s="1762"/>
      <c r="W443" s="1762"/>
      <c r="X443" s="1750">
        <f t="shared" si="16"/>
        <v>0</v>
      </c>
      <c r="Y443" s="175">
        <f t="shared" si="17"/>
        <v>0</v>
      </c>
    </row>
    <row r="444" spans="1:25" ht="30" x14ac:dyDescent="0.25">
      <c r="A444" s="32"/>
      <c r="B444" s="32"/>
      <c r="C444" s="32"/>
      <c r="D444" s="32"/>
      <c r="E444" s="32"/>
      <c r="F444" s="32"/>
      <c r="G444" s="1340" t="s">
        <v>2705</v>
      </c>
      <c r="H444" s="66" t="str">
        <f>'BID II'!B859</f>
        <v>Belanja Perlengkapan Barang Konsumsi</v>
      </c>
      <c r="I444" s="174">
        <f>'BID II'!F860</f>
        <v>1380000</v>
      </c>
      <c r="J444" s="66" t="s">
        <v>2644</v>
      </c>
      <c r="K444" s="851" t="s">
        <v>3030</v>
      </c>
      <c r="L444" s="1753"/>
      <c r="M444" s="1753"/>
      <c r="N444" s="1753"/>
      <c r="O444" s="1753"/>
      <c r="P444" s="1758"/>
      <c r="Q444" s="1758"/>
      <c r="R444" s="1759">
        <v>1380000</v>
      </c>
      <c r="S444" s="1758"/>
      <c r="T444" s="1762"/>
      <c r="U444" s="1762"/>
      <c r="V444" s="1762"/>
      <c r="W444" s="1762"/>
      <c r="X444" s="1750">
        <f t="shared" si="16"/>
        <v>1380000</v>
      </c>
      <c r="Y444" s="175">
        <f t="shared" si="17"/>
        <v>0</v>
      </c>
    </row>
    <row r="445" spans="1:25" ht="30" x14ac:dyDescent="0.25">
      <c r="A445" s="32"/>
      <c r="B445" s="32"/>
      <c r="C445" s="32"/>
      <c r="D445" s="32"/>
      <c r="E445" s="32"/>
      <c r="F445" s="32"/>
      <c r="G445" s="1340" t="s">
        <v>2707</v>
      </c>
      <c r="H445" s="66" t="str">
        <f>'BID II'!B862</f>
        <v>Belanja Bendera/ Umbul-umbul/ Spanduk</v>
      </c>
      <c r="I445" s="174">
        <f>'BID II'!F863</f>
        <v>90000</v>
      </c>
      <c r="J445" s="66" t="s">
        <v>2644</v>
      </c>
      <c r="K445" s="851" t="s">
        <v>3030</v>
      </c>
      <c r="L445" s="1753"/>
      <c r="M445" s="1753"/>
      <c r="N445" s="1753"/>
      <c r="O445" s="1753"/>
      <c r="P445" s="1758"/>
      <c r="Q445" s="1758"/>
      <c r="R445" s="1759">
        <v>90000</v>
      </c>
      <c r="S445" s="1758"/>
      <c r="T445" s="1762"/>
      <c r="U445" s="1762"/>
      <c r="V445" s="1762"/>
      <c r="W445" s="1762"/>
      <c r="X445" s="1750">
        <f t="shared" si="16"/>
        <v>90000</v>
      </c>
      <c r="Y445" s="175">
        <f t="shared" si="17"/>
        <v>0</v>
      </c>
    </row>
    <row r="446" spans="1:25" ht="60" x14ac:dyDescent="0.25">
      <c r="A446" s="32"/>
      <c r="B446" s="32"/>
      <c r="C446" s="32"/>
      <c r="D446" s="32">
        <v>5</v>
      </c>
      <c r="E446" s="32">
        <v>2</v>
      </c>
      <c r="F446" s="32">
        <v>2</v>
      </c>
      <c r="G446" s="1340" t="s">
        <v>2704</v>
      </c>
      <c r="H446" s="66" t="str">
        <f>'BID II'!B865</f>
        <v>Belanja Jasa Honorarium Ahli/ Profesi/Konsultan/Narasumber</v>
      </c>
      <c r="I446" s="174">
        <f>'BID II'!F866</f>
        <v>600000</v>
      </c>
      <c r="J446" s="66" t="s">
        <v>2644</v>
      </c>
      <c r="K446" s="851" t="s">
        <v>3030</v>
      </c>
      <c r="L446" s="1753"/>
      <c r="M446" s="1753"/>
      <c r="N446" s="1753"/>
      <c r="O446" s="1753"/>
      <c r="P446" s="1758"/>
      <c r="Q446" s="1758"/>
      <c r="R446" s="1759">
        <v>600000</v>
      </c>
      <c r="S446" s="1758"/>
      <c r="T446" s="1762"/>
      <c r="U446" s="1762"/>
      <c r="V446" s="1762"/>
      <c r="W446" s="1762"/>
      <c r="X446" s="1750">
        <f t="shared" si="16"/>
        <v>600000</v>
      </c>
      <c r="Y446" s="175">
        <f t="shared" si="17"/>
        <v>0</v>
      </c>
    </row>
    <row r="447" spans="1:25" ht="60" x14ac:dyDescent="0.25">
      <c r="A447" s="1344">
        <v>2</v>
      </c>
      <c r="B447" s="1344">
        <v>2</v>
      </c>
      <c r="C447" s="1346" t="s">
        <v>2704</v>
      </c>
      <c r="D447" s="1344"/>
      <c r="E447" s="1344"/>
      <c r="F447" s="1344"/>
      <c r="G447" s="1344"/>
      <c r="H447" s="1345" t="str">
        <f>'BID II'!B882</f>
        <v>: Penyuluhan dan Pelatihan Bidang Kesehatan (Desa Siaga Kesehatan)</v>
      </c>
      <c r="I447" s="1347">
        <f>SUM(I448:I456)</f>
        <v>2592000</v>
      </c>
      <c r="J447" s="1345" t="s">
        <v>2625</v>
      </c>
      <c r="K447" s="1796" t="s">
        <v>3030</v>
      </c>
      <c r="L447" s="1344"/>
      <c r="M447" s="1344"/>
      <c r="N447" s="1344"/>
      <c r="O447" s="1344"/>
      <c r="P447" s="1344"/>
      <c r="Q447" s="1344"/>
      <c r="R447" s="1344"/>
      <c r="S447" s="1344"/>
      <c r="T447" s="1344"/>
      <c r="U447" s="1344"/>
      <c r="V447" s="1344"/>
      <c r="W447" s="1344"/>
      <c r="X447" s="1353">
        <f t="shared" si="16"/>
        <v>0</v>
      </c>
      <c r="Y447" s="175">
        <f t="shared" si="17"/>
        <v>-2592000</v>
      </c>
    </row>
    <row r="448" spans="1:25" ht="30" x14ac:dyDescent="0.25">
      <c r="A448" s="32"/>
      <c r="B448" s="32"/>
      <c r="C448" s="32"/>
      <c r="D448" s="32">
        <v>5</v>
      </c>
      <c r="E448" s="32">
        <v>2</v>
      </c>
      <c r="F448" s="32"/>
      <c r="G448" s="32"/>
      <c r="H448" s="66" t="str">
        <f>'BID II'!B887</f>
        <v>Belanja Barang Jasa</v>
      </c>
      <c r="I448" s="32"/>
      <c r="J448" s="66"/>
      <c r="K448" s="851" t="s">
        <v>3030</v>
      </c>
      <c r="L448" s="1753"/>
      <c r="M448" s="1753"/>
      <c r="N448" s="1753"/>
      <c r="O448" s="1753"/>
      <c r="P448" s="1758"/>
      <c r="Q448" s="1758"/>
      <c r="R448" s="1758"/>
      <c r="S448" s="1758"/>
      <c r="T448" s="1762"/>
      <c r="U448" s="1762"/>
      <c r="V448" s="1762"/>
      <c r="W448" s="1762"/>
      <c r="X448" s="1750">
        <f t="shared" si="16"/>
        <v>0</v>
      </c>
      <c r="Y448" s="175">
        <f t="shared" si="17"/>
        <v>0</v>
      </c>
    </row>
    <row r="449" spans="1:25" ht="30" x14ac:dyDescent="0.25">
      <c r="A449" s="32"/>
      <c r="B449" s="32"/>
      <c r="C449" s="32"/>
      <c r="D449" s="32"/>
      <c r="E449" s="32"/>
      <c r="F449" s="32">
        <v>1</v>
      </c>
      <c r="G449" s="32"/>
      <c r="H449" s="66" t="str">
        <f>'BID II'!B888</f>
        <v>Belanja Barang Perlengkapan</v>
      </c>
      <c r="I449" s="32"/>
      <c r="J449" s="66"/>
      <c r="K449" s="851" t="s">
        <v>3030</v>
      </c>
      <c r="L449" s="1753"/>
      <c r="M449" s="1753"/>
      <c r="N449" s="1753"/>
      <c r="O449" s="1753"/>
      <c r="P449" s="1758"/>
      <c r="Q449" s="1758"/>
      <c r="R449" s="1758"/>
      <c r="S449" s="1758"/>
      <c r="T449" s="1762"/>
      <c r="U449" s="1762"/>
      <c r="V449" s="1762"/>
      <c r="W449" s="1762"/>
      <c r="X449" s="1750">
        <f t="shared" si="16"/>
        <v>0</v>
      </c>
      <c r="Y449" s="175">
        <f t="shared" si="17"/>
        <v>0</v>
      </c>
    </row>
    <row r="450" spans="1:25" ht="30" x14ac:dyDescent="0.25">
      <c r="A450" s="32"/>
      <c r="B450" s="32"/>
      <c r="C450" s="32"/>
      <c r="D450" s="32"/>
      <c r="E450" s="32"/>
      <c r="F450" s="32"/>
      <c r="G450" s="1340" t="s">
        <v>2688</v>
      </c>
      <c r="H450" s="66" t="str">
        <f>'BID II'!B889</f>
        <v>Belanja Alat Tulis Kantor dan Benda Pos</v>
      </c>
      <c r="I450" s="174">
        <f>SUM('BID II'!F890:F891)</f>
        <v>377000</v>
      </c>
      <c r="J450" s="66" t="s">
        <v>2625</v>
      </c>
      <c r="K450" s="851" t="s">
        <v>3030</v>
      </c>
      <c r="L450" s="1753"/>
      <c r="M450" s="1753"/>
      <c r="N450" s="1753"/>
      <c r="O450" s="1753"/>
      <c r="P450" s="1758"/>
      <c r="Q450" s="1758"/>
      <c r="R450" s="1759">
        <v>377000</v>
      </c>
      <c r="S450" s="1758"/>
      <c r="T450" s="1762"/>
      <c r="U450" s="1762"/>
      <c r="V450" s="1762"/>
      <c r="W450" s="1762"/>
      <c r="X450" s="1750">
        <f t="shared" si="16"/>
        <v>377000</v>
      </c>
      <c r="Y450" s="175">
        <f t="shared" si="17"/>
        <v>0</v>
      </c>
    </row>
    <row r="451" spans="1:25" ht="30" x14ac:dyDescent="0.25">
      <c r="A451" s="32"/>
      <c r="B451" s="32"/>
      <c r="C451" s="32"/>
      <c r="D451" s="32"/>
      <c r="E451" s="32"/>
      <c r="F451" s="32"/>
      <c r="G451" s="1340" t="s">
        <v>2705</v>
      </c>
      <c r="H451" s="66" t="str">
        <f>'BID II'!B893</f>
        <v>Belanja Perlengkapan Barang Konsumsi</v>
      </c>
      <c r="I451" s="174">
        <f>'BID II'!F894</f>
        <v>750000</v>
      </c>
      <c r="J451" s="66" t="s">
        <v>2625</v>
      </c>
      <c r="K451" s="851" t="s">
        <v>3030</v>
      </c>
      <c r="L451" s="1753"/>
      <c r="M451" s="1753"/>
      <c r="N451" s="1753"/>
      <c r="O451" s="1753"/>
      <c r="P451" s="1758"/>
      <c r="Q451" s="1758"/>
      <c r="R451" s="1759">
        <v>750000</v>
      </c>
      <c r="S451" s="1758"/>
      <c r="T451" s="1762"/>
      <c r="U451" s="1762"/>
      <c r="V451" s="1762"/>
      <c r="W451" s="1762"/>
      <c r="X451" s="1750">
        <f t="shared" si="16"/>
        <v>750000</v>
      </c>
      <c r="Y451" s="175">
        <f t="shared" si="17"/>
        <v>0</v>
      </c>
    </row>
    <row r="452" spans="1:25" ht="30" x14ac:dyDescent="0.25">
      <c r="A452" s="32"/>
      <c r="B452" s="32"/>
      <c r="C452" s="32"/>
      <c r="D452" s="32"/>
      <c r="E452" s="32"/>
      <c r="F452" s="32"/>
      <c r="G452" s="1340" t="s">
        <v>2707</v>
      </c>
      <c r="H452" s="66" t="str">
        <f>'BID II'!B896</f>
        <v>Belanja Bendera/ Umbul-umbul/ Spanduk</v>
      </c>
      <c r="I452" s="174">
        <f>'BID II'!F897</f>
        <v>90000</v>
      </c>
      <c r="J452" s="66" t="s">
        <v>2625</v>
      </c>
      <c r="K452" s="851" t="s">
        <v>3030</v>
      </c>
      <c r="L452" s="1753"/>
      <c r="M452" s="1753"/>
      <c r="N452" s="1753"/>
      <c r="O452" s="1753"/>
      <c r="P452" s="1758"/>
      <c r="Q452" s="1758"/>
      <c r="R452" s="1759">
        <v>90000</v>
      </c>
      <c r="S452" s="1758"/>
      <c r="T452" s="1762"/>
      <c r="U452" s="1762"/>
      <c r="V452" s="1762"/>
      <c r="W452" s="1762"/>
      <c r="X452" s="1750">
        <f t="shared" si="16"/>
        <v>90000</v>
      </c>
      <c r="Y452" s="175">
        <f t="shared" si="17"/>
        <v>0</v>
      </c>
    </row>
    <row r="453" spans="1:25" ht="30" x14ac:dyDescent="0.25">
      <c r="A453" s="32"/>
      <c r="B453" s="32"/>
      <c r="C453" s="32"/>
      <c r="D453" s="32"/>
      <c r="E453" s="32"/>
      <c r="F453" s="32"/>
      <c r="G453" s="32">
        <v>90</v>
      </c>
      <c r="H453" s="66" t="str">
        <f>'BID II'!B899</f>
        <v>Belanja Upakara, Upacara Dan Aci-Aci</v>
      </c>
      <c r="I453" s="174">
        <f>'BID II'!F900+'BID II'!F901+'BID II'!F902</f>
        <v>75000</v>
      </c>
      <c r="J453" s="66" t="s">
        <v>2625</v>
      </c>
      <c r="K453" s="851" t="s">
        <v>3030</v>
      </c>
      <c r="L453" s="1753"/>
      <c r="M453" s="1753"/>
      <c r="N453" s="1753"/>
      <c r="O453" s="1753"/>
      <c r="P453" s="1758"/>
      <c r="Q453" s="1758"/>
      <c r="R453" s="1759">
        <v>75000</v>
      </c>
      <c r="S453" s="1758"/>
      <c r="T453" s="1762"/>
      <c r="U453" s="1762"/>
      <c r="V453" s="1762"/>
      <c r="W453" s="1762"/>
      <c r="X453" s="1750">
        <f t="shared" si="16"/>
        <v>75000</v>
      </c>
      <c r="Y453" s="175">
        <f t="shared" si="17"/>
        <v>0</v>
      </c>
    </row>
    <row r="454" spans="1:25" ht="30" x14ac:dyDescent="0.25">
      <c r="A454" s="32"/>
      <c r="B454" s="32"/>
      <c r="C454" s="32"/>
      <c r="D454" s="32">
        <v>5</v>
      </c>
      <c r="E454" s="32">
        <v>2</v>
      </c>
      <c r="F454" s="32">
        <v>2</v>
      </c>
      <c r="G454" s="32"/>
      <c r="H454" s="66" t="str">
        <f>'BID II'!B904</f>
        <v>Belanja  Jasa Honorarium</v>
      </c>
      <c r="I454" s="32"/>
      <c r="J454" s="66"/>
      <c r="K454" s="851" t="s">
        <v>3030</v>
      </c>
      <c r="L454" s="1753"/>
      <c r="M454" s="1753"/>
      <c r="N454" s="1753"/>
      <c r="O454" s="1753"/>
      <c r="P454" s="1758"/>
      <c r="Q454" s="1758"/>
      <c r="R454" s="1759"/>
      <c r="S454" s="1758"/>
      <c r="T454" s="1762"/>
      <c r="U454" s="1762"/>
      <c r="V454" s="1762"/>
      <c r="W454" s="1762"/>
      <c r="X454" s="1750">
        <f t="shared" si="16"/>
        <v>0</v>
      </c>
      <c r="Y454" s="175">
        <f t="shared" si="17"/>
        <v>0</v>
      </c>
    </row>
    <row r="455" spans="1:25" ht="45" x14ac:dyDescent="0.25">
      <c r="A455" s="32"/>
      <c r="B455" s="32"/>
      <c r="C455" s="32"/>
      <c r="D455" s="32"/>
      <c r="E455" s="32"/>
      <c r="F455" s="32"/>
      <c r="G455" s="1340" t="s">
        <v>2688</v>
      </c>
      <c r="H455" s="66" t="str">
        <f>'BID II'!B905</f>
        <v>Belanja  Jasa Honorarium Tim yang Melaksanakan Kegiatan</v>
      </c>
      <c r="I455" s="174">
        <f>SUM('BID II'!F906:F907)</f>
        <v>700000</v>
      </c>
      <c r="J455" s="66" t="s">
        <v>2625</v>
      </c>
      <c r="K455" s="851" t="s">
        <v>3030</v>
      </c>
      <c r="L455" s="1753"/>
      <c r="M455" s="1753"/>
      <c r="N455" s="1753"/>
      <c r="O455" s="1753"/>
      <c r="P455" s="1758"/>
      <c r="Q455" s="1758"/>
      <c r="R455" s="1759">
        <v>700000</v>
      </c>
      <c r="S455" s="1758"/>
      <c r="T455" s="1762"/>
      <c r="U455" s="1762"/>
      <c r="V455" s="1762"/>
      <c r="W455" s="1762"/>
      <c r="X455" s="1750">
        <f t="shared" si="16"/>
        <v>700000</v>
      </c>
      <c r="Y455" s="175">
        <f t="shared" si="17"/>
        <v>0</v>
      </c>
    </row>
    <row r="456" spans="1:25" ht="45" x14ac:dyDescent="0.25">
      <c r="A456" s="32"/>
      <c r="B456" s="32"/>
      <c r="C456" s="32"/>
      <c r="D456" s="32"/>
      <c r="E456" s="32"/>
      <c r="F456" s="32"/>
      <c r="G456" s="1340" t="s">
        <v>2704</v>
      </c>
      <c r="H456" s="66" t="str">
        <f>'BID II'!B909</f>
        <v>Belanja Jasa Honorarium Ahli/Profesi/Konsultan/Narasumber</v>
      </c>
      <c r="I456" s="174">
        <f>'BID II'!F910</f>
        <v>600000</v>
      </c>
      <c r="J456" s="66" t="s">
        <v>2625</v>
      </c>
      <c r="K456" s="851" t="s">
        <v>3030</v>
      </c>
      <c r="L456" s="1753"/>
      <c r="M456" s="1753"/>
      <c r="N456" s="1753"/>
      <c r="O456" s="1753"/>
      <c r="P456" s="1758"/>
      <c r="Q456" s="1758"/>
      <c r="R456" s="1759">
        <v>600000</v>
      </c>
      <c r="S456" s="1758"/>
      <c r="T456" s="1762"/>
      <c r="U456" s="1762"/>
      <c r="V456" s="1762"/>
      <c r="W456" s="1762"/>
      <c r="X456" s="1750">
        <f t="shared" si="16"/>
        <v>600000</v>
      </c>
      <c r="Y456" s="175">
        <f t="shared" si="17"/>
        <v>0</v>
      </c>
    </row>
    <row r="457" spans="1:25" ht="75" x14ac:dyDescent="0.25">
      <c r="A457" s="1344">
        <v>2</v>
      </c>
      <c r="B457" s="1344">
        <v>2</v>
      </c>
      <c r="C457" s="1346" t="s">
        <v>2704</v>
      </c>
      <c r="D457" s="1344"/>
      <c r="E457" s="1344"/>
      <c r="F457" s="1344"/>
      <c r="G457" s="1344"/>
      <c r="H457" s="1345" t="str">
        <f>'BID II'!B928</f>
        <v>: Penyuluhan dan Pelatihan Bidang Kesehatan (Pembinaan Penangulangan Rabies Desa)</v>
      </c>
      <c r="I457" s="1347">
        <f>SUM(I458:I469)</f>
        <v>26452500</v>
      </c>
      <c r="J457" s="1345" t="s">
        <v>1682</v>
      </c>
      <c r="K457" s="1796" t="s">
        <v>3030</v>
      </c>
      <c r="L457" s="1349"/>
      <c r="M457" s="1344"/>
      <c r="N457" s="1344"/>
      <c r="O457" s="1344"/>
      <c r="P457" s="1344"/>
      <c r="Q457" s="1344"/>
      <c r="R457" s="1344"/>
      <c r="S457" s="1344"/>
      <c r="T457" s="1344"/>
      <c r="U457" s="1344"/>
      <c r="V457" s="1344"/>
      <c r="W457" s="1344"/>
      <c r="X457" s="1353">
        <f t="shared" si="16"/>
        <v>0</v>
      </c>
      <c r="Y457" s="175">
        <f t="shared" si="17"/>
        <v>-26452500</v>
      </c>
    </row>
    <row r="458" spans="1:25" ht="30" x14ac:dyDescent="0.25">
      <c r="A458" s="32"/>
      <c r="B458" s="32"/>
      <c r="C458" s="32"/>
      <c r="D458" s="32">
        <v>5</v>
      </c>
      <c r="E458" s="32">
        <v>2</v>
      </c>
      <c r="F458" s="32"/>
      <c r="G458" s="32"/>
      <c r="H458" s="66" t="str">
        <f>'BID II'!B933</f>
        <v>Belanja Barang Jasa</v>
      </c>
      <c r="I458" s="32"/>
      <c r="J458" s="66"/>
      <c r="K458" s="851" t="s">
        <v>3030</v>
      </c>
      <c r="L458" s="1753"/>
      <c r="M458" s="1753"/>
      <c r="N458" s="1753"/>
      <c r="O458" s="1753"/>
      <c r="P458" s="1758"/>
      <c r="Q458" s="1758"/>
      <c r="R458" s="1758"/>
      <c r="S458" s="1758"/>
      <c r="T458" s="1762"/>
      <c r="U458" s="1762"/>
      <c r="V458" s="1762"/>
      <c r="W458" s="1762"/>
      <c r="X458" s="1750">
        <f t="shared" si="16"/>
        <v>0</v>
      </c>
      <c r="Y458" s="175">
        <f t="shared" si="17"/>
        <v>0</v>
      </c>
    </row>
    <row r="459" spans="1:25" ht="30" x14ac:dyDescent="0.25">
      <c r="A459" s="32"/>
      <c r="B459" s="32"/>
      <c r="C459" s="32"/>
      <c r="D459" s="32"/>
      <c r="E459" s="32"/>
      <c r="F459" s="32">
        <v>1</v>
      </c>
      <c r="G459" s="32"/>
      <c r="H459" s="66" t="str">
        <f>'BID II'!B934</f>
        <v>Belanja Barang Perlengkapan</v>
      </c>
      <c r="I459" s="32"/>
      <c r="J459" s="66"/>
      <c r="K459" s="851" t="s">
        <v>3030</v>
      </c>
      <c r="L459" s="1753"/>
      <c r="M459" s="1753"/>
      <c r="N459" s="1753"/>
      <c r="O459" s="1753"/>
      <c r="P459" s="1758"/>
      <c r="Q459" s="1758"/>
      <c r="R459" s="1758"/>
      <c r="S459" s="1758"/>
      <c r="T459" s="1762"/>
      <c r="U459" s="1762"/>
      <c r="V459" s="1762"/>
      <c r="W459" s="1762"/>
      <c r="X459" s="1750">
        <f t="shared" si="16"/>
        <v>0</v>
      </c>
      <c r="Y459" s="175">
        <f t="shared" si="17"/>
        <v>0</v>
      </c>
    </row>
    <row r="460" spans="1:25" ht="30" x14ac:dyDescent="0.25">
      <c r="A460" s="32"/>
      <c r="B460" s="32"/>
      <c r="C460" s="32"/>
      <c r="D460" s="32"/>
      <c r="E460" s="32"/>
      <c r="F460" s="32"/>
      <c r="G460" s="1340" t="s">
        <v>2688</v>
      </c>
      <c r="H460" s="66" t="str">
        <f>'BID II'!B935</f>
        <v>Belanja Alat Tulis Kantor dan Benda Pos</v>
      </c>
      <c r="I460" s="174">
        <f>SUM('BID II'!F936:F938)</f>
        <v>10217500</v>
      </c>
      <c r="J460" s="66" t="s">
        <v>1682</v>
      </c>
      <c r="K460" s="851" t="s">
        <v>3030</v>
      </c>
      <c r="L460" s="1753"/>
      <c r="M460" s="1753"/>
      <c r="N460" s="1753"/>
      <c r="O460" s="1753"/>
      <c r="P460" s="1758"/>
      <c r="Q460" s="1758"/>
      <c r="R460" s="1758"/>
      <c r="S460" s="1759">
        <v>10217500</v>
      </c>
      <c r="T460" s="1762"/>
      <c r="U460" s="1762"/>
      <c r="V460" s="1762"/>
      <c r="W460" s="1762"/>
      <c r="X460" s="1750">
        <f t="shared" si="16"/>
        <v>10217500</v>
      </c>
      <c r="Y460" s="175">
        <f t="shared" si="17"/>
        <v>0</v>
      </c>
    </row>
    <row r="461" spans="1:25" ht="30" x14ac:dyDescent="0.25">
      <c r="A461" s="32"/>
      <c r="B461" s="32"/>
      <c r="C461" s="32"/>
      <c r="D461" s="32"/>
      <c r="E461" s="32"/>
      <c r="F461" s="32"/>
      <c r="G461" s="1340" t="s">
        <v>2705</v>
      </c>
      <c r="H461" s="66" t="str">
        <f>'BID II'!B939</f>
        <v>Belanja Perlengkapan Barang Konsumsi</v>
      </c>
      <c r="I461" s="174">
        <f>SUM('BID II'!F940:F942)</f>
        <v>8925000</v>
      </c>
      <c r="J461" s="66" t="s">
        <v>1682</v>
      </c>
      <c r="K461" s="851" t="s">
        <v>3030</v>
      </c>
      <c r="L461" s="1753"/>
      <c r="M461" s="1753"/>
      <c r="N461" s="1753"/>
      <c r="O461" s="1753"/>
      <c r="P461" s="1758"/>
      <c r="Q461" s="1758"/>
      <c r="R461" s="1758"/>
      <c r="S461" s="1759">
        <v>8925000</v>
      </c>
      <c r="T461" s="1762"/>
      <c r="U461" s="1762"/>
      <c r="V461" s="1762"/>
      <c r="W461" s="1762"/>
      <c r="X461" s="1750">
        <f t="shared" si="16"/>
        <v>8925000</v>
      </c>
      <c r="Y461" s="175">
        <f t="shared" si="17"/>
        <v>0</v>
      </c>
    </row>
    <row r="462" spans="1:25" ht="30" x14ac:dyDescent="0.25">
      <c r="A462" s="32"/>
      <c r="B462" s="32"/>
      <c r="C462" s="32"/>
      <c r="D462" s="32"/>
      <c r="E462" s="32"/>
      <c r="F462" s="32"/>
      <c r="G462" s="1340" t="s">
        <v>2707</v>
      </c>
      <c r="H462" s="66" t="str">
        <f>'BID II'!B944</f>
        <v>Belanja Bendera/ Umbul-umbul/ Spanduk</v>
      </c>
      <c r="I462" s="174">
        <f>SUM('BID II'!F945:F947)</f>
        <v>1530000</v>
      </c>
      <c r="J462" s="66" t="s">
        <v>1682</v>
      </c>
      <c r="K462" s="851" t="s">
        <v>3030</v>
      </c>
      <c r="L462" s="1753"/>
      <c r="M462" s="1753"/>
      <c r="N462" s="1753"/>
      <c r="O462" s="1753"/>
      <c r="P462" s="1758"/>
      <c r="Q462" s="1758"/>
      <c r="R462" s="1758"/>
      <c r="S462" s="1759">
        <v>1530000</v>
      </c>
      <c r="T462" s="1762"/>
      <c r="U462" s="1762"/>
      <c r="V462" s="1762"/>
      <c r="W462" s="1762"/>
      <c r="X462" s="1750">
        <f t="shared" si="16"/>
        <v>1530000</v>
      </c>
      <c r="Y462" s="175">
        <f t="shared" si="17"/>
        <v>0</v>
      </c>
    </row>
    <row r="463" spans="1:25" ht="30" x14ac:dyDescent="0.25">
      <c r="A463" s="32"/>
      <c r="B463" s="32"/>
      <c r="C463" s="32"/>
      <c r="D463" s="32"/>
      <c r="E463" s="32"/>
      <c r="F463" s="32"/>
      <c r="G463" s="32">
        <v>90</v>
      </c>
      <c r="H463" s="66" t="str">
        <f>'BID II'!B948</f>
        <v>Belanja Upakara, Upacara Dan Aci-Aci</v>
      </c>
      <c r="I463" s="174">
        <f>SUM('BID II'!F949:F951)</f>
        <v>390000</v>
      </c>
      <c r="J463" s="66" t="s">
        <v>1682</v>
      </c>
      <c r="K463" s="851" t="s">
        <v>3030</v>
      </c>
      <c r="L463" s="1753"/>
      <c r="M463" s="1753"/>
      <c r="N463" s="1753"/>
      <c r="O463" s="1753"/>
      <c r="P463" s="1758"/>
      <c r="Q463" s="1758"/>
      <c r="R463" s="1758"/>
      <c r="S463" s="1759">
        <v>390000</v>
      </c>
      <c r="T463" s="1762"/>
      <c r="U463" s="1762"/>
      <c r="V463" s="1762"/>
      <c r="W463" s="1762"/>
      <c r="X463" s="1750">
        <f t="shared" si="16"/>
        <v>390000</v>
      </c>
      <c r="Y463" s="175">
        <f t="shared" si="17"/>
        <v>0</v>
      </c>
    </row>
    <row r="464" spans="1:25" ht="30" x14ac:dyDescent="0.25">
      <c r="A464" s="32"/>
      <c r="B464" s="32"/>
      <c r="C464" s="32"/>
      <c r="D464" s="32">
        <v>5</v>
      </c>
      <c r="E464" s="32">
        <v>2</v>
      </c>
      <c r="F464" s="32">
        <v>2</v>
      </c>
      <c r="G464" s="32"/>
      <c r="H464" s="66" t="str">
        <f>'BID II'!B953</f>
        <v>Belanja  Jasa Honorarium</v>
      </c>
      <c r="I464" s="32"/>
      <c r="J464" s="66"/>
      <c r="K464" s="851" t="s">
        <v>3030</v>
      </c>
      <c r="L464" s="1753"/>
      <c r="M464" s="1753"/>
      <c r="N464" s="1753"/>
      <c r="O464" s="1753"/>
      <c r="P464" s="1758"/>
      <c r="Q464" s="1758"/>
      <c r="R464" s="1758"/>
      <c r="S464" s="1759"/>
      <c r="T464" s="1762"/>
      <c r="U464" s="1762"/>
      <c r="V464" s="1762"/>
      <c r="W464" s="1762"/>
      <c r="X464" s="1750">
        <f t="shared" si="16"/>
        <v>0</v>
      </c>
      <c r="Y464" s="175">
        <f t="shared" si="17"/>
        <v>0</v>
      </c>
    </row>
    <row r="465" spans="1:25" ht="45" x14ac:dyDescent="0.25">
      <c r="A465" s="32"/>
      <c r="B465" s="32"/>
      <c r="C465" s="32"/>
      <c r="D465" s="32"/>
      <c r="E465" s="32"/>
      <c r="F465" s="32"/>
      <c r="G465" s="1340" t="s">
        <v>2688</v>
      </c>
      <c r="H465" s="66" t="str">
        <f>'BID II'!B954</f>
        <v>Belanja  Jasa Honorarium Tim yang Melaksanakan Kegiatan</v>
      </c>
      <c r="I465" s="174">
        <f>SUM('BID II'!F955:F957)</f>
        <v>750000</v>
      </c>
      <c r="J465" s="66" t="s">
        <v>1682</v>
      </c>
      <c r="K465" s="851" t="s">
        <v>3030</v>
      </c>
      <c r="L465" s="1753"/>
      <c r="M465" s="1753"/>
      <c r="N465" s="1753"/>
      <c r="O465" s="1753"/>
      <c r="P465" s="1758"/>
      <c r="Q465" s="1758"/>
      <c r="R465" s="1758"/>
      <c r="S465" s="1759">
        <v>750000</v>
      </c>
      <c r="T465" s="1762"/>
      <c r="U465" s="1762"/>
      <c r="V465" s="1762"/>
      <c r="W465" s="1762"/>
      <c r="X465" s="1750">
        <f t="shared" si="16"/>
        <v>750000</v>
      </c>
      <c r="Y465" s="175">
        <f t="shared" si="17"/>
        <v>0</v>
      </c>
    </row>
    <row r="466" spans="1:25" ht="45" x14ac:dyDescent="0.25">
      <c r="A466" s="32"/>
      <c r="B466" s="32"/>
      <c r="C466" s="32"/>
      <c r="D466" s="32"/>
      <c r="E466" s="32"/>
      <c r="F466" s="32"/>
      <c r="G466" s="1340" t="s">
        <v>2704</v>
      </c>
      <c r="H466" s="66" t="str">
        <f>'BID II'!B960</f>
        <v>Belanja Jasa Honorarium Ahli/Profesi/Konsultan/Narasumber</v>
      </c>
      <c r="I466" s="174">
        <f>SUM('BID II'!F961)</f>
        <v>600000</v>
      </c>
      <c r="J466" s="66" t="s">
        <v>1682</v>
      </c>
      <c r="K466" s="851" t="s">
        <v>3030</v>
      </c>
      <c r="L466" s="1753"/>
      <c r="M466" s="1753"/>
      <c r="N466" s="1753"/>
      <c r="O466" s="1753"/>
      <c r="P466" s="1758"/>
      <c r="Q466" s="1758"/>
      <c r="R466" s="1758"/>
      <c r="S466" s="1759">
        <v>600000</v>
      </c>
      <c r="T466" s="1762"/>
      <c r="U466" s="1762"/>
      <c r="V466" s="1762"/>
      <c r="W466" s="1762"/>
      <c r="X466" s="1750">
        <f t="shared" si="16"/>
        <v>600000</v>
      </c>
      <c r="Y466" s="175">
        <f t="shared" si="17"/>
        <v>0</v>
      </c>
    </row>
    <row r="467" spans="1:25" ht="30" x14ac:dyDescent="0.25">
      <c r="A467" s="32"/>
      <c r="B467" s="32"/>
      <c r="C467" s="32"/>
      <c r="D467" s="32"/>
      <c r="E467" s="32"/>
      <c r="F467" s="32"/>
      <c r="G467" s="1340" t="s">
        <v>2706</v>
      </c>
      <c r="H467" s="66" t="str">
        <f>'BID II'!B962</f>
        <v>Belanja Jasa Honor Petugas</v>
      </c>
      <c r="I467" s="174">
        <f>SUM('BID II'!F963)</f>
        <v>3600000</v>
      </c>
      <c r="J467" s="66" t="s">
        <v>1682</v>
      </c>
      <c r="K467" s="851" t="s">
        <v>3030</v>
      </c>
      <c r="L467" s="1753"/>
      <c r="M467" s="1753"/>
      <c r="N467" s="1753"/>
      <c r="O467" s="1753"/>
      <c r="P467" s="1758"/>
      <c r="Q467" s="1758"/>
      <c r="R467" s="1758"/>
      <c r="S467" s="1759">
        <v>3600000</v>
      </c>
      <c r="T467" s="1762"/>
      <c r="U467" s="1762"/>
      <c r="V467" s="1762"/>
      <c r="W467" s="1762"/>
      <c r="X467" s="1750">
        <f t="shared" si="16"/>
        <v>3600000</v>
      </c>
      <c r="Y467" s="175">
        <f t="shared" si="17"/>
        <v>0</v>
      </c>
    </row>
    <row r="468" spans="1:25" ht="45" x14ac:dyDescent="0.25">
      <c r="A468" s="32"/>
      <c r="B468" s="32"/>
      <c r="C468" s="32"/>
      <c r="D468" s="32">
        <v>5</v>
      </c>
      <c r="E468" s="32">
        <v>2</v>
      </c>
      <c r="F468" s="32">
        <v>7</v>
      </c>
      <c r="G468" s="32"/>
      <c r="H468" s="66" t="str">
        <f>'BID II'!B964</f>
        <v>Belanja Barang yang di Serahkan kepada masyarakat</v>
      </c>
      <c r="I468" s="32"/>
      <c r="J468" s="66"/>
      <c r="K468" s="851" t="s">
        <v>3030</v>
      </c>
      <c r="L468" s="1753"/>
      <c r="M468" s="1753"/>
      <c r="N468" s="1753"/>
      <c r="O468" s="1753"/>
      <c r="P468" s="1758"/>
      <c r="Q468" s="1758"/>
      <c r="R468" s="1758"/>
      <c r="S468" s="1759"/>
      <c r="T468" s="1762"/>
      <c r="U468" s="1762"/>
      <c r="V468" s="1762"/>
      <c r="W468" s="1762"/>
      <c r="X468" s="1750">
        <f t="shared" si="16"/>
        <v>0</v>
      </c>
      <c r="Y468" s="175">
        <f t="shared" si="17"/>
        <v>0</v>
      </c>
    </row>
    <row r="469" spans="1:25" ht="45" x14ac:dyDescent="0.25">
      <c r="A469" s="32"/>
      <c r="B469" s="32"/>
      <c r="C469" s="32"/>
      <c r="D469" s="32"/>
      <c r="E469" s="32"/>
      <c r="F469" s="32"/>
      <c r="G469" s="32">
        <v>99</v>
      </c>
      <c r="H469" s="66" t="str">
        <f>'BID II'!B965</f>
        <v>Belanja Barang yang di Serahkan kepada masyarakat Lainnya</v>
      </c>
      <c r="I469" s="174">
        <f>SUM('BID II'!F966:F967)</f>
        <v>440000</v>
      </c>
      <c r="J469" s="66" t="s">
        <v>1682</v>
      </c>
      <c r="K469" s="851" t="s">
        <v>3030</v>
      </c>
      <c r="L469" s="1753"/>
      <c r="M469" s="1753"/>
      <c r="N469" s="1753"/>
      <c r="O469" s="1753"/>
      <c r="P469" s="1758"/>
      <c r="Q469" s="1758"/>
      <c r="R469" s="1758"/>
      <c r="S469" s="1759">
        <v>440000</v>
      </c>
      <c r="T469" s="1762"/>
      <c r="U469" s="1762"/>
      <c r="V469" s="1762"/>
      <c r="W469" s="1762"/>
      <c r="X469" s="1750">
        <f t="shared" si="16"/>
        <v>440000</v>
      </c>
      <c r="Y469" s="175">
        <f t="shared" si="17"/>
        <v>0</v>
      </c>
    </row>
    <row r="470" spans="1:25" ht="60" x14ac:dyDescent="0.25">
      <c r="A470" s="1344">
        <v>2</v>
      </c>
      <c r="B470" s="1344">
        <v>2</v>
      </c>
      <c r="C470" s="1346" t="s">
        <v>2702</v>
      </c>
      <c r="D470" s="1344"/>
      <c r="E470" s="1344"/>
      <c r="F470" s="1344"/>
      <c r="G470" s="1344"/>
      <c r="H470" s="1345" t="str">
        <f>'BID II'!B982</f>
        <v xml:space="preserve"> :  Pengasuhan Bersama atau Bina Keluarga Balita (Pelaksanaan Kegiatan Bina keluarga Balita BKB )</v>
      </c>
      <c r="I470" s="1347">
        <f>SUM(I471:I478)</f>
        <v>50145500</v>
      </c>
      <c r="J470" s="1345" t="s">
        <v>1682</v>
      </c>
      <c r="K470" s="1796" t="s">
        <v>3030</v>
      </c>
      <c r="L470" s="1344"/>
      <c r="M470" s="1344"/>
      <c r="N470" s="1344"/>
      <c r="O470" s="1344"/>
      <c r="P470" s="1344"/>
      <c r="Q470" s="1344"/>
      <c r="R470" s="1344"/>
      <c r="S470" s="1344"/>
      <c r="T470" s="1344"/>
      <c r="U470" s="1344"/>
      <c r="V470" s="1344"/>
      <c r="W470" s="1344"/>
      <c r="X470" s="1353">
        <f t="shared" si="16"/>
        <v>0</v>
      </c>
      <c r="Y470" s="175">
        <f t="shared" si="17"/>
        <v>-50145500</v>
      </c>
    </row>
    <row r="471" spans="1:25" ht="30" x14ac:dyDescent="0.25">
      <c r="A471" s="32"/>
      <c r="B471" s="32"/>
      <c r="C471" s="32"/>
      <c r="D471" s="32">
        <v>5</v>
      </c>
      <c r="E471" s="32">
        <v>2</v>
      </c>
      <c r="F471" s="32"/>
      <c r="G471" s="32"/>
      <c r="H471" s="32" t="str">
        <f>'BID II'!B987</f>
        <v>Belanja Barang dan Jasa</v>
      </c>
      <c r="I471" s="32"/>
      <c r="J471" s="66"/>
      <c r="K471" s="851" t="s">
        <v>3030</v>
      </c>
      <c r="L471" s="1753"/>
      <c r="M471" s="1753"/>
      <c r="N471" s="1753"/>
      <c r="O471" s="1753"/>
      <c r="P471" s="1758"/>
      <c r="Q471" s="1758"/>
      <c r="R471" s="1758"/>
      <c r="S471" s="1758"/>
      <c r="T471" s="1762"/>
      <c r="U471" s="1762"/>
      <c r="V471" s="1762"/>
      <c r="W471" s="1762"/>
      <c r="X471" s="1750">
        <f t="shared" si="16"/>
        <v>0</v>
      </c>
      <c r="Y471" s="175">
        <f t="shared" si="17"/>
        <v>0</v>
      </c>
    </row>
    <row r="472" spans="1:25" ht="30" x14ac:dyDescent="0.25">
      <c r="A472" s="32"/>
      <c r="B472" s="32"/>
      <c r="C472" s="32"/>
      <c r="D472" s="32"/>
      <c r="E472" s="32"/>
      <c r="F472" s="32">
        <v>1</v>
      </c>
      <c r="G472" s="32"/>
      <c r="H472" s="66" t="str">
        <f>'BID II'!B988</f>
        <v>Belanaja Barang Pelengkapan</v>
      </c>
      <c r="I472" s="32"/>
      <c r="J472" s="66"/>
      <c r="K472" s="851" t="s">
        <v>3030</v>
      </c>
      <c r="L472" s="1753"/>
      <c r="M472" s="1753"/>
      <c r="N472" s="1753"/>
      <c r="O472" s="1753"/>
      <c r="P472" s="1758"/>
      <c r="Q472" s="1758"/>
      <c r="R472" s="1758"/>
      <c r="S472" s="1758"/>
      <c r="T472" s="1762"/>
      <c r="U472" s="1762"/>
      <c r="V472" s="1762"/>
      <c r="W472" s="1762"/>
      <c r="X472" s="1750">
        <f t="shared" si="16"/>
        <v>0</v>
      </c>
      <c r="Y472" s="175">
        <f t="shared" si="17"/>
        <v>0</v>
      </c>
    </row>
    <row r="473" spans="1:25" ht="30" x14ac:dyDescent="0.25">
      <c r="A473" s="32"/>
      <c r="B473" s="32"/>
      <c r="C473" s="32"/>
      <c r="D473" s="32"/>
      <c r="E473" s="32"/>
      <c r="F473" s="32"/>
      <c r="G473" s="1340" t="s">
        <v>2688</v>
      </c>
      <c r="H473" s="66" t="str">
        <f>'BID II'!B989</f>
        <v>Perlangakapan Alat Tulis Kantor dan Benda POS</v>
      </c>
      <c r="I473" s="174">
        <f>SUM('BID II'!F990:F992)</f>
        <v>5325500</v>
      </c>
      <c r="J473" s="66" t="s">
        <v>1682</v>
      </c>
      <c r="K473" s="851" t="s">
        <v>3030</v>
      </c>
      <c r="L473" s="1754">
        <v>5325500</v>
      </c>
      <c r="M473" s="1753"/>
      <c r="N473" s="1753"/>
      <c r="O473" s="1753"/>
      <c r="P473" s="1758"/>
      <c r="Q473" s="1758"/>
      <c r="R473" s="1758"/>
      <c r="S473" s="1758"/>
      <c r="T473" s="1762"/>
      <c r="U473" s="1762"/>
      <c r="V473" s="1762"/>
      <c r="W473" s="1762"/>
      <c r="X473" s="1750">
        <f t="shared" si="16"/>
        <v>5325500</v>
      </c>
      <c r="Y473" s="175">
        <f t="shared" si="17"/>
        <v>0</v>
      </c>
    </row>
    <row r="474" spans="1:25" ht="30" x14ac:dyDescent="0.25">
      <c r="A474" s="32"/>
      <c r="B474" s="32"/>
      <c r="C474" s="32"/>
      <c r="D474" s="32"/>
      <c r="E474" s="32"/>
      <c r="F474" s="32"/>
      <c r="G474" s="1340" t="s">
        <v>2705</v>
      </c>
      <c r="H474" s="66" t="str">
        <f>'BID II'!B994</f>
        <v>Belanja Perlengkapan Barang Konsumsi</v>
      </c>
      <c r="I474" s="174">
        <f>SUM('BID II'!F996)</f>
        <v>5400000</v>
      </c>
      <c r="J474" s="66" t="s">
        <v>1682</v>
      </c>
      <c r="K474" s="851" t="s">
        <v>3030</v>
      </c>
      <c r="L474" s="1754">
        <v>450000</v>
      </c>
      <c r="M474" s="1754">
        <v>450000</v>
      </c>
      <c r="N474" s="1754">
        <v>450000</v>
      </c>
      <c r="O474" s="1754">
        <v>450000</v>
      </c>
      <c r="P474" s="1754">
        <v>450000</v>
      </c>
      <c r="Q474" s="1754">
        <v>450000</v>
      </c>
      <c r="R474" s="1754">
        <v>450000</v>
      </c>
      <c r="S474" s="1754">
        <v>450000</v>
      </c>
      <c r="T474" s="1754">
        <v>450000</v>
      </c>
      <c r="U474" s="1754">
        <v>450000</v>
      </c>
      <c r="V474" s="1754">
        <v>450000</v>
      </c>
      <c r="W474" s="1754">
        <v>450000</v>
      </c>
      <c r="X474" s="1750">
        <f t="shared" ref="X474:X537" si="18">SUM(L474:W474)</f>
        <v>5400000</v>
      </c>
      <c r="Y474" s="175">
        <f t="shared" ref="Y474:Y537" si="19">X474-I474</f>
        <v>0</v>
      </c>
    </row>
    <row r="475" spans="1:25" ht="30" x14ac:dyDescent="0.25">
      <c r="A475" s="32"/>
      <c r="B475" s="32"/>
      <c r="C475" s="32"/>
      <c r="D475" s="32"/>
      <c r="E475" s="32"/>
      <c r="F475" s="32"/>
      <c r="G475" s="1340" t="s">
        <v>2707</v>
      </c>
      <c r="H475" s="66" t="str">
        <f>'BID II'!B1000</f>
        <v>Belanja Bendera/Umbul - umbul Spanduk</v>
      </c>
      <c r="I475" s="174">
        <f>'BID II'!F1001</f>
        <v>540000</v>
      </c>
      <c r="J475" s="66" t="s">
        <v>1682</v>
      </c>
      <c r="K475" s="851" t="s">
        <v>3030</v>
      </c>
      <c r="L475" s="1753">
        <v>540000</v>
      </c>
      <c r="M475" s="1753"/>
      <c r="N475" s="1753"/>
      <c r="O475" s="1753"/>
      <c r="P475" s="1758"/>
      <c r="Q475" s="1758"/>
      <c r="R475" s="1758"/>
      <c r="S475" s="1758"/>
      <c r="T475" s="1762"/>
      <c r="U475" s="1762"/>
      <c r="V475" s="1762"/>
      <c r="W475" s="1762"/>
      <c r="X475" s="1750">
        <f t="shared" si="18"/>
        <v>540000</v>
      </c>
      <c r="Y475" s="175">
        <f t="shared" si="19"/>
        <v>0</v>
      </c>
    </row>
    <row r="476" spans="1:25" ht="30" x14ac:dyDescent="0.25">
      <c r="A476" s="32"/>
      <c r="B476" s="32"/>
      <c r="C476" s="32"/>
      <c r="D476" s="32"/>
      <c r="E476" s="32"/>
      <c r="F476" s="32"/>
      <c r="G476" s="32">
        <v>90</v>
      </c>
      <c r="H476" s="66" t="str">
        <f>'BID II'!B1003</f>
        <v>Belanja Upakara, Upacara Dan Aci</v>
      </c>
      <c r="I476" s="174">
        <f>SUM('BID II'!F1004:F1005)</f>
        <v>2880000</v>
      </c>
      <c r="J476" s="66" t="s">
        <v>1682</v>
      </c>
      <c r="K476" s="851" t="s">
        <v>3030</v>
      </c>
      <c r="L476" s="1754">
        <v>240000</v>
      </c>
      <c r="M476" s="1754">
        <v>240000</v>
      </c>
      <c r="N476" s="1754">
        <v>240000</v>
      </c>
      <c r="O476" s="1754">
        <v>240000</v>
      </c>
      <c r="P476" s="1754">
        <v>240000</v>
      </c>
      <c r="Q476" s="1754">
        <v>240000</v>
      </c>
      <c r="R476" s="1754">
        <v>240000</v>
      </c>
      <c r="S476" s="1754">
        <v>240000</v>
      </c>
      <c r="T476" s="1754">
        <v>240000</v>
      </c>
      <c r="U476" s="1754">
        <v>240000</v>
      </c>
      <c r="V476" s="1754">
        <v>240000</v>
      </c>
      <c r="W476" s="1754">
        <v>240000</v>
      </c>
      <c r="X476" s="1750">
        <f t="shared" si="18"/>
        <v>2880000</v>
      </c>
      <c r="Y476" s="175">
        <f t="shared" si="19"/>
        <v>0</v>
      </c>
    </row>
    <row r="477" spans="1:25" ht="30" x14ac:dyDescent="0.25">
      <c r="A477" s="32"/>
      <c r="B477" s="32"/>
      <c r="C477" s="32"/>
      <c r="D477" s="32">
        <v>5</v>
      </c>
      <c r="E477" s="32">
        <v>2</v>
      </c>
      <c r="F477" s="32">
        <v>2</v>
      </c>
      <c r="G477" s="32"/>
      <c r="H477" s="66" t="str">
        <f>'BID II'!B1006</f>
        <v>Belanja Jasa Honorarium</v>
      </c>
      <c r="I477" s="32"/>
      <c r="J477" s="66"/>
      <c r="K477" s="851" t="s">
        <v>3030</v>
      </c>
      <c r="L477" s="1753"/>
      <c r="M477" s="1753"/>
      <c r="N477" s="1753"/>
      <c r="O477" s="1753"/>
      <c r="P477" s="1758"/>
      <c r="Q477" s="1758"/>
      <c r="R477" s="1758"/>
      <c r="S477" s="1758"/>
      <c r="T477" s="1762"/>
      <c r="U477" s="1762"/>
      <c r="V477" s="1762"/>
      <c r="W477" s="1762"/>
      <c r="X477" s="1750">
        <f t="shared" si="18"/>
        <v>0</v>
      </c>
      <c r="Y477" s="175">
        <f t="shared" si="19"/>
        <v>0</v>
      </c>
    </row>
    <row r="478" spans="1:25" ht="30" x14ac:dyDescent="0.25">
      <c r="A478" s="32"/>
      <c r="B478" s="32"/>
      <c r="C478" s="32"/>
      <c r="D478" s="32"/>
      <c r="E478" s="32"/>
      <c r="F478" s="32"/>
      <c r="G478" s="1340" t="s">
        <v>2706</v>
      </c>
      <c r="H478" s="66" t="str">
        <f>'BID II'!B1007</f>
        <v>Belanja Jasa Honorarium Petugas</v>
      </c>
      <c r="I478" s="174">
        <f>SUM('BID II'!F1008)</f>
        <v>36000000</v>
      </c>
      <c r="J478" s="66" t="s">
        <v>1682</v>
      </c>
      <c r="K478" s="851" t="s">
        <v>3030</v>
      </c>
      <c r="L478" s="1754">
        <v>3000000</v>
      </c>
      <c r="M478" s="1754">
        <v>3000000</v>
      </c>
      <c r="N478" s="1754">
        <v>3000000</v>
      </c>
      <c r="O478" s="1754">
        <v>3000000</v>
      </c>
      <c r="P478" s="1754">
        <v>3000000</v>
      </c>
      <c r="Q478" s="1754">
        <v>3000000</v>
      </c>
      <c r="R478" s="1754">
        <v>3000000</v>
      </c>
      <c r="S478" s="1754">
        <v>3000000</v>
      </c>
      <c r="T478" s="1754">
        <v>3000000</v>
      </c>
      <c r="U478" s="1754">
        <v>3000000</v>
      </c>
      <c r="V478" s="1754">
        <v>3000000</v>
      </c>
      <c r="W478" s="1754">
        <v>3000000</v>
      </c>
      <c r="X478" s="1750">
        <f t="shared" si="18"/>
        <v>36000000</v>
      </c>
      <c r="Y478" s="175">
        <f t="shared" si="19"/>
        <v>0</v>
      </c>
    </row>
    <row r="479" spans="1:25" ht="58.5" customHeight="1" x14ac:dyDescent="0.25">
      <c r="A479" s="1344">
        <v>2</v>
      </c>
      <c r="B479" s="1344">
        <v>2</v>
      </c>
      <c r="C479" s="1346" t="s">
        <v>2705</v>
      </c>
      <c r="D479" s="1344"/>
      <c r="E479" s="1344"/>
      <c r="F479" s="1344"/>
      <c r="G479" s="1344"/>
      <c r="H479" s="1345" t="str">
        <f>'BID II'!B1021</f>
        <v xml:space="preserve"> :  Pengasuhan Bersama atau Bina Keluarga Lansia ( Pembinaan dan Penyelenggaraan BKL)</v>
      </c>
      <c r="I479" s="1347">
        <f>SUM(I480:I497)</f>
        <v>9990000</v>
      </c>
      <c r="J479" s="1345"/>
      <c r="K479" s="1796" t="s">
        <v>3030</v>
      </c>
      <c r="L479" s="1344"/>
      <c r="M479" s="1344"/>
      <c r="N479" s="1344"/>
      <c r="O479" s="1344"/>
      <c r="P479" s="1344"/>
      <c r="Q479" s="1344"/>
      <c r="R479" s="1344"/>
      <c r="S479" s="1344"/>
      <c r="T479" s="1344"/>
      <c r="U479" s="1344"/>
      <c r="V479" s="1344"/>
      <c r="W479" s="1344"/>
      <c r="X479" s="1353">
        <f t="shared" si="18"/>
        <v>0</v>
      </c>
      <c r="Y479" s="175">
        <f t="shared" si="19"/>
        <v>-9990000</v>
      </c>
    </row>
    <row r="480" spans="1:25" ht="37.5" customHeight="1" x14ac:dyDescent="0.25">
      <c r="A480" s="32"/>
      <c r="B480" s="32"/>
      <c r="C480" s="1340"/>
      <c r="D480" s="32"/>
      <c r="E480" s="32"/>
      <c r="F480" s="32"/>
      <c r="G480" s="32"/>
      <c r="H480" s="66" t="str">
        <f>'BID II'!B1026</f>
        <v>Pembinaan</v>
      </c>
      <c r="I480" s="497"/>
      <c r="J480" s="66"/>
      <c r="K480" s="851" t="s">
        <v>3030</v>
      </c>
      <c r="L480" s="1753"/>
      <c r="M480" s="1753"/>
      <c r="N480" s="1753"/>
      <c r="O480" s="1753"/>
      <c r="P480" s="1758"/>
      <c r="Q480" s="1758"/>
      <c r="R480" s="1758"/>
      <c r="S480" s="1758"/>
      <c r="T480" s="1762"/>
      <c r="U480" s="1762"/>
      <c r="V480" s="1762"/>
      <c r="W480" s="1762"/>
      <c r="X480" s="1750">
        <f t="shared" si="18"/>
        <v>0</v>
      </c>
      <c r="Y480" s="175">
        <f t="shared" si="19"/>
        <v>0</v>
      </c>
    </row>
    <row r="481" spans="1:25" ht="28.5" customHeight="1" x14ac:dyDescent="0.25">
      <c r="A481" s="32"/>
      <c r="B481" s="32"/>
      <c r="C481" s="1340"/>
      <c r="D481" s="32">
        <v>5</v>
      </c>
      <c r="E481" s="32">
        <v>2</v>
      </c>
      <c r="F481" s="32"/>
      <c r="G481" s="32"/>
      <c r="H481" s="66" t="str">
        <f>'BID II'!B1027</f>
        <v>Belanja Barang Jasa</v>
      </c>
      <c r="I481" s="497"/>
      <c r="J481" s="66"/>
      <c r="K481" s="851" t="s">
        <v>3030</v>
      </c>
      <c r="L481" s="1753"/>
      <c r="M481" s="1753"/>
      <c r="N481" s="1753"/>
      <c r="O481" s="1753"/>
      <c r="P481" s="1758"/>
      <c r="Q481" s="1758"/>
      <c r="R481" s="1758"/>
      <c r="S481" s="1758"/>
      <c r="T481" s="1762"/>
      <c r="U481" s="1762"/>
      <c r="V481" s="1762"/>
      <c r="W481" s="1762"/>
      <c r="X481" s="1750">
        <f t="shared" si="18"/>
        <v>0</v>
      </c>
      <c r="Y481" s="175">
        <f t="shared" si="19"/>
        <v>0</v>
      </c>
    </row>
    <row r="482" spans="1:25" ht="28.5" customHeight="1" x14ac:dyDescent="0.25">
      <c r="A482" s="32"/>
      <c r="B482" s="32"/>
      <c r="C482" s="1340"/>
      <c r="D482" s="32"/>
      <c r="E482" s="32"/>
      <c r="F482" s="32">
        <v>1</v>
      </c>
      <c r="G482" s="32"/>
      <c r="H482" s="66" t="str">
        <f>'BID II'!B1028</f>
        <v>Belanja Barang Perlengkapan</v>
      </c>
      <c r="I482" s="497"/>
      <c r="J482" s="66"/>
      <c r="K482" s="851" t="s">
        <v>3030</v>
      </c>
      <c r="L482" s="1753"/>
      <c r="M482" s="1753"/>
      <c r="N482" s="1753"/>
      <c r="O482" s="1753"/>
      <c r="P482" s="1758"/>
      <c r="Q482" s="1758"/>
      <c r="R482" s="1758"/>
      <c r="S482" s="1758"/>
      <c r="T482" s="1762"/>
      <c r="U482" s="1762"/>
      <c r="V482" s="1762"/>
      <c r="W482" s="1762"/>
      <c r="X482" s="1750">
        <f t="shared" si="18"/>
        <v>0</v>
      </c>
      <c r="Y482" s="175">
        <f t="shared" si="19"/>
        <v>0</v>
      </c>
    </row>
    <row r="483" spans="1:25" ht="28.5" customHeight="1" x14ac:dyDescent="0.25">
      <c r="A483" s="32"/>
      <c r="B483" s="32"/>
      <c r="C483" s="1340"/>
      <c r="D483" s="32"/>
      <c r="E483" s="32"/>
      <c r="F483" s="32"/>
      <c r="G483" s="1340" t="s">
        <v>2688</v>
      </c>
      <c r="H483" s="66" t="str">
        <f>'BID II'!B1029</f>
        <v>Belanja Alat Tulis Kantor dan Benda Pos</v>
      </c>
      <c r="I483" s="497">
        <f>SUM('BID II'!F1030)</f>
        <v>25000</v>
      </c>
      <c r="J483" s="66" t="s">
        <v>2627</v>
      </c>
      <c r="K483" s="851" t="s">
        <v>3030</v>
      </c>
      <c r="L483" s="1753"/>
      <c r="M483" s="1753"/>
      <c r="N483" s="1753"/>
      <c r="O483" s="1753"/>
      <c r="P483" s="1758"/>
      <c r="Q483" s="1758"/>
      <c r="R483" s="1759">
        <v>25000</v>
      </c>
      <c r="S483" s="1758"/>
      <c r="T483" s="1762"/>
      <c r="U483" s="1762"/>
      <c r="V483" s="1762"/>
      <c r="W483" s="1762"/>
      <c r="X483" s="1750">
        <f t="shared" si="18"/>
        <v>25000</v>
      </c>
      <c r="Y483" s="175">
        <f t="shared" si="19"/>
        <v>0</v>
      </c>
    </row>
    <row r="484" spans="1:25" ht="35.25" customHeight="1" x14ac:dyDescent="0.25">
      <c r="A484" s="32"/>
      <c r="B484" s="32"/>
      <c r="C484" s="1340"/>
      <c r="D484" s="32"/>
      <c r="E484" s="32"/>
      <c r="F484" s="32"/>
      <c r="G484" s="1340" t="s">
        <v>2705</v>
      </c>
      <c r="H484" s="66" t="str">
        <f>'BID II'!B1032</f>
        <v>Belanja Perlengkapan Barang Konsumsi</v>
      </c>
      <c r="I484" s="497">
        <f>SUM('BID II'!F1033)</f>
        <v>150000</v>
      </c>
      <c r="J484" s="66" t="s">
        <v>2627</v>
      </c>
      <c r="K484" s="851" t="s">
        <v>3030</v>
      </c>
      <c r="L484" s="1753"/>
      <c r="M484" s="1753"/>
      <c r="N484" s="1753"/>
      <c r="O484" s="1753"/>
      <c r="P484" s="1758"/>
      <c r="Q484" s="1758"/>
      <c r="R484" s="1759">
        <v>150000</v>
      </c>
      <c r="S484" s="1758"/>
      <c r="T484" s="1762"/>
      <c r="U484" s="1762"/>
      <c r="V484" s="1762"/>
      <c r="W484" s="1762"/>
      <c r="X484" s="1750">
        <f t="shared" si="18"/>
        <v>150000</v>
      </c>
      <c r="Y484" s="175">
        <f t="shared" si="19"/>
        <v>0</v>
      </c>
    </row>
    <row r="485" spans="1:25" ht="35.25" customHeight="1" x14ac:dyDescent="0.25">
      <c r="A485" s="32"/>
      <c r="B485" s="32"/>
      <c r="C485" s="1340"/>
      <c r="D485" s="32"/>
      <c r="E485" s="32"/>
      <c r="F485" s="32"/>
      <c r="G485" s="1340" t="s">
        <v>2707</v>
      </c>
      <c r="H485" s="66" t="str">
        <f>'BID II'!B1035</f>
        <v>Belanja Bendera/ Umbul-umbul/ Spanduk</v>
      </c>
      <c r="I485" s="497">
        <f>'BID II'!F1036</f>
        <v>150000</v>
      </c>
      <c r="J485" s="66" t="s">
        <v>2627</v>
      </c>
      <c r="K485" s="851" t="s">
        <v>3030</v>
      </c>
      <c r="L485" s="1753"/>
      <c r="M485" s="1753"/>
      <c r="N485" s="1753"/>
      <c r="O485" s="1753"/>
      <c r="P485" s="1758"/>
      <c r="Q485" s="1758"/>
      <c r="R485" s="1759">
        <v>150000</v>
      </c>
      <c r="S485" s="1758"/>
      <c r="T485" s="1762"/>
      <c r="U485" s="1762"/>
      <c r="V485" s="1762"/>
      <c r="W485" s="1762"/>
      <c r="X485" s="1750">
        <f t="shared" si="18"/>
        <v>150000</v>
      </c>
      <c r="Y485" s="175">
        <f t="shared" si="19"/>
        <v>0</v>
      </c>
    </row>
    <row r="486" spans="1:25" ht="35.25" customHeight="1" x14ac:dyDescent="0.25">
      <c r="A486" s="32"/>
      <c r="B486" s="32"/>
      <c r="C486" s="1340"/>
      <c r="D486" s="32"/>
      <c r="E486" s="32"/>
      <c r="F486" s="32"/>
      <c r="G486" s="32">
        <v>90</v>
      </c>
      <c r="H486" s="66" t="str">
        <f>'BID II'!B1038</f>
        <v>Belanja Upakara, Upacara Dan Aci-Aci</v>
      </c>
      <c r="I486" s="497">
        <f>SUM('BID II'!F1039:F1041)</f>
        <v>75000</v>
      </c>
      <c r="J486" s="66" t="s">
        <v>2627</v>
      </c>
      <c r="K486" s="851" t="s">
        <v>3030</v>
      </c>
      <c r="L486" s="1753"/>
      <c r="M486" s="1753"/>
      <c r="N486" s="1753"/>
      <c r="O486" s="1753"/>
      <c r="P486" s="1758"/>
      <c r="Q486" s="1758"/>
      <c r="R486" s="1759">
        <v>75000</v>
      </c>
      <c r="S486" s="1758"/>
      <c r="T486" s="1762"/>
      <c r="U486" s="1762"/>
      <c r="V486" s="1762"/>
      <c r="W486" s="1762"/>
      <c r="X486" s="1750">
        <f t="shared" si="18"/>
        <v>75000</v>
      </c>
      <c r="Y486" s="175">
        <f t="shared" si="19"/>
        <v>0</v>
      </c>
    </row>
    <row r="487" spans="1:25" ht="35.25" customHeight="1" x14ac:dyDescent="0.25">
      <c r="A487" s="32"/>
      <c r="B487" s="32"/>
      <c r="C487" s="1340"/>
      <c r="D487" s="32">
        <v>5</v>
      </c>
      <c r="E487" s="32">
        <v>2</v>
      </c>
      <c r="F487" s="32">
        <v>2</v>
      </c>
      <c r="G487" s="32"/>
      <c r="H487" s="66" t="str">
        <f>'BID II'!B1043</f>
        <v>Belanja Jasa Honorarium</v>
      </c>
      <c r="I487" s="497"/>
      <c r="J487" s="66"/>
      <c r="K487" s="851" t="s">
        <v>3030</v>
      </c>
      <c r="L487" s="1753"/>
      <c r="M487" s="1753"/>
      <c r="N487" s="1753"/>
      <c r="O487" s="1753"/>
      <c r="P487" s="1758"/>
      <c r="Q487" s="1758"/>
      <c r="R487" s="1759"/>
      <c r="S487" s="1758"/>
      <c r="T487" s="1762"/>
      <c r="U487" s="1762"/>
      <c r="V487" s="1762"/>
      <c r="W487" s="1762"/>
      <c r="X487" s="1750">
        <f t="shared" si="18"/>
        <v>0</v>
      </c>
      <c r="Y487" s="175">
        <f t="shared" si="19"/>
        <v>0</v>
      </c>
    </row>
    <row r="488" spans="1:25" ht="35.25" customHeight="1" x14ac:dyDescent="0.25">
      <c r="A488" s="32"/>
      <c r="B488" s="32"/>
      <c r="C488" s="1340"/>
      <c r="D488" s="32"/>
      <c r="E488" s="32"/>
      <c r="F488" s="32"/>
      <c r="G488" s="1340" t="s">
        <v>2704</v>
      </c>
      <c r="H488" s="66" t="str">
        <f>'BID II'!B1044</f>
        <v>Belanja Jasa Honorarium Ahli/ Profesi/Konsultan/Narasumber</v>
      </c>
      <c r="I488" s="497">
        <f>'BID II'!F1045</f>
        <v>600000</v>
      </c>
      <c r="J488" s="66" t="s">
        <v>2627</v>
      </c>
      <c r="K488" s="851" t="s">
        <v>3030</v>
      </c>
      <c r="L488" s="1753"/>
      <c r="M488" s="1753"/>
      <c r="N488" s="1753"/>
      <c r="O488" s="1753"/>
      <c r="P488" s="1758"/>
      <c r="Q488" s="1758"/>
      <c r="R488" s="1759">
        <v>600000</v>
      </c>
      <c r="S488" s="1758"/>
      <c r="T488" s="1762"/>
      <c r="U488" s="1762"/>
      <c r="V488" s="1762"/>
      <c r="W488" s="1762"/>
      <c r="X488" s="1750">
        <f t="shared" si="18"/>
        <v>600000</v>
      </c>
      <c r="Y488" s="175">
        <f t="shared" si="19"/>
        <v>0</v>
      </c>
    </row>
    <row r="489" spans="1:25" ht="35.25" customHeight="1" x14ac:dyDescent="0.25">
      <c r="A489" s="32"/>
      <c r="B489" s="32"/>
      <c r="C489" s="1340"/>
      <c r="D489" s="32">
        <v>5</v>
      </c>
      <c r="E489" s="32">
        <v>2</v>
      </c>
      <c r="F489" s="32">
        <v>4</v>
      </c>
      <c r="G489" s="32"/>
      <c r="H489" s="66" t="str">
        <f>'BID II'!B1047</f>
        <v>Belanja Jasa Sewa</v>
      </c>
      <c r="I489" s="497"/>
      <c r="J489" s="66"/>
      <c r="K489" s="851" t="s">
        <v>3030</v>
      </c>
      <c r="L489" s="1753"/>
      <c r="M489" s="1753"/>
      <c r="N489" s="1753"/>
      <c r="O489" s="1753"/>
      <c r="P489" s="1758"/>
      <c r="Q489" s="1758"/>
      <c r="R489" s="1759"/>
      <c r="S489" s="1758"/>
      <c r="T489" s="1762"/>
      <c r="U489" s="1762"/>
      <c r="V489" s="1762"/>
      <c r="W489" s="1762"/>
      <c r="X489" s="1750">
        <f t="shared" si="18"/>
        <v>0</v>
      </c>
      <c r="Y489" s="175">
        <f t="shared" si="19"/>
        <v>0</v>
      </c>
    </row>
    <row r="490" spans="1:25" ht="35.25" customHeight="1" x14ac:dyDescent="0.25">
      <c r="A490" s="32"/>
      <c r="B490" s="32"/>
      <c r="C490" s="1340"/>
      <c r="D490" s="32"/>
      <c r="E490" s="32"/>
      <c r="F490" s="32"/>
      <c r="G490" s="1340" t="s">
        <v>2703</v>
      </c>
      <c r="H490" s="66" t="str">
        <f>'BID II'!B1048</f>
        <v>Belanja Jasa Sewa Mobilitas</v>
      </c>
      <c r="I490" s="497">
        <f>'BID II'!F1049</f>
        <v>2000000</v>
      </c>
      <c r="J490" s="66" t="s">
        <v>2627</v>
      </c>
      <c r="K490" s="851" t="s">
        <v>3030</v>
      </c>
      <c r="L490" s="1753"/>
      <c r="M490" s="1753"/>
      <c r="N490" s="1753"/>
      <c r="O490" s="1753"/>
      <c r="P490" s="1758"/>
      <c r="Q490" s="1758"/>
      <c r="R490" s="1759">
        <v>2000000</v>
      </c>
      <c r="S490" s="1758"/>
      <c r="T490" s="1762"/>
      <c r="U490" s="1762"/>
      <c r="V490" s="1762"/>
      <c r="W490" s="1762"/>
      <c r="X490" s="1750">
        <f t="shared" si="18"/>
        <v>2000000</v>
      </c>
      <c r="Y490" s="175">
        <f t="shared" si="19"/>
        <v>0</v>
      </c>
    </row>
    <row r="491" spans="1:25" ht="35.25" customHeight="1" x14ac:dyDescent="0.25">
      <c r="A491" s="32"/>
      <c r="B491" s="32"/>
      <c r="C491" s="1340"/>
      <c r="D491" s="32"/>
      <c r="E491" s="32"/>
      <c r="F491" s="32"/>
      <c r="G491" s="1340"/>
      <c r="H491" s="66" t="str">
        <f>'BID II'!B1051</f>
        <v>Kegiatan</v>
      </c>
      <c r="I491" s="497"/>
      <c r="J491" s="66"/>
      <c r="K491" s="851" t="s">
        <v>3030</v>
      </c>
      <c r="L491" s="1753"/>
      <c r="M491" s="1753"/>
      <c r="N491" s="1753"/>
      <c r="O491" s="1753"/>
      <c r="P491" s="1758"/>
      <c r="Q491" s="1758"/>
      <c r="R491" s="1759"/>
      <c r="S491" s="1758"/>
      <c r="T491" s="1762"/>
      <c r="U491" s="1762"/>
      <c r="V491" s="1762"/>
      <c r="W491" s="1762"/>
      <c r="X491" s="1750">
        <f t="shared" si="18"/>
        <v>0</v>
      </c>
      <c r="Y491" s="175">
        <f t="shared" si="19"/>
        <v>0</v>
      </c>
    </row>
    <row r="492" spans="1:25" ht="30" x14ac:dyDescent="0.25">
      <c r="A492" s="32"/>
      <c r="B492" s="32"/>
      <c r="C492" s="32"/>
      <c r="D492" s="32">
        <v>5</v>
      </c>
      <c r="E492" s="32">
        <v>2</v>
      </c>
      <c r="F492" s="32"/>
      <c r="G492" s="32"/>
      <c r="H492" s="66" t="str">
        <f>'BID II'!B1052</f>
        <v>Belanja Barang Jasa</v>
      </c>
      <c r="I492" s="32"/>
      <c r="J492" s="66"/>
      <c r="K492" s="851" t="s">
        <v>3030</v>
      </c>
      <c r="L492" s="1753"/>
      <c r="M492" s="1753"/>
      <c r="N492" s="1753"/>
      <c r="O492" s="1753"/>
      <c r="P492" s="1758"/>
      <c r="Q492" s="1758"/>
      <c r="R492" s="1759"/>
      <c r="S492" s="1758"/>
      <c r="T492" s="1762"/>
      <c r="U492" s="1762"/>
      <c r="V492" s="1762"/>
      <c r="W492" s="1762"/>
      <c r="X492" s="1750">
        <f t="shared" si="18"/>
        <v>0</v>
      </c>
      <c r="Y492" s="175">
        <f t="shared" si="19"/>
        <v>0</v>
      </c>
    </row>
    <row r="493" spans="1:25" ht="30" x14ac:dyDescent="0.25">
      <c r="A493" s="32"/>
      <c r="B493" s="32"/>
      <c r="C493" s="32"/>
      <c r="D493" s="32"/>
      <c r="E493" s="32"/>
      <c r="F493" s="32">
        <v>1</v>
      </c>
      <c r="G493" s="32"/>
      <c r="H493" s="66" t="str">
        <f>'BID II'!B1053</f>
        <v>Belanja Barang Perlengkapan</v>
      </c>
      <c r="I493" s="32"/>
      <c r="J493" s="66"/>
      <c r="K493" s="851" t="s">
        <v>3030</v>
      </c>
      <c r="L493" s="1753"/>
      <c r="M493" s="1753"/>
      <c r="N493" s="1753"/>
      <c r="O493" s="1753"/>
      <c r="P493" s="1758"/>
      <c r="Q493" s="1758"/>
      <c r="R493" s="1759"/>
      <c r="S493" s="1758"/>
      <c r="T493" s="1762"/>
      <c r="U493" s="1762"/>
      <c r="V493" s="1762"/>
      <c r="W493" s="1762"/>
      <c r="X493" s="1750">
        <f t="shared" si="18"/>
        <v>0</v>
      </c>
      <c r="Y493" s="175">
        <f t="shared" si="19"/>
        <v>0</v>
      </c>
    </row>
    <row r="494" spans="1:25" ht="30" x14ac:dyDescent="0.25">
      <c r="A494" s="32"/>
      <c r="B494" s="32"/>
      <c r="C494" s="32"/>
      <c r="D494" s="32"/>
      <c r="E494" s="32"/>
      <c r="F494" s="32"/>
      <c r="G494" s="1340" t="s">
        <v>2705</v>
      </c>
      <c r="H494" s="66" t="str">
        <f>'BID II'!B1054</f>
        <v>Belanja Perlengkapan Barang Konsumsi</v>
      </c>
      <c r="I494" s="174">
        <f>SUM('BID II'!F1056)</f>
        <v>900000</v>
      </c>
      <c r="J494" s="66" t="s">
        <v>2627</v>
      </c>
      <c r="K494" s="851" t="s">
        <v>3030</v>
      </c>
      <c r="L494" s="1753"/>
      <c r="M494" s="1753"/>
      <c r="N494" s="1753"/>
      <c r="O494" s="1753"/>
      <c r="P494" s="1758"/>
      <c r="Q494" s="1758"/>
      <c r="R494" s="1759">
        <v>900000</v>
      </c>
      <c r="S494" s="1758"/>
      <c r="T494" s="1762"/>
      <c r="U494" s="1762"/>
      <c r="V494" s="1762"/>
      <c r="W494" s="1762"/>
      <c r="X494" s="1750">
        <f t="shared" si="18"/>
        <v>900000</v>
      </c>
      <c r="Y494" s="175">
        <f t="shared" si="19"/>
        <v>0</v>
      </c>
    </row>
    <row r="495" spans="1:25" ht="30" x14ac:dyDescent="0.25">
      <c r="A495" s="32"/>
      <c r="B495" s="32"/>
      <c r="C495" s="32"/>
      <c r="D495" s="32"/>
      <c r="E495" s="32"/>
      <c r="F495" s="32"/>
      <c r="G495" s="1340" t="s">
        <v>2707</v>
      </c>
      <c r="H495" s="66" t="str">
        <f>'BID II'!B1057</f>
        <v>Bekanja Spanduk</v>
      </c>
      <c r="I495" s="174">
        <f>'BID II'!F1058</f>
        <v>90000</v>
      </c>
      <c r="J495" s="66" t="s">
        <v>2627</v>
      </c>
      <c r="K495" s="851" t="s">
        <v>3030</v>
      </c>
      <c r="L495" s="1753"/>
      <c r="M495" s="1753"/>
      <c r="N495" s="1753"/>
      <c r="O495" s="1753"/>
      <c r="P495" s="1758"/>
      <c r="Q495" s="1758"/>
      <c r="R495" s="1759">
        <v>90000</v>
      </c>
      <c r="S495" s="1758"/>
      <c r="T495" s="1762"/>
      <c r="U495" s="1762"/>
      <c r="V495" s="1762"/>
      <c r="W495" s="1762"/>
      <c r="X495" s="1750">
        <f t="shared" si="18"/>
        <v>90000</v>
      </c>
      <c r="Y495" s="175">
        <f t="shared" si="19"/>
        <v>0</v>
      </c>
    </row>
    <row r="496" spans="1:25" ht="30" x14ac:dyDescent="0.25">
      <c r="A496" s="32"/>
      <c r="B496" s="32"/>
      <c r="C496" s="32"/>
      <c r="D496" s="32">
        <v>5</v>
      </c>
      <c r="E496" s="32">
        <v>2</v>
      </c>
      <c r="F496" s="32">
        <v>2</v>
      </c>
      <c r="G496" s="32"/>
      <c r="H496" s="66" t="str">
        <f>'BID II'!B1059</f>
        <v>Belanja Jasa Honorarium</v>
      </c>
      <c r="I496" s="32"/>
      <c r="J496" s="66"/>
      <c r="K496" s="851" t="s">
        <v>3030</v>
      </c>
      <c r="L496" s="1753"/>
      <c r="M496" s="1753"/>
      <c r="N496" s="1753"/>
      <c r="O496" s="1753"/>
      <c r="P496" s="1758"/>
      <c r="Q496" s="1758"/>
      <c r="R496" s="1759"/>
      <c r="S496" s="1758"/>
      <c r="T496" s="1762"/>
      <c r="U496" s="1762"/>
      <c r="V496" s="1762"/>
      <c r="W496" s="1762"/>
      <c r="X496" s="1750">
        <f t="shared" si="18"/>
        <v>0</v>
      </c>
      <c r="Y496" s="175">
        <f t="shared" si="19"/>
        <v>0</v>
      </c>
    </row>
    <row r="497" spans="1:25" ht="30" x14ac:dyDescent="0.25">
      <c r="A497" s="32"/>
      <c r="B497" s="32"/>
      <c r="C497" s="32"/>
      <c r="D497" s="32"/>
      <c r="E497" s="32"/>
      <c r="F497" s="32"/>
      <c r="G497" s="1340" t="s">
        <v>2706</v>
      </c>
      <c r="H497" s="66" t="str">
        <f>'BID II'!B1060</f>
        <v>Belanja Jasa Honorarium Petugas</v>
      </c>
      <c r="I497" s="174">
        <f>'BID II'!F1061</f>
        <v>6000000</v>
      </c>
      <c r="J497" s="66" t="s">
        <v>2627</v>
      </c>
      <c r="K497" s="851" t="s">
        <v>3030</v>
      </c>
      <c r="L497" s="1753"/>
      <c r="M497" s="1753"/>
      <c r="N497" s="1753"/>
      <c r="O497" s="1753"/>
      <c r="P497" s="1758"/>
      <c r="Q497" s="1758"/>
      <c r="R497" s="1759">
        <v>6000000</v>
      </c>
      <c r="S497" s="1758"/>
      <c r="T497" s="1762"/>
      <c r="U497" s="1762"/>
      <c r="V497" s="1762"/>
      <c r="W497" s="1762"/>
      <c r="X497" s="1750">
        <f t="shared" si="18"/>
        <v>6000000</v>
      </c>
      <c r="Y497" s="175">
        <f t="shared" si="19"/>
        <v>0</v>
      </c>
    </row>
    <row r="498" spans="1:25" ht="45" x14ac:dyDescent="0.25">
      <c r="A498" s="1344">
        <v>2</v>
      </c>
      <c r="B498" s="1344">
        <v>2</v>
      </c>
      <c r="C498" s="1346" t="s">
        <v>2705</v>
      </c>
      <c r="D498" s="1344"/>
      <c r="E498" s="1344"/>
      <c r="F498" s="1344"/>
      <c r="G498" s="1344"/>
      <c r="H498" s="1345" t="str">
        <f>'BID II'!B1076</f>
        <v>: Pengasuhan Bersama atau Bina Keluarga Balita (Pembinaan Kader BKB)</v>
      </c>
      <c r="I498" s="1347">
        <f>SUM(I499:I510)</f>
        <v>18283000</v>
      </c>
      <c r="J498" s="1345" t="s">
        <v>2627</v>
      </c>
      <c r="K498" s="1796" t="s">
        <v>3030</v>
      </c>
      <c r="L498" s="1344"/>
      <c r="M498" s="1344"/>
      <c r="N498" s="1344"/>
      <c r="O498" s="1344"/>
      <c r="P498" s="1344"/>
      <c r="Q498" s="1344"/>
      <c r="R498" s="1344"/>
      <c r="S498" s="1344"/>
      <c r="T498" s="1344"/>
      <c r="U498" s="1344"/>
      <c r="V498" s="1344"/>
      <c r="W498" s="1344"/>
      <c r="X498" s="1353">
        <f t="shared" si="18"/>
        <v>0</v>
      </c>
      <c r="Y498" s="175">
        <f t="shared" si="19"/>
        <v>-18283000</v>
      </c>
    </row>
    <row r="499" spans="1:25" ht="30" x14ac:dyDescent="0.25">
      <c r="A499" s="32"/>
      <c r="B499" s="32"/>
      <c r="C499" s="32"/>
      <c r="D499" s="32"/>
      <c r="E499" s="32"/>
      <c r="F499" s="32"/>
      <c r="G499" s="32"/>
      <c r="H499" s="66" t="str">
        <f>'BID II'!B1082</f>
        <v>Pembinaan Kader BKB</v>
      </c>
      <c r="I499" s="32"/>
      <c r="J499" s="66"/>
      <c r="K499" s="851" t="s">
        <v>3030</v>
      </c>
      <c r="L499" s="1753"/>
      <c r="M499" s="1753"/>
      <c r="N499" s="1753"/>
      <c r="O499" s="1753"/>
      <c r="P499" s="1758"/>
      <c r="Q499" s="1758"/>
      <c r="R499" s="1758"/>
      <c r="S499" s="1758"/>
      <c r="T499" s="1762"/>
      <c r="U499" s="1762"/>
      <c r="V499" s="1762"/>
      <c r="W499" s="1762"/>
      <c r="X499" s="1750">
        <f t="shared" si="18"/>
        <v>0</v>
      </c>
      <c r="Y499" s="175">
        <f t="shared" si="19"/>
        <v>0</v>
      </c>
    </row>
    <row r="500" spans="1:25" ht="30" x14ac:dyDescent="0.25">
      <c r="A500" s="32"/>
      <c r="B500" s="32"/>
      <c r="C500" s="32"/>
      <c r="D500" s="32">
        <v>5</v>
      </c>
      <c r="E500" s="32">
        <v>2</v>
      </c>
      <c r="F500" s="32"/>
      <c r="G500" s="32"/>
      <c r="H500" s="66" t="str">
        <f>'BID II'!B1083</f>
        <v>Belanja Barang Jasa</v>
      </c>
      <c r="I500" s="32"/>
      <c r="J500" s="66"/>
      <c r="K500" s="851" t="s">
        <v>3030</v>
      </c>
      <c r="L500" s="1753"/>
      <c r="M500" s="1753"/>
      <c r="N500" s="1753"/>
      <c r="O500" s="1753"/>
      <c r="P500" s="1758"/>
      <c r="Q500" s="1758"/>
      <c r="R500" s="1758"/>
      <c r="S500" s="1758"/>
      <c r="T500" s="1762"/>
      <c r="U500" s="1762"/>
      <c r="V500" s="1762"/>
      <c r="W500" s="1762"/>
      <c r="X500" s="1750">
        <f t="shared" si="18"/>
        <v>0</v>
      </c>
      <c r="Y500" s="175">
        <f t="shared" si="19"/>
        <v>0</v>
      </c>
    </row>
    <row r="501" spans="1:25" ht="30" x14ac:dyDescent="0.25">
      <c r="A501" s="32"/>
      <c r="B501" s="32"/>
      <c r="C501" s="32"/>
      <c r="D501" s="32"/>
      <c r="E501" s="32"/>
      <c r="F501" s="32">
        <v>1</v>
      </c>
      <c r="G501" s="1340" t="s">
        <v>2719</v>
      </c>
      <c r="H501" s="66" t="str">
        <f>'BID II'!B1084</f>
        <v>Belanja Barang Perlengkapan</v>
      </c>
      <c r="I501" s="32"/>
      <c r="J501" s="66"/>
      <c r="K501" s="851" t="s">
        <v>3030</v>
      </c>
      <c r="L501" s="1753"/>
      <c r="M501" s="1753"/>
      <c r="N501" s="1753"/>
      <c r="O501" s="1753"/>
      <c r="P501" s="1758"/>
      <c r="Q501" s="1758"/>
      <c r="R501" s="1758"/>
      <c r="S501" s="1758"/>
      <c r="T501" s="1762"/>
      <c r="U501" s="1762"/>
      <c r="V501" s="1762"/>
      <c r="W501" s="1762"/>
      <c r="X501" s="1750">
        <f t="shared" si="18"/>
        <v>0</v>
      </c>
      <c r="Y501" s="175">
        <f t="shared" si="19"/>
        <v>0</v>
      </c>
    </row>
    <row r="502" spans="1:25" ht="30" x14ac:dyDescent="0.25">
      <c r="A502" s="32"/>
      <c r="B502" s="32"/>
      <c r="C502" s="32"/>
      <c r="D502" s="32"/>
      <c r="E502" s="32"/>
      <c r="F502" s="32"/>
      <c r="G502" s="1340" t="s">
        <v>2720</v>
      </c>
      <c r="H502" s="66" t="str">
        <f>'BID II'!B1085</f>
        <v>Belanja Alat Tulis Kantor dan Benda Pos</v>
      </c>
      <c r="I502" s="470">
        <f>SUM('BID II'!F1086:F1090)</f>
        <v>3363000</v>
      </c>
      <c r="J502" s="66" t="s">
        <v>2627</v>
      </c>
      <c r="K502" s="851" t="s">
        <v>3030</v>
      </c>
      <c r="L502" s="1753"/>
      <c r="M502" s="1753"/>
      <c r="N502" s="1753"/>
      <c r="O502" s="1753"/>
      <c r="P502" s="1758"/>
      <c r="Q502" s="1758"/>
      <c r="R502" s="1758"/>
      <c r="S502" s="1759">
        <v>3363000</v>
      </c>
      <c r="T502" s="1762"/>
      <c r="U502" s="1762"/>
      <c r="V502" s="1762"/>
      <c r="W502" s="1762"/>
      <c r="X502" s="1750">
        <f t="shared" si="18"/>
        <v>3363000</v>
      </c>
      <c r="Y502" s="175">
        <f t="shared" si="19"/>
        <v>0</v>
      </c>
    </row>
    <row r="503" spans="1:25" ht="30" x14ac:dyDescent="0.25">
      <c r="A503" s="32"/>
      <c r="B503" s="32"/>
      <c r="C503" s="32"/>
      <c r="D503" s="32"/>
      <c r="E503" s="32"/>
      <c r="F503" s="32"/>
      <c r="G503" s="1340" t="s">
        <v>2705</v>
      </c>
      <c r="H503" s="66" t="str">
        <f>'BID II'!B1092</f>
        <v>Belanja Perlengkapan Barang Konsumsi</v>
      </c>
      <c r="I503" s="174">
        <f>'BID II'!F1093</f>
        <v>1020000</v>
      </c>
      <c r="J503" s="66" t="s">
        <v>2627</v>
      </c>
      <c r="K503" s="851" t="s">
        <v>3030</v>
      </c>
      <c r="L503" s="1753"/>
      <c r="M503" s="1753"/>
      <c r="N503" s="1753"/>
      <c r="O503" s="1753"/>
      <c r="P503" s="1758"/>
      <c r="Q503" s="1758"/>
      <c r="R503" s="1758"/>
      <c r="S503" s="1759">
        <v>1020000</v>
      </c>
      <c r="T503" s="1762"/>
      <c r="U503" s="1762"/>
      <c r="V503" s="1762"/>
      <c r="W503" s="1762"/>
      <c r="X503" s="1750">
        <f t="shared" si="18"/>
        <v>1020000</v>
      </c>
      <c r="Y503" s="175">
        <f t="shared" si="19"/>
        <v>0</v>
      </c>
    </row>
    <row r="504" spans="1:25" ht="30" x14ac:dyDescent="0.25">
      <c r="A504" s="32"/>
      <c r="B504" s="32"/>
      <c r="C504" s="32"/>
      <c r="D504" s="32"/>
      <c r="E504" s="32"/>
      <c r="F504" s="32"/>
      <c r="G504" s="1340" t="s">
        <v>2707</v>
      </c>
      <c r="H504" s="66" t="str">
        <f>'BID II'!B1095</f>
        <v>Belanja Bendera/ Umbul-umbul/ Spanduk</v>
      </c>
      <c r="I504" s="174">
        <f>'BID II'!F1096</f>
        <v>90000</v>
      </c>
      <c r="J504" s="66" t="s">
        <v>2627</v>
      </c>
      <c r="K504" s="851" t="s">
        <v>3030</v>
      </c>
      <c r="L504" s="1753"/>
      <c r="M504" s="1753"/>
      <c r="N504" s="1753"/>
      <c r="O504" s="1753"/>
      <c r="P504" s="1758"/>
      <c r="Q504" s="1758"/>
      <c r="R504" s="1758"/>
      <c r="S504" s="1759">
        <v>90000</v>
      </c>
      <c r="T504" s="1762"/>
      <c r="U504" s="1762"/>
      <c r="V504" s="1762"/>
      <c r="W504" s="1762"/>
      <c r="X504" s="1750">
        <f t="shared" si="18"/>
        <v>90000</v>
      </c>
      <c r="Y504" s="175">
        <f t="shared" si="19"/>
        <v>0</v>
      </c>
    </row>
    <row r="505" spans="1:25" ht="30" x14ac:dyDescent="0.25">
      <c r="A505" s="32"/>
      <c r="B505" s="32"/>
      <c r="C505" s="32"/>
      <c r="D505" s="32"/>
      <c r="E505" s="32"/>
      <c r="F505" s="32"/>
      <c r="G505" s="32">
        <v>90</v>
      </c>
      <c r="H505" s="66" t="str">
        <f>'BID II'!B1098</f>
        <v>Belanja Upakara, Upacara Dan Aci-Aci</v>
      </c>
      <c r="I505" s="174">
        <f>SUM('BID II'!F1099:F1101)</f>
        <v>310000</v>
      </c>
      <c r="J505" s="66" t="s">
        <v>2627</v>
      </c>
      <c r="K505" s="851" t="s">
        <v>3030</v>
      </c>
      <c r="L505" s="1753"/>
      <c r="M505" s="1753"/>
      <c r="N505" s="1753"/>
      <c r="O505" s="1753"/>
      <c r="P505" s="1758"/>
      <c r="Q505" s="1758"/>
      <c r="R505" s="1758"/>
      <c r="S505" s="1759">
        <v>310000</v>
      </c>
      <c r="T505" s="1762"/>
      <c r="U505" s="1762"/>
      <c r="V505" s="1762"/>
      <c r="W505" s="1762"/>
      <c r="X505" s="1750">
        <f t="shared" si="18"/>
        <v>310000</v>
      </c>
      <c r="Y505" s="175">
        <f t="shared" si="19"/>
        <v>0</v>
      </c>
    </row>
    <row r="506" spans="1:25" ht="30" x14ac:dyDescent="0.25">
      <c r="A506" s="32"/>
      <c r="B506" s="32"/>
      <c r="C506" s="32"/>
      <c r="D506" s="32">
        <v>5</v>
      </c>
      <c r="E506" s="32">
        <v>2</v>
      </c>
      <c r="F506" s="32">
        <v>2</v>
      </c>
      <c r="G506" s="32"/>
      <c r="H506" s="66" t="str">
        <f>'BID II'!B1103</f>
        <v>Belanja Jasa Honorarium</v>
      </c>
      <c r="I506" s="32"/>
      <c r="J506" s="66"/>
      <c r="K506" s="851" t="s">
        <v>3030</v>
      </c>
      <c r="L506" s="1753"/>
      <c r="M506" s="1753"/>
      <c r="N506" s="1753"/>
      <c r="O506" s="1753"/>
      <c r="P506" s="1758"/>
      <c r="Q506" s="1758"/>
      <c r="R506" s="1758"/>
      <c r="S506" s="1759"/>
      <c r="T506" s="1762"/>
      <c r="U506" s="1762"/>
      <c r="V506" s="1762"/>
      <c r="W506" s="1762"/>
      <c r="X506" s="1750">
        <f t="shared" si="18"/>
        <v>0</v>
      </c>
      <c r="Y506" s="175">
        <f t="shared" si="19"/>
        <v>0</v>
      </c>
    </row>
    <row r="507" spans="1:25" ht="30" x14ac:dyDescent="0.25">
      <c r="A507" s="32"/>
      <c r="B507" s="32"/>
      <c r="C507" s="32"/>
      <c r="D507" s="32"/>
      <c r="E507" s="32"/>
      <c r="F507" s="32"/>
      <c r="G507" s="1340" t="s">
        <v>2688</v>
      </c>
      <c r="H507" s="66" t="str">
        <f>'BID II'!B1104</f>
        <v>Honor Tim yang Melaksanakan Kegiatan</v>
      </c>
      <c r="I507" s="174">
        <f>SUM('BID II'!F1105:F1106)</f>
        <v>900000</v>
      </c>
      <c r="J507" s="66" t="s">
        <v>2627</v>
      </c>
      <c r="K507" s="851" t="s">
        <v>3030</v>
      </c>
      <c r="L507" s="1753"/>
      <c r="M507" s="1753"/>
      <c r="N507" s="1753"/>
      <c r="O507" s="1753"/>
      <c r="P507" s="1758"/>
      <c r="Q507" s="1758"/>
      <c r="R507" s="1758"/>
      <c r="S507" s="1759">
        <v>900000</v>
      </c>
      <c r="T507" s="1762"/>
      <c r="U507" s="1762"/>
      <c r="V507" s="1762"/>
      <c r="W507" s="1762"/>
      <c r="X507" s="1750">
        <f t="shared" si="18"/>
        <v>900000</v>
      </c>
      <c r="Y507" s="175">
        <f t="shared" si="19"/>
        <v>0</v>
      </c>
    </row>
    <row r="508" spans="1:25" ht="60" x14ac:dyDescent="0.25">
      <c r="A508" s="32"/>
      <c r="B508" s="32"/>
      <c r="C508" s="32"/>
      <c r="D508" s="32"/>
      <c r="E508" s="32"/>
      <c r="F508" s="32"/>
      <c r="G508" s="1340" t="s">
        <v>2704</v>
      </c>
      <c r="H508" s="66" t="str">
        <f>'BID II'!B1108</f>
        <v>Belanja Jasa Honorarium Ahli/ Profesi/Konsultan/Narasumber</v>
      </c>
      <c r="I508" s="174">
        <f>'BID II'!F1109</f>
        <v>600000</v>
      </c>
      <c r="J508" s="66" t="s">
        <v>2627</v>
      </c>
      <c r="K508" s="851" t="s">
        <v>3030</v>
      </c>
      <c r="L508" s="1753"/>
      <c r="M508" s="1753"/>
      <c r="N508" s="1753"/>
      <c r="O508" s="1753"/>
      <c r="P508" s="1758"/>
      <c r="Q508" s="1758"/>
      <c r="R508" s="1758"/>
      <c r="S508" s="1759">
        <v>600000</v>
      </c>
      <c r="T508" s="1762"/>
      <c r="U508" s="1762"/>
      <c r="V508" s="1762"/>
      <c r="W508" s="1762"/>
      <c r="X508" s="1750">
        <f t="shared" si="18"/>
        <v>600000</v>
      </c>
      <c r="Y508" s="175">
        <f t="shared" si="19"/>
        <v>0</v>
      </c>
    </row>
    <row r="509" spans="1:25" ht="30" x14ac:dyDescent="0.25">
      <c r="A509" s="32"/>
      <c r="B509" s="32"/>
      <c r="C509" s="32"/>
      <c r="D509" s="32">
        <v>5</v>
      </c>
      <c r="E509" s="32">
        <v>2</v>
      </c>
      <c r="F509" s="32">
        <v>4</v>
      </c>
      <c r="G509" s="32"/>
      <c r="H509" s="66" t="str">
        <f>'BID II'!B1110</f>
        <v>Belanja Jasa Sewa</v>
      </c>
      <c r="I509" s="32"/>
      <c r="J509" s="66"/>
      <c r="K509" s="851" t="s">
        <v>3030</v>
      </c>
      <c r="L509" s="1753"/>
      <c r="M509" s="1753"/>
      <c r="N509" s="1753"/>
      <c r="O509" s="1753"/>
      <c r="P509" s="1758"/>
      <c r="Q509" s="1758"/>
      <c r="R509" s="1758"/>
      <c r="S509" s="1759"/>
      <c r="T509" s="1762"/>
      <c r="U509" s="1762"/>
      <c r="V509" s="1762"/>
      <c r="W509" s="1762"/>
      <c r="X509" s="1750">
        <f t="shared" si="18"/>
        <v>0</v>
      </c>
      <c r="Y509" s="175">
        <f t="shared" si="19"/>
        <v>0</v>
      </c>
    </row>
    <row r="510" spans="1:25" ht="30" x14ac:dyDescent="0.25">
      <c r="A510" s="32"/>
      <c r="B510" s="32"/>
      <c r="C510" s="32"/>
      <c r="D510" s="32"/>
      <c r="E510" s="32"/>
      <c r="F510" s="32"/>
      <c r="G510" s="1340" t="s">
        <v>2703</v>
      </c>
      <c r="H510" s="66" t="str">
        <f>'BID II'!B1111</f>
        <v>Belanja Jasa Sewa Sarana Mobilitas</v>
      </c>
      <c r="I510" s="470">
        <f>'BID II'!F1112</f>
        <v>12000000</v>
      </c>
      <c r="J510" s="66" t="s">
        <v>2627</v>
      </c>
      <c r="K510" s="851" t="s">
        <v>3030</v>
      </c>
      <c r="L510" s="1753"/>
      <c r="M510" s="1753"/>
      <c r="N510" s="1753"/>
      <c r="O510" s="1753"/>
      <c r="P510" s="1758"/>
      <c r="Q510" s="1758"/>
      <c r="R510" s="1758"/>
      <c r="S510" s="1759">
        <v>12000000</v>
      </c>
      <c r="T510" s="1762"/>
      <c r="U510" s="1762"/>
      <c r="V510" s="1762"/>
      <c r="W510" s="1762"/>
      <c r="X510" s="1750">
        <f t="shared" si="18"/>
        <v>12000000</v>
      </c>
      <c r="Y510" s="175">
        <f t="shared" si="19"/>
        <v>0</v>
      </c>
    </row>
    <row r="511" spans="1:25" ht="75" x14ac:dyDescent="0.25">
      <c r="A511" s="1344">
        <v>2</v>
      </c>
      <c r="B511" s="1344">
        <v>2</v>
      </c>
      <c r="C511" s="1346" t="s">
        <v>2705</v>
      </c>
      <c r="D511" s="1344"/>
      <c r="E511" s="1344"/>
      <c r="F511" s="1344"/>
      <c r="G511" s="1344"/>
      <c r="H511" s="1345" t="str">
        <f>'BID II'!B1127</f>
        <v xml:space="preserve"> :  Pengasuhan Bersama atau Bina Keluarga Balita (Pembinaan Kegiatan Bina keluarga Remaja BKR )</v>
      </c>
      <c r="I511" s="1347">
        <f>SUM(I512:I523)</f>
        <v>4875000</v>
      </c>
      <c r="J511" s="1345"/>
      <c r="K511" s="1796" t="s">
        <v>3030</v>
      </c>
      <c r="L511" s="1344"/>
      <c r="M511" s="1344"/>
      <c r="N511" s="1344"/>
      <c r="O511" s="1344"/>
      <c r="P511" s="1344"/>
      <c r="Q511" s="1344"/>
      <c r="R511" s="1344"/>
      <c r="S511" s="1344"/>
      <c r="T511" s="1344"/>
      <c r="U511" s="1344"/>
      <c r="V511" s="1344"/>
      <c r="W511" s="1344"/>
      <c r="X511" s="1353">
        <f t="shared" si="18"/>
        <v>0</v>
      </c>
      <c r="Y511" s="175">
        <f t="shared" si="19"/>
        <v>-4875000</v>
      </c>
    </row>
    <row r="512" spans="1:25" ht="30" x14ac:dyDescent="0.25">
      <c r="A512" s="32"/>
      <c r="B512" s="32"/>
      <c r="C512" s="32"/>
      <c r="D512" s="32"/>
      <c r="E512" s="32"/>
      <c r="F512" s="32"/>
      <c r="G512" s="32"/>
      <c r="H512" s="66" t="str">
        <f>'BID II'!B1133</f>
        <v>Pembinaan Kader BKR</v>
      </c>
      <c r="I512" s="32"/>
      <c r="J512" s="66"/>
      <c r="K512" s="851" t="s">
        <v>3030</v>
      </c>
      <c r="L512" s="1753"/>
      <c r="M512" s="1753"/>
      <c r="N512" s="1753"/>
      <c r="O512" s="1753"/>
      <c r="P512" s="1758"/>
      <c r="Q512" s="1758"/>
      <c r="R512" s="1758"/>
      <c r="S512" s="1758"/>
      <c r="T512" s="1762"/>
      <c r="U512" s="1762"/>
      <c r="V512" s="1762"/>
      <c r="W512" s="1762"/>
      <c r="X512" s="1750">
        <f t="shared" si="18"/>
        <v>0</v>
      </c>
      <c r="Y512" s="175">
        <f t="shared" si="19"/>
        <v>0</v>
      </c>
    </row>
    <row r="513" spans="1:25" ht="30" x14ac:dyDescent="0.25">
      <c r="A513" s="32"/>
      <c r="B513" s="32"/>
      <c r="C513" s="32"/>
      <c r="D513" s="32">
        <v>5</v>
      </c>
      <c r="E513" s="32">
        <v>2</v>
      </c>
      <c r="F513" s="32"/>
      <c r="G513" s="32"/>
      <c r="H513" s="66" t="str">
        <f>'BID II'!B1134</f>
        <v>Belanja Barang Jasa</v>
      </c>
      <c r="I513" s="32"/>
      <c r="J513" s="66"/>
      <c r="K513" s="851" t="s">
        <v>3030</v>
      </c>
      <c r="L513" s="1753"/>
      <c r="M513" s="1753"/>
      <c r="N513" s="1753"/>
      <c r="O513" s="1753"/>
      <c r="P513" s="1758"/>
      <c r="Q513" s="1758"/>
      <c r="R513" s="1758"/>
      <c r="S513" s="1758"/>
      <c r="T513" s="1762"/>
      <c r="U513" s="1762"/>
      <c r="V513" s="1762"/>
      <c r="W513" s="1762"/>
      <c r="X513" s="1750">
        <f t="shared" si="18"/>
        <v>0</v>
      </c>
      <c r="Y513" s="175">
        <f t="shared" si="19"/>
        <v>0</v>
      </c>
    </row>
    <row r="514" spans="1:25" ht="30" x14ac:dyDescent="0.25">
      <c r="A514" s="32"/>
      <c r="B514" s="32"/>
      <c r="C514" s="32"/>
      <c r="D514" s="32"/>
      <c r="E514" s="32"/>
      <c r="F514" s="32">
        <v>1</v>
      </c>
      <c r="G514" s="32"/>
      <c r="H514" s="66" t="str">
        <f>'BID II'!B1135</f>
        <v>Belanja Barang Perlengkapan</v>
      </c>
      <c r="I514" s="32"/>
      <c r="J514" s="66"/>
      <c r="K514" s="851" t="s">
        <v>3030</v>
      </c>
      <c r="L514" s="1753"/>
      <c r="M514" s="1753"/>
      <c r="N514" s="1753"/>
      <c r="O514" s="1753"/>
      <c r="P514" s="1758"/>
      <c r="Q514" s="1758"/>
      <c r="R514" s="1758"/>
      <c r="S514" s="1758"/>
      <c r="T514" s="1762"/>
      <c r="U514" s="1762"/>
      <c r="V514" s="1762"/>
      <c r="W514" s="1762"/>
      <c r="X514" s="1750">
        <f t="shared" si="18"/>
        <v>0</v>
      </c>
      <c r="Y514" s="175">
        <f t="shared" si="19"/>
        <v>0</v>
      </c>
    </row>
    <row r="515" spans="1:25" ht="30" x14ac:dyDescent="0.25">
      <c r="A515" s="32"/>
      <c r="B515" s="32"/>
      <c r="C515" s="32"/>
      <c r="D515" s="32"/>
      <c r="E515" s="32"/>
      <c r="F515" s="32"/>
      <c r="G515" s="1340" t="s">
        <v>2688</v>
      </c>
      <c r="H515" s="66" t="str">
        <f>'BID II'!B1136</f>
        <v>Belanja Alat Tulis Kantor dan Benda Pos</v>
      </c>
      <c r="I515" s="470">
        <f>'BID II'!F1137</f>
        <v>25000</v>
      </c>
      <c r="J515" s="66" t="s">
        <v>2625</v>
      </c>
      <c r="K515" s="851" t="s">
        <v>3030</v>
      </c>
      <c r="L515" s="1753"/>
      <c r="M515" s="1753"/>
      <c r="N515" s="1753"/>
      <c r="O515" s="1753"/>
      <c r="P515" s="1758"/>
      <c r="Q515" s="470">
        <v>25000</v>
      </c>
      <c r="R515" s="1758"/>
      <c r="S515" s="1758"/>
      <c r="T515" s="1762"/>
      <c r="U515" s="1762"/>
      <c r="V515" s="1762"/>
      <c r="W515" s="1762"/>
      <c r="X515" s="1750">
        <f t="shared" si="18"/>
        <v>25000</v>
      </c>
      <c r="Y515" s="175">
        <f t="shared" si="19"/>
        <v>0</v>
      </c>
    </row>
    <row r="516" spans="1:25" ht="30" x14ac:dyDescent="0.25">
      <c r="A516" s="32"/>
      <c r="B516" s="32"/>
      <c r="C516" s="32"/>
      <c r="D516" s="32"/>
      <c r="E516" s="32"/>
      <c r="F516" s="32"/>
      <c r="G516" s="1340" t="s">
        <v>2705</v>
      </c>
      <c r="H516" s="66" t="str">
        <f>'BID II'!B1139</f>
        <v>Belanja Perlengkapan Barang Konsumsi</v>
      </c>
      <c r="I516" s="174">
        <f>'BID II'!F1140</f>
        <v>225000</v>
      </c>
      <c r="J516" s="66" t="s">
        <v>2625</v>
      </c>
      <c r="K516" s="851" t="s">
        <v>3030</v>
      </c>
      <c r="L516" s="1753"/>
      <c r="M516" s="1753"/>
      <c r="N516" s="1753"/>
      <c r="O516" s="1753"/>
      <c r="P516" s="1758"/>
      <c r="Q516" s="174">
        <v>225000</v>
      </c>
      <c r="R516" s="1758"/>
      <c r="S516" s="1758"/>
      <c r="T516" s="1762"/>
      <c r="U516" s="1762"/>
      <c r="V516" s="1762"/>
      <c r="W516" s="1762"/>
      <c r="X516" s="1750">
        <f t="shared" si="18"/>
        <v>225000</v>
      </c>
      <c r="Y516" s="175">
        <f t="shared" si="19"/>
        <v>0</v>
      </c>
    </row>
    <row r="517" spans="1:25" ht="30" x14ac:dyDescent="0.25">
      <c r="A517" s="32"/>
      <c r="B517" s="32"/>
      <c r="C517" s="32"/>
      <c r="D517" s="32"/>
      <c r="E517" s="32"/>
      <c r="F517" s="32"/>
      <c r="G517" s="1340" t="s">
        <v>2709</v>
      </c>
      <c r="H517" s="66" t="str">
        <f>'BID II'!B1141</f>
        <v>Belanja Pakaian Dinas/ seragam/ atribut</v>
      </c>
      <c r="I517" s="174">
        <f>'BID II'!F1142</f>
        <v>1800000</v>
      </c>
      <c r="J517" s="66" t="s">
        <v>2625</v>
      </c>
      <c r="K517" s="851" t="s">
        <v>3030</v>
      </c>
      <c r="L517" s="1753"/>
      <c r="M517" s="1753"/>
      <c r="N517" s="1753"/>
      <c r="O517" s="1753"/>
      <c r="P517" s="1758"/>
      <c r="Q517" s="174">
        <v>1800000</v>
      </c>
      <c r="R517" s="1758"/>
      <c r="S517" s="1758"/>
      <c r="T517" s="1762"/>
      <c r="U517" s="1762"/>
      <c r="V517" s="1762"/>
      <c r="W517" s="1762"/>
      <c r="X517" s="1750">
        <f t="shared" si="18"/>
        <v>1800000</v>
      </c>
      <c r="Y517" s="175">
        <f t="shared" si="19"/>
        <v>0</v>
      </c>
    </row>
    <row r="518" spans="1:25" ht="30" x14ac:dyDescent="0.25">
      <c r="A518" s="32"/>
      <c r="B518" s="32"/>
      <c r="C518" s="32"/>
      <c r="D518" s="32"/>
      <c r="E518" s="32"/>
      <c r="F518" s="32"/>
      <c r="G518" s="1340" t="s">
        <v>2707</v>
      </c>
      <c r="H518" s="66" t="str">
        <f>'BID II'!B1144</f>
        <v>Belanja Bendera/ Umbul-umbul/ Spanduk</v>
      </c>
      <c r="I518" s="174">
        <f>'BID II'!F1145</f>
        <v>150000</v>
      </c>
      <c r="J518" s="66" t="s">
        <v>2625</v>
      </c>
      <c r="K518" s="851" t="s">
        <v>3030</v>
      </c>
      <c r="L518" s="1753"/>
      <c r="M518" s="1753"/>
      <c r="N518" s="1753"/>
      <c r="O518" s="1753"/>
      <c r="P518" s="1758"/>
      <c r="Q518" s="174">
        <v>150000</v>
      </c>
      <c r="R518" s="1758"/>
      <c r="S518" s="1758"/>
      <c r="T518" s="1762"/>
      <c r="U518" s="1762"/>
      <c r="V518" s="1762"/>
      <c r="W518" s="1762"/>
      <c r="X518" s="1750">
        <f t="shared" si="18"/>
        <v>150000</v>
      </c>
      <c r="Y518" s="175">
        <f t="shared" si="19"/>
        <v>0</v>
      </c>
    </row>
    <row r="519" spans="1:25" ht="30" x14ac:dyDescent="0.25">
      <c r="A519" s="32"/>
      <c r="B519" s="32"/>
      <c r="C519" s="32"/>
      <c r="D519" s="32"/>
      <c r="E519" s="32"/>
      <c r="F519" s="32"/>
      <c r="G519" s="32">
        <v>90</v>
      </c>
      <c r="H519" s="66" t="str">
        <f>'BID II'!B1147</f>
        <v>Belanja Upakara, Upacara Dan Aci-Aci</v>
      </c>
      <c r="I519" s="174">
        <f>'BID II'!F1148+'BID II'!F1149+'BID II'!F1150</f>
        <v>75000</v>
      </c>
      <c r="J519" s="66" t="s">
        <v>2625</v>
      </c>
      <c r="K519" s="851" t="s">
        <v>3030</v>
      </c>
      <c r="L519" s="1753"/>
      <c r="M519" s="1753"/>
      <c r="N519" s="1753"/>
      <c r="O519" s="1753"/>
      <c r="P519" s="1758"/>
      <c r="Q519" s="174">
        <v>75000</v>
      </c>
      <c r="R519" s="1758"/>
      <c r="S519" s="1758"/>
      <c r="T519" s="1762"/>
      <c r="U519" s="1762"/>
      <c r="V519" s="1762"/>
      <c r="W519" s="1762"/>
      <c r="X519" s="1750">
        <f t="shared" si="18"/>
        <v>75000</v>
      </c>
      <c r="Y519" s="175">
        <f t="shared" si="19"/>
        <v>0</v>
      </c>
    </row>
    <row r="520" spans="1:25" ht="30" x14ac:dyDescent="0.25">
      <c r="A520" s="32"/>
      <c r="B520" s="32"/>
      <c r="C520" s="32"/>
      <c r="D520" s="32">
        <v>5</v>
      </c>
      <c r="E520" s="32">
        <v>2</v>
      </c>
      <c r="F520" s="32">
        <v>2</v>
      </c>
      <c r="G520" s="32"/>
      <c r="H520" s="66" t="str">
        <f>'BID II'!B1152</f>
        <v>Belanja Jasa Honorarium</v>
      </c>
      <c r="I520" s="32"/>
      <c r="J520" s="66"/>
      <c r="K520" s="851" t="s">
        <v>3030</v>
      </c>
      <c r="L520" s="1753"/>
      <c r="M520" s="1753"/>
      <c r="N520" s="1753"/>
      <c r="O520" s="1753"/>
      <c r="P520" s="1758"/>
      <c r="Q520" s="32"/>
      <c r="R520" s="1758"/>
      <c r="S520" s="1758"/>
      <c r="T520" s="1762"/>
      <c r="U520" s="1762"/>
      <c r="V520" s="1762"/>
      <c r="W520" s="1762"/>
      <c r="X520" s="1750">
        <f t="shared" si="18"/>
        <v>0</v>
      </c>
      <c r="Y520" s="175">
        <f t="shared" si="19"/>
        <v>0</v>
      </c>
    </row>
    <row r="521" spans="1:25" ht="60" x14ac:dyDescent="0.25">
      <c r="A521" s="32"/>
      <c r="B521" s="32"/>
      <c r="C521" s="32"/>
      <c r="D521" s="32"/>
      <c r="E521" s="32"/>
      <c r="F521" s="32"/>
      <c r="G521" s="1340" t="s">
        <v>2704</v>
      </c>
      <c r="H521" s="66" t="str">
        <f>'BID II'!B1153</f>
        <v>Belanja Jasa Honorarium Ahli/ Profesi/Konsultan/Narasumber</v>
      </c>
      <c r="I521" s="174">
        <f>'BID II'!F1154</f>
        <v>600000</v>
      </c>
      <c r="J521" s="66" t="s">
        <v>2625</v>
      </c>
      <c r="K521" s="851" t="s">
        <v>3030</v>
      </c>
      <c r="L521" s="1753"/>
      <c r="M521" s="1753"/>
      <c r="N521" s="1753"/>
      <c r="O521" s="1753"/>
      <c r="P521" s="1758"/>
      <c r="Q521" s="174">
        <v>600000</v>
      </c>
      <c r="R521" s="1758"/>
      <c r="S521" s="1758"/>
      <c r="T521" s="1762"/>
      <c r="U521" s="1762"/>
      <c r="V521" s="1762"/>
      <c r="W521" s="1762"/>
      <c r="X521" s="1750">
        <f t="shared" si="18"/>
        <v>600000</v>
      </c>
      <c r="Y521" s="175">
        <f t="shared" si="19"/>
        <v>0</v>
      </c>
    </row>
    <row r="522" spans="1:25" ht="30" x14ac:dyDescent="0.25">
      <c r="A522" s="32"/>
      <c r="B522" s="32"/>
      <c r="C522" s="32"/>
      <c r="D522" s="32">
        <v>5</v>
      </c>
      <c r="E522" s="32">
        <v>2</v>
      </c>
      <c r="F522" s="32">
        <v>4</v>
      </c>
      <c r="G522" s="1340"/>
      <c r="H522" s="66" t="str">
        <f>'BID II'!B1156</f>
        <v>Belanja Jasa Sewa</v>
      </c>
      <c r="I522" s="174"/>
      <c r="J522" s="66"/>
      <c r="K522" s="851" t="s">
        <v>3030</v>
      </c>
      <c r="L522" s="1753"/>
      <c r="M522" s="1753"/>
      <c r="N522" s="1753"/>
      <c r="O522" s="1753"/>
      <c r="P522" s="1758"/>
      <c r="Q522" s="174"/>
      <c r="R522" s="1758"/>
      <c r="S522" s="1758"/>
      <c r="T522" s="1762"/>
      <c r="U522" s="1762"/>
      <c r="V522" s="1762"/>
      <c r="W522" s="1762"/>
      <c r="X522" s="1750">
        <f t="shared" si="18"/>
        <v>0</v>
      </c>
      <c r="Y522" s="175">
        <f t="shared" si="19"/>
        <v>0</v>
      </c>
    </row>
    <row r="523" spans="1:25" ht="29.25" customHeight="1" x14ac:dyDescent="0.25">
      <c r="A523" s="32"/>
      <c r="B523" s="32"/>
      <c r="C523" s="32"/>
      <c r="D523" s="32"/>
      <c r="E523" s="32"/>
      <c r="F523" s="32"/>
      <c r="G523" s="1340" t="s">
        <v>2703</v>
      </c>
      <c r="H523" s="66" t="str">
        <f>'BID II'!B1157</f>
        <v>Belanja Jasa Sewa Mobilitas</v>
      </c>
      <c r="I523" s="174">
        <f>'BID II'!F1158</f>
        <v>2000000</v>
      </c>
      <c r="J523" s="66" t="s">
        <v>2620</v>
      </c>
      <c r="K523" s="851" t="s">
        <v>3030</v>
      </c>
      <c r="L523" s="1753"/>
      <c r="M523" s="1753"/>
      <c r="N523" s="1753"/>
      <c r="O523" s="1753"/>
      <c r="P523" s="1758"/>
      <c r="Q523" s="174">
        <v>2000000</v>
      </c>
      <c r="R523" s="1758"/>
      <c r="S523" s="1758"/>
      <c r="T523" s="1762"/>
      <c r="U523" s="1762"/>
      <c r="V523" s="1762"/>
      <c r="W523" s="1762"/>
      <c r="X523" s="1750">
        <f t="shared" si="18"/>
        <v>2000000</v>
      </c>
      <c r="Y523" s="175">
        <f t="shared" si="19"/>
        <v>0</v>
      </c>
    </row>
    <row r="524" spans="1:25" ht="60" x14ac:dyDescent="0.25">
      <c r="A524" s="1344">
        <v>2</v>
      </c>
      <c r="B524" s="1344">
        <v>2</v>
      </c>
      <c r="C524" s="1346" t="s">
        <v>2705</v>
      </c>
      <c r="D524" s="1344"/>
      <c r="E524" s="1344"/>
      <c r="F524" s="1344"/>
      <c r="G524" s="1344"/>
      <c r="H524" s="1345" t="str">
        <f>'BID II'!B1173</f>
        <v xml:space="preserve"> :  Pengasuhan Bersama atau Bina Keluarga Remaja (Penyelenggaraan BKR)</v>
      </c>
      <c r="I524" s="1347">
        <f>SUM(I525:I530)</f>
        <v>7471000</v>
      </c>
      <c r="J524" s="1345" t="s">
        <v>2621</v>
      </c>
      <c r="K524" s="1796" t="s">
        <v>3030</v>
      </c>
      <c r="L524" s="1344"/>
      <c r="M524" s="1344"/>
      <c r="N524" s="1344"/>
      <c r="O524" s="1344"/>
      <c r="P524" s="1344"/>
      <c r="Q524" s="1344"/>
      <c r="R524" s="1344"/>
      <c r="S524" s="1344"/>
      <c r="T524" s="1344"/>
      <c r="U524" s="1344"/>
      <c r="V524" s="1344"/>
      <c r="W524" s="1344"/>
      <c r="X524" s="1353">
        <f t="shared" si="18"/>
        <v>0</v>
      </c>
      <c r="Y524" s="175">
        <f t="shared" si="19"/>
        <v>-7471000</v>
      </c>
    </row>
    <row r="525" spans="1:25" ht="30" x14ac:dyDescent="0.25">
      <c r="A525" s="32"/>
      <c r="B525" s="32"/>
      <c r="C525" s="32"/>
      <c r="D525" s="32">
        <v>5</v>
      </c>
      <c r="E525" s="32">
        <v>2</v>
      </c>
      <c r="F525" s="32"/>
      <c r="G525" s="32"/>
      <c r="H525" s="32" t="str">
        <f>'BID II'!B1178</f>
        <v>Belanja Barang Jasa</v>
      </c>
      <c r="I525" s="32"/>
      <c r="J525" s="66"/>
      <c r="K525" s="851" t="s">
        <v>3030</v>
      </c>
      <c r="L525" s="1753"/>
      <c r="M525" s="1753"/>
      <c r="N525" s="1753"/>
      <c r="O525" s="1753"/>
      <c r="P525" s="1758"/>
      <c r="Q525" s="1758"/>
      <c r="R525" s="1758"/>
      <c r="S525" s="1758"/>
      <c r="T525" s="1762"/>
      <c r="U525" s="1762"/>
      <c r="V525" s="1762"/>
      <c r="W525" s="1762"/>
      <c r="X525" s="1750">
        <f t="shared" si="18"/>
        <v>0</v>
      </c>
      <c r="Y525" s="175">
        <f t="shared" si="19"/>
        <v>0</v>
      </c>
    </row>
    <row r="526" spans="1:25" ht="30" x14ac:dyDescent="0.25">
      <c r="A526" s="32"/>
      <c r="B526" s="32"/>
      <c r="C526" s="32"/>
      <c r="D526" s="32"/>
      <c r="E526" s="32"/>
      <c r="F526" s="32">
        <v>1</v>
      </c>
      <c r="G526" s="32"/>
      <c r="H526" s="66" t="str">
        <f>'BID II'!B1179</f>
        <v>Belanja Barang Perlengkapan</v>
      </c>
      <c r="I526" s="32"/>
      <c r="J526" s="66"/>
      <c r="K526" s="851" t="s">
        <v>3030</v>
      </c>
      <c r="L526" s="1753"/>
      <c r="M526" s="1753"/>
      <c r="N526" s="1753"/>
      <c r="O526" s="1753"/>
      <c r="P526" s="1758"/>
      <c r="Q526" s="1758"/>
      <c r="R526" s="1758"/>
      <c r="S526" s="1758"/>
      <c r="T526" s="1762"/>
      <c r="U526" s="1762"/>
      <c r="V526" s="1762"/>
      <c r="W526" s="1762"/>
      <c r="X526" s="1750">
        <f t="shared" si="18"/>
        <v>0</v>
      </c>
      <c r="Y526" s="175">
        <f t="shared" si="19"/>
        <v>0</v>
      </c>
    </row>
    <row r="527" spans="1:25" ht="30" x14ac:dyDescent="0.25">
      <c r="A527" s="32"/>
      <c r="B527" s="32"/>
      <c r="C527" s="32"/>
      <c r="D527" s="32"/>
      <c r="E527" s="32"/>
      <c r="F527" s="32"/>
      <c r="G527" s="1340" t="s">
        <v>2688</v>
      </c>
      <c r="H527" s="66" t="str">
        <f>'BID II'!B1180</f>
        <v>Belanja Alat Tulis Kantor dan Benda Pos</v>
      </c>
      <c r="I527" s="470">
        <f>'BID II'!F1181+'BID II'!F1182+'BID II'!F1183</f>
        <v>571000</v>
      </c>
      <c r="J527" s="66" t="s">
        <v>2621</v>
      </c>
      <c r="K527" s="851" t="s">
        <v>3030</v>
      </c>
      <c r="L527" s="1754">
        <v>571000</v>
      </c>
      <c r="M527" s="1753"/>
      <c r="N527" s="1753"/>
      <c r="O527" s="1753"/>
      <c r="P527" s="1758"/>
      <c r="Q527" s="1758"/>
      <c r="R527" s="1758"/>
      <c r="S527" s="1758"/>
      <c r="T527" s="1762"/>
      <c r="U527" s="1762"/>
      <c r="V527" s="1762"/>
      <c r="W527" s="1762"/>
      <c r="X527" s="1750">
        <f t="shared" si="18"/>
        <v>571000</v>
      </c>
      <c r="Y527" s="175">
        <f t="shared" si="19"/>
        <v>0</v>
      </c>
    </row>
    <row r="528" spans="1:25" ht="30" x14ac:dyDescent="0.25">
      <c r="A528" s="32"/>
      <c r="B528" s="32"/>
      <c r="C528" s="32"/>
      <c r="D528" s="32"/>
      <c r="E528" s="32"/>
      <c r="F528" s="32"/>
      <c r="G528" s="1340" t="s">
        <v>2705</v>
      </c>
      <c r="H528" s="66" t="str">
        <f>'BID II'!B1185</f>
        <v>Belanja Perlengkapan Barang Konsumsi</v>
      </c>
      <c r="I528" s="174">
        <f>'BID II'!F1187</f>
        <v>900000</v>
      </c>
      <c r="J528" s="66" t="s">
        <v>2621</v>
      </c>
      <c r="K528" s="851" t="s">
        <v>3030</v>
      </c>
      <c r="L528" s="1754">
        <v>75000</v>
      </c>
      <c r="M528" s="1754">
        <v>75000</v>
      </c>
      <c r="N528" s="1754">
        <v>75000</v>
      </c>
      <c r="O528" s="1754">
        <v>75000</v>
      </c>
      <c r="P528" s="1754">
        <v>75000</v>
      </c>
      <c r="Q528" s="1754">
        <v>75000</v>
      </c>
      <c r="R528" s="1754">
        <v>75000</v>
      </c>
      <c r="S528" s="1754">
        <v>75000</v>
      </c>
      <c r="T528" s="1754">
        <v>75000</v>
      </c>
      <c r="U528" s="1754">
        <v>75000</v>
      </c>
      <c r="V528" s="1754">
        <v>75000</v>
      </c>
      <c r="W528" s="1754">
        <v>75000</v>
      </c>
      <c r="X528" s="1750">
        <f t="shared" si="18"/>
        <v>900000</v>
      </c>
      <c r="Y528" s="175">
        <f t="shared" si="19"/>
        <v>0</v>
      </c>
    </row>
    <row r="529" spans="1:25" ht="30" x14ac:dyDescent="0.25">
      <c r="A529" s="32"/>
      <c r="B529" s="32"/>
      <c r="C529" s="32"/>
      <c r="D529" s="32">
        <v>5</v>
      </c>
      <c r="E529" s="32">
        <v>2</v>
      </c>
      <c r="F529" s="32">
        <v>2</v>
      </c>
      <c r="G529" s="32"/>
      <c r="H529" s="66" t="str">
        <f>'BID II'!B1189</f>
        <v>Belanja Jasa Honorarium</v>
      </c>
      <c r="I529" s="32"/>
      <c r="J529" s="66"/>
      <c r="K529" s="851" t="s">
        <v>3030</v>
      </c>
      <c r="L529" s="1753"/>
      <c r="M529" s="1753"/>
      <c r="N529" s="1753"/>
      <c r="O529" s="1753"/>
      <c r="P529" s="1758"/>
      <c r="Q529" s="1758"/>
      <c r="R529" s="1758"/>
      <c r="S529" s="1758"/>
      <c r="T529" s="1762"/>
      <c r="U529" s="1762"/>
      <c r="V529" s="1762"/>
      <c r="W529" s="1762"/>
      <c r="X529" s="1750">
        <f t="shared" si="18"/>
        <v>0</v>
      </c>
      <c r="Y529" s="175">
        <f t="shared" si="19"/>
        <v>0</v>
      </c>
    </row>
    <row r="530" spans="1:25" ht="30" x14ac:dyDescent="0.25">
      <c r="A530" s="32"/>
      <c r="B530" s="32"/>
      <c r="C530" s="32"/>
      <c r="D530" s="32"/>
      <c r="E530" s="32"/>
      <c r="F530" s="32"/>
      <c r="G530" s="1340" t="s">
        <v>2706</v>
      </c>
      <c r="H530" s="66" t="str">
        <f>'BID II'!B1190</f>
        <v>Belanja Jasa Honorarium Petugas</v>
      </c>
      <c r="I530" s="174">
        <f>SUM('BID II'!F1191)</f>
        <v>6000000</v>
      </c>
      <c r="J530" s="66" t="s">
        <v>2621</v>
      </c>
      <c r="K530" s="851" t="s">
        <v>3030</v>
      </c>
      <c r="L530" s="1754">
        <v>500000</v>
      </c>
      <c r="M530" s="1754">
        <v>500000</v>
      </c>
      <c r="N530" s="1754">
        <v>500000</v>
      </c>
      <c r="O530" s="1754">
        <v>500000</v>
      </c>
      <c r="P530" s="1754">
        <v>500000</v>
      </c>
      <c r="Q530" s="1754">
        <v>500000</v>
      </c>
      <c r="R530" s="1754">
        <v>500000</v>
      </c>
      <c r="S530" s="1754">
        <v>500000</v>
      </c>
      <c r="T530" s="1754">
        <v>500000</v>
      </c>
      <c r="U530" s="1754">
        <v>500000</v>
      </c>
      <c r="V530" s="1754">
        <v>500000</v>
      </c>
      <c r="W530" s="1754">
        <v>500000</v>
      </c>
      <c r="X530" s="1750">
        <f t="shared" si="18"/>
        <v>6000000</v>
      </c>
      <c r="Y530" s="175">
        <f t="shared" si="19"/>
        <v>0</v>
      </c>
    </row>
    <row r="531" spans="1:25" x14ac:dyDescent="0.25">
      <c r="A531" s="1344">
        <v>2</v>
      </c>
      <c r="B531" s="1344">
        <v>2</v>
      </c>
      <c r="C531" s="1344">
        <v>91</v>
      </c>
      <c r="D531" s="1344"/>
      <c r="E531" s="1344"/>
      <c r="F531" s="1344"/>
      <c r="G531" s="1344"/>
      <c r="H531" s="1344" t="str">
        <f>'BID II'!B1270</f>
        <v>:  Foging Fokus</v>
      </c>
      <c r="I531" s="1347">
        <f>SUM(I532:I540)</f>
        <v>42360000</v>
      </c>
      <c r="J531" s="1345" t="s">
        <v>1682</v>
      </c>
      <c r="K531" s="1347" t="s">
        <v>3031</v>
      </c>
      <c r="L531" s="1344"/>
      <c r="M531" s="1344"/>
      <c r="N531" s="1344"/>
      <c r="O531" s="1344"/>
      <c r="P531" s="1344"/>
      <c r="Q531" s="1344"/>
      <c r="R531" s="1344"/>
      <c r="S531" s="1344"/>
      <c r="T531" s="1344"/>
      <c r="U531" s="1344"/>
      <c r="V531" s="1344"/>
      <c r="W531" s="1344"/>
      <c r="X531" s="1353">
        <f t="shared" si="18"/>
        <v>0</v>
      </c>
      <c r="Y531" s="175">
        <f t="shared" si="19"/>
        <v>-42360000</v>
      </c>
    </row>
    <row r="532" spans="1:25" x14ac:dyDescent="0.25">
      <c r="A532" s="32"/>
      <c r="B532" s="32"/>
      <c r="C532" s="32"/>
      <c r="D532" s="32">
        <v>5</v>
      </c>
      <c r="E532" s="32">
        <v>2</v>
      </c>
      <c r="F532" s="32"/>
      <c r="G532" s="32"/>
      <c r="H532" s="66" t="str">
        <f>'BID II'!B1277</f>
        <v xml:space="preserve">Belanja Barang dan Jasa </v>
      </c>
      <c r="I532" s="32"/>
      <c r="J532" s="66"/>
      <c r="K532" s="470" t="s">
        <v>3031</v>
      </c>
      <c r="L532" s="1753"/>
      <c r="M532" s="1753"/>
      <c r="N532" s="1753"/>
      <c r="O532" s="1753"/>
      <c r="P532" s="1758"/>
      <c r="Q532" s="1758"/>
      <c r="R532" s="1758"/>
      <c r="S532" s="1758"/>
      <c r="T532" s="1762"/>
      <c r="U532" s="1762"/>
      <c r="V532" s="1762"/>
      <c r="W532" s="1762"/>
      <c r="X532" s="1750">
        <f t="shared" si="18"/>
        <v>0</v>
      </c>
      <c r="Y532" s="175">
        <f t="shared" si="19"/>
        <v>0</v>
      </c>
    </row>
    <row r="533" spans="1:25" ht="30" x14ac:dyDescent="0.25">
      <c r="A533" s="32"/>
      <c r="B533" s="32"/>
      <c r="C533" s="32"/>
      <c r="D533" s="32"/>
      <c r="E533" s="32"/>
      <c r="F533" s="32">
        <v>1</v>
      </c>
      <c r="G533" s="32"/>
      <c r="H533" s="66" t="str">
        <f>'BID II'!B1278</f>
        <v>Belanja Barang perlengkapan</v>
      </c>
      <c r="I533" s="32"/>
      <c r="J533" s="66"/>
      <c r="K533" s="470" t="s">
        <v>3031</v>
      </c>
      <c r="L533" s="1753"/>
      <c r="M533" s="1753"/>
      <c r="N533" s="1753"/>
      <c r="O533" s="1753"/>
      <c r="P533" s="1758"/>
      <c r="Q533" s="1758"/>
      <c r="R533" s="1758"/>
      <c r="S533" s="1758"/>
      <c r="T533" s="1762"/>
      <c r="U533" s="1762"/>
      <c r="V533" s="1762"/>
      <c r="W533" s="1762"/>
      <c r="X533" s="1750">
        <f t="shared" si="18"/>
        <v>0</v>
      </c>
      <c r="Y533" s="175">
        <f t="shared" si="19"/>
        <v>0</v>
      </c>
    </row>
    <row r="534" spans="1:25" ht="30" x14ac:dyDescent="0.25">
      <c r="A534" s="32"/>
      <c r="B534" s="32"/>
      <c r="C534" s="32"/>
      <c r="D534" s="32"/>
      <c r="E534" s="32"/>
      <c r="F534" s="32"/>
      <c r="G534" s="1340" t="s">
        <v>2705</v>
      </c>
      <c r="H534" s="66" t="str">
        <f>'BID II'!B1281</f>
        <v>Belanja Perlengkapan Barang konsumsi</v>
      </c>
      <c r="I534" s="174">
        <f>'BID II'!F1282</f>
        <v>900000</v>
      </c>
      <c r="J534" s="66" t="s">
        <v>1682</v>
      </c>
      <c r="K534" s="470" t="s">
        <v>3031</v>
      </c>
      <c r="L534" s="1753"/>
      <c r="M534" s="1753"/>
      <c r="N534" s="1753"/>
      <c r="O534" s="1754">
        <v>300000</v>
      </c>
      <c r="P534" s="1758"/>
      <c r="Q534" s="1758"/>
      <c r="R534" s="1758"/>
      <c r="S534" s="1754">
        <v>300000</v>
      </c>
      <c r="T534" s="1762"/>
      <c r="U534" s="1762"/>
      <c r="V534" s="1754">
        <v>300000</v>
      </c>
      <c r="W534" s="1762"/>
      <c r="X534" s="1750">
        <f t="shared" si="18"/>
        <v>900000</v>
      </c>
      <c r="Y534" s="175">
        <f t="shared" si="19"/>
        <v>0</v>
      </c>
    </row>
    <row r="535" spans="1:25" x14ac:dyDescent="0.25">
      <c r="A535" s="32"/>
      <c r="B535" s="32"/>
      <c r="C535" s="32"/>
      <c r="D535" s="32"/>
      <c r="E535" s="32"/>
      <c r="F535" s="32"/>
      <c r="G535" s="1340" t="s">
        <v>2708</v>
      </c>
      <c r="H535" s="32" t="str">
        <f>'BID II'!B1284</f>
        <v>Belanja Bahan /Material</v>
      </c>
      <c r="I535" s="174">
        <f>SUM('BID II'!F1285:F1290)</f>
        <v>32310000</v>
      </c>
      <c r="J535" s="66" t="s">
        <v>1682</v>
      </c>
      <c r="K535" s="470" t="s">
        <v>3031</v>
      </c>
      <c r="L535" s="1753"/>
      <c r="M535" s="1753"/>
      <c r="N535" s="1753"/>
      <c r="O535" s="1754">
        <v>10770000</v>
      </c>
      <c r="P535" s="1758"/>
      <c r="Q535" s="1758"/>
      <c r="R535" s="1758"/>
      <c r="S535" s="1754">
        <v>10770000</v>
      </c>
      <c r="T535" s="1762"/>
      <c r="U535" s="1762"/>
      <c r="V535" s="1754">
        <v>10770000</v>
      </c>
      <c r="W535" s="1762"/>
      <c r="X535" s="1750">
        <f t="shared" si="18"/>
        <v>32310000</v>
      </c>
      <c r="Y535" s="175">
        <f t="shared" si="19"/>
        <v>0</v>
      </c>
    </row>
    <row r="536" spans="1:25" x14ac:dyDescent="0.25">
      <c r="A536" s="32"/>
      <c r="B536" s="32"/>
      <c r="C536" s="32"/>
      <c r="D536" s="32">
        <v>5</v>
      </c>
      <c r="E536" s="32">
        <v>2</v>
      </c>
      <c r="F536" s="32">
        <v>2</v>
      </c>
      <c r="G536" s="32"/>
      <c r="H536" s="66" t="str">
        <f>'BID II'!B1291</f>
        <v>Belanja Jasa Honorarium</v>
      </c>
      <c r="I536" s="32"/>
      <c r="J536" s="66"/>
      <c r="K536" s="470" t="s">
        <v>3031</v>
      </c>
      <c r="L536" s="1753"/>
      <c r="M536" s="1753"/>
      <c r="N536" s="1753"/>
      <c r="O536" s="1754">
        <v>0</v>
      </c>
      <c r="P536" s="1758"/>
      <c r="Q536" s="1758"/>
      <c r="R536" s="1758"/>
      <c r="S536" s="1754">
        <v>0</v>
      </c>
      <c r="T536" s="1762"/>
      <c r="U536" s="1762"/>
      <c r="V536" s="1754">
        <v>0</v>
      </c>
      <c r="W536" s="1762"/>
      <c r="X536" s="1750">
        <f t="shared" si="18"/>
        <v>0</v>
      </c>
      <c r="Y536" s="175">
        <f t="shared" si="19"/>
        <v>0</v>
      </c>
    </row>
    <row r="537" spans="1:25" ht="45" x14ac:dyDescent="0.25">
      <c r="A537" s="32"/>
      <c r="B537" s="32"/>
      <c r="C537" s="32"/>
      <c r="D537" s="32"/>
      <c r="E537" s="32"/>
      <c r="F537" s="32"/>
      <c r="G537" s="1340" t="s">
        <v>2688</v>
      </c>
      <c r="H537" s="66" t="str">
        <f>'BID II'!B1292</f>
        <v>Belanja Jasa Honorarium Tim Yang Melaksanakan kegiatan</v>
      </c>
      <c r="I537" s="174">
        <f>SUM('BID II'!F1293:F1295)</f>
        <v>1150000</v>
      </c>
      <c r="J537" s="66" t="s">
        <v>1682</v>
      </c>
      <c r="K537" s="470" t="s">
        <v>3031</v>
      </c>
      <c r="L537" s="1753"/>
      <c r="M537" s="1753"/>
      <c r="N537" s="1753"/>
      <c r="O537" s="1754">
        <v>383333.33333333331</v>
      </c>
      <c r="P537" s="1758"/>
      <c r="Q537" s="1758"/>
      <c r="R537" s="1758"/>
      <c r="S537" s="1754">
        <v>383333.33333333331</v>
      </c>
      <c r="T537" s="1762"/>
      <c r="U537" s="1762"/>
      <c r="V537" s="1754">
        <v>383333.33333333331</v>
      </c>
      <c r="W537" s="1762"/>
      <c r="X537" s="1750">
        <f t="shared" si="18"/>
        <v>1150000</v>
      </c>
      <c r="Y537" s="175">
        <f t="shared" si="19"/>
        <v>0</v>
      </c>
    </row>
    <row r="538" spans="1:25" ht="30" x14ac:dyDescent="0.25">
      <c r="A538" s="32"/>
      <c r="B538" s="32"/>
      <c r="C538" s="32"/>
      <c r="D538" s="32"/>
      <c r="E538" s="32"/>
      <c r="F538" s="32"/>
      <c r="G538" s="1340" t="s">
        <v>2706</v>
      </c>
      <c r="H538" s="66" t="str">
        <f>'BID II'!B1297</f>
        <v>Belanja Jasa Honorarium Petugas</v>
      </c>
      <c r="I538" s="174">
        <f>SUM('BID II'!F1298)</f>
        <v>3000000</v>
      </c>
      <c r="J538" s="66" t="s">
        <v>1682</v>
      </c>
      <c r="K538" s="470" t="s">
        <v>3031</v>
      </c>
      <c r="L538" s="1753"/>
      <c r="M538" s="1753"/>
      <c r="N538" s="1753"/>
      <c r="O538" s="1754">
        <v>1000000</v>
      </c>
      <c r="P538" s="1758"/>
      <c r="Q538" s="1758"/>
      <c r="R538" s="1758"/>
      <c r="S538" s="1754">
        <v>1000000</v>
      </c>
      <c r="T538" s="1762"/>
      <c r="U538" s="1762"/>
      <c r="V538" s="1754">
        <v>1000000</v>
      </c>
      <c r="W538" s="1762"/>
      <c r="X538" s="1750">
        <f t="shared" ref="X538:X601" si="20">SUM(L538:W538)</f>
        <v>3000000</v>
      </c>
      <c r="Y538" s="175">
        <f t="shared" ref="Y538:Y601" si="21">X538-I538</f>
        <v>0</v>
      </c>
    </row>
    <row r="539" spans="1:25" x14ac:dyDescent="0.25">
      <c r="A539" s="32"/>
      <c r="B539" s="32"/>
      <c r="C539" s="32"/>
      <c r="D539" s="32">
        <v>5</v>
      </c>
      <c r="E539" s="32">
        <v>2</v>
      </c>
      <c r="F539" s="32">
        <v>6</v>
      </c>
      <c r="G539" s="32"/>
      <c r="H539" s="32" t="str">
        <f>'BID II'!B1300</f>
        <v>Belanja pemeliharaan</v>
      </c>
      <c r="I539" s="32"/>
      <c r="J539" s="66"/>
      <c r="K539" s="470" t="s">
        <v>3031</v>
      </c>
      <c r="L539" s="1753"/>
      <c r="M539" s="1753"/>
      <c r="N539" s="1753"/>
      <c r="O539" s="1754">
        <v>0</v>
      </c>
      <c r="P539" s="1758"/>
      <c r="Q539" s="1758"/>
      <c r="R539" s="1758"/>
      <c r="S539" s="1754">
        <v>0</v>
      </c>
      <c r="T539" s="1762"/>
      <c r="U539" s="1762"/>
      <c r="V539" s="1754">
        <v>0</v>
      </c>
      <c r="W539" s="1762"/>
      <c r="X539" s="1750">
        <f t="shared" si="20"/>
        <v>0</v>
      </c>
      <c r="Y539" s="175">
        <f t="shared" si="21"/>
        <v>0</v>
      </c>
    </row>
    <row r="540" spans="1:25" x14ac:dyDescent="0.25">
      <c r="A540" s="32"/>
      <c r="B540" s="32"/>
      <c r="C540" s="32"/>
      <c r="D540" s="32"/>
      <c r="E540" s="32"/>
      <c r="F540" s="32"/>
      <c r="G540" s="1340" t="s">
        <v>2688</v>
      </c>
      <c r="H540" s="32" t="str">
        <f>'BID II'!B1301</f>
        <v>Perawatan Mesin</v>
      </c>
      <c r="I540" s="174">
        <f>'BID II'!F1301</f>
        <v>5000000</v>
      </c>
      <c r="J540" s="66" t="s">
        <v>1682</v>
      </c>
      <c r="K540" s="470" t="s">
        <v>3031</v>
      </c>
      <c r="L540" s="1753"/>
      <c r="M540" s="1753"/>
      <c r="N540" s="1753"/>
      <c r="O540" s="1754">
        <v>1666666.6666666667</v>
      </c>
      <c r="P540" s="1758"/>
      <c r="Q540" s="1758"/>
      <c r="R540" s="1758"/>
      <c r="S540" s="1754">
        <v>1666666.6666666667</v>
      </c>
      <c r="T540" s="1762"/>
      <c r="U540" s="1762"/>
      <c r="V540" s="1754">
        <v>1666666.6666666667</v>
      </c>
      <c r="W540" s="1762"/>
      <c r="X540" s="1750">
        <f t="shared" si="20"/>
        <v>5000000</v>
      </c>
      <c r="Y540" s="175">
        <f t="shared" si="21"/>
        <v>0</v>
      </c>
    </row>
    <row r="541" spans="1:25" ht="30" x14ac:dyDescent="0.25">
      <c r="A541" s="1344">
        <v>2</v>
      </c>
      <c r="B541" s="1344">
        <v>2</v>
      </c>
      <c r="C541" s="1344">
        <v>92</v>
      </c>
      <c r="D541" s="1344"/>
      <c r="E541" s="1344"/>
      <c r="F541" s="1344"/>
      <c r="G541" s="1344"/>
      <c r="H541" s="1345" t="str">
        <f>'BID II'!B1316</f>
        <v>: Gerakan Serentak PSN dan Lomba PSN</v>
      </c>
      <c r="I541" s="1347">
        <f>SUM(I542:I557)</f>
        <v>45123000</v>
      </c>
      <c r="J541" s="1345" t="s">
        <v>2620</v>
      </c>
      <c r="K541" s="1347" t="s">
        <v>3031</v>
      </c>
      <c r="L541" s="1344"/>
      <c r="M541" s="1344"/>
      <c r="N541" s="1344"/>
      <c r="O541" s="1344"/>
      <c r="P541" s="1344"/>
      <c r="Q541" s="1344"/>
      <c r="R541" s="1344"/>
      <c r="S541" s="1344"/>
      <c r="T541" s="1344"/>
      <c r="U541" s="1344"/>
      <c r="V541" s="1344"/>
      <c r="W541" s="1344"/>
      <c r="X541" s="1353">
        <f t="shared" si="20"/>
        <v>0</v>
      </c>
      <c r="Y541" s="175">
        <f t="shared" si="21"/>
        <v>-45123000</v>
      </c>
    </row>
    <row r="542" spans="1:25" x14ac:dyDescent="0.25">
      <c r="A542" s="32"/>
      <c r="B542" s="32"/>
      <c r="C542" s="32"/>
      <c r="D542" s="32">
        <v>5</v>
      </c>
      <c r="E542" s="32">
        <v>2</v>
      </c>
      <c r="F542" s="32"/>
      <c r="G542" s="32"/>
      <c r="H542" s="66" t="str">
        <f>'BID II'!B1324</f>
        <v xml:space="preserve">Belanja Barang dan Jasa </v>
      </c>
      <c r="I542" s="32"/>
      <c r="J542" s="66"/>
      <c r="K542" s="470" t="s">
        <v>3031</v>
      </c>
      <c r="L542" s="1753"/>
      <c r="M542" s="1753"/>
      <c r="N542" s="1753"/>
      <c r="O542" s="1753"/>
      <c r="P542" s="1758"/>
      <c r="Q542" s="1758"/>
      <c r="R542" s="1758"/>
      <c r="S542" s="1758"/>
      <c r="T542" s="1762"/>
      <c r="U542" s="1762"/>
      <c r="V542" s="1762"/>
      <c r="W542" s="1762"/>
      <c r="X542" s="1750">
        <f t="shared" si="20"/>
        <v>0</v>
      </c>
      <c r="Y542" s="175">
        <f t="shared" si="21"/>
        <v>0</v>
      </c>
    </row>
    <row r="543" spans="1:25" ht="30" x14ac:dyDescent="0.25">
      <c r="A543" s="32"/>
      <c r="B543" s="32"/>
      <c r="C543" s="32"/>
      <c r="D543" s="32"/>
      <c r="E543" s="32"/>
      <c r="F543" s="32">
        <v>1</v>
      </c>
      <c r="G543" s="32"/>
      <c r="H543" s="66" t="str">
        <f>'BID II'!B1325</f>
        <v>Belanja Barang perlengkapan</v>
      </c>
      <c r="I543" s="32"/>
      <c r="J543" s="66"/>
      <c r="K543" s="470" t="s">
        <v>3031</v>
      </c>
      <c r="L543" s="1753"/>
      <c r="M543" s="1753"/>
      <c r="N543" s="1753"/>
      <c r="O543" s="1753"/>
      <c r="P543" s="1758"/>
      <c r="Q543" s="1758"/>
      <c r="R543" s="1758"/>
      <c r="S543" s="1758"/>
      <c r="T543" s="1762"/>
      <c r="U543" s="1762"/>
      <c r="V543" s="1762"/>
      <c r="W543" s="1762"/>
      <c r="X543" s="1750">
        <f t="shared" si="20"/>
        <v>0</v>
      </c>
      <c r="Y543" s="175">
        <f t="shared" si="21"/>
        <v>0</v>
      </c>
    </row>
    <row r="544" spans="1:25" ht="45" x14ac:dyDescent="0.25">
      <c r="A544" s="32"/>
      <c r="B544" s="32"/>
      <c r="C544" s="32"/>
      <c r="D544" s="32"/>
      <c r="E544" s="32"/>
      <c r="F544" s="32"/>
      <c r="G544" s="1340" t="s">
        <v>2688</v>
      </c>
      <c r="H544" s="66" t="str">
        <f>'BID II'!B1326</f>
        <v>Belanja Perlengkapan Alat Tulis Kantor Dan Benda Pos</v>
      </c>
      <c r="I544" s="174">
        <f>SUM('BID II'!F1327:F1329)</f>
        <v>188000</v>
      </c>
      <c r="J544" s="66" t="s">
        <v>2620</v>
      </c>
      <c r="K544" s="470" t="s">
        <v>3031</v>
      </c>
      <c r="L544" s="1753"/>
      <c r="M544" s="1753"/>
      <c r="N544" s="1753"/>
      <c r="O544" s="1753"/>
      <c r="P544" s="1758"/>
      <c r="Q544" s="1758"/>
      <c r="R544" s="1759">
        <v>188000</v>
      </c>
      <c r="S544" s="1758"/>
      <c r="T544" s="1762"/>
      <c r="U544" s="1762"/>
      <c r="V544" s="1762"/>
      <c r="W544" s="1762"/>
      <c r="X544" s="1750">
        <f t="shared" si="20"/>
        <v>188000</v>
      </c>
      <c r="Y544" s="175">
        <f t="shared" si="21"/>
        <v>0</v>
      </c>
    </row>
    <row r="545" spans="1:25" ht="30" x14ac:dyDescent="0.25">
      <c r="A545" s="32"/>
      <c r="B545" s="32"/>
      <c r="C545" s="32"/>
      <c r="D545" s="32"/>
      <c r="E545" s="32"/>
      <c r="F545" s="32"/>
      <c r="G545" s="1340" t="s">
        <v>2705</v>
      </c>
      <c r="H545" s="66" t="str">
        <f>'BID II'!B1331</f>
        <v>Belanja Perlengkapan Barang Konsumsi</v>
      </c>
      <c r="I545" s="174">
        <f>SUM('BID II'!F1332:F1333)</f>
        <v>20175000</v>
      </c>
      <c r="J545" s="66" t="s">
        <v>2620</v>
      </c>
      <c r="K545" s="470" t="s">
        <v>3031</v>
      </c>
      <c r="L545" s="1753"/>
      <c r="M545" s="1753"/>
      <c r="N545" s="1753"/>
      <c r="O545" s="1753"/>
      <c r="P545" s="1758"/>
      <c r="Q545" s="1758"/>
      <c r="R545" s="1759">
        <v>20175000</v>
      </c>
      <c r="S545" s="1758"/>
      <c r="T545" s="1762"/>
      <c r="U545" s="1762"/>
      <c r="V545" s="1762"/>
      <c r="W545" s="1762"/>
      <c r="X545" s="1750">
        <f t="shared" si="20"/>
        <v>20175000</v>
      </c>
      <c r="Y545" s="175">
        <f t="shared" si="21"/>
        <v>0</v>
      </c>
    </row>
    <row r="546" spans="1:25" ht="30" x14ac:dyDescent="0.25">
      <c r="A546" s="32"/>
      <c r="B546" s="32"/>
      <c r="C546" s="32"/>
      <c r="D546" s="32"/>
      <c r="E546" s="32"/>
      <c r="F546" s="32"/>
      <c r="G546" s="1340" t="s">
        <v>2707</v>
      </c>
      <c r="H546" s="66" t="str">
        <f>'BID II'!B1335</f>
        <v>Belanja Bendera/ Umbul-umbul/ Spanduk</v>
      </c>
      <c r="I546" s="174">
        <f>'BID II'!F1336+'BID II'!F1337</f>
        <v>4170000</v>
      </c>
      <c r="J546" s="66" t="s">
        <v>2620</v>
      </c>
      <c r="K546" s="470" t="s">
        <v>3031</v>
      </c>
      <c r="L546" s="1753"/>
      <c r="M546" s="1753"/>
      <c r="N546" s="1753"/>
      <c r="O546" s="1753"/>
      <c r="P546" s="1758"/>
      <c r="Q546" s="1758"/>
      <c r="R546" s="1759">
        <v>4170000</v>
      </c>
      <c r="S546" s="1758"/>
      <c r="T546" s="1762"/>
      <c r="U546" s="1762"/>
      <c r="V546" s="1762"/>
      <c r="W546" s="1762"/>
      <c r="X546" s="1750">
        <f t="shared" si="20"/>
        <v>4170000</v>
      </c>
      <c r="Y546" s="175">
        <f t="shared" si="21"/>
        <v>0</v>
      </c>
    </row>
    <row r="547" spans="1:25" x14ac:dyDescent="0.25">
      <c r="A547" s="32"/>
      <c r="B547" s="32"/>
      <c r="C547" s="32"/>
      <c r="D547" s="32"/>
      <c r="E547" s="32"/>
      <c r="F547" s="32"/>
      <c r="G547" s="32"/>
      <c r="H547" s="32" t="str">
        <f>'BID II'!B1339</f>
        <v>Lomba PSN</v>
      </c>
      <c r="I547" s="32"/>
      <c r="J547" s="66"/>
      <c r="K547" s="470" t="s">
        <v>3031</v>
      </c>
      <c r="L547" s="1753"/>
      <c r="M547" s="1753"/>
      <c r="N547" s="1753"/>
      <c r="O547" s="1753"/>
      <c r="P547" s="1758"/>
      <c r="Q547" s="1758"/>
      <c r="R547" s="1759"/>
      <c r="S547" s="1758"/>
      <c r="T547" s="1762"/>
      <c r="U547" s="1762"/>
      <c r="V547" s="1762"/>
      <c r="W547" s="1762"/>
      <c r="X547" s="1750">
        <f t="shared" si="20"/>
        <v>0</v>
      </c>
      <c r="Y547" s="175">
        <f t="shared" si="21"/>
        <v>0</v>
      </c>
    </row>
    <row r="548" spans="1:25" x14ac:dyDescent="0.25">
      <c r="A548" s="32"/>
      <c r="B548" s="32"/>
      <c r="C548" s="32"/>
      <c r="D548" s="32">
        <v>5</v>
      </c>
      <c r="E548" s="32">
        <v>2</v>
      </c>
      <c r="F548" s="32"/>
      <c r="G548" s="32"/>
      <c r="H548" s="66" t="str">
        <f>'BID II'!B1341</f>
        <v xml:space="preserve">Belanja Barang dan Jasa </v>
      </c>
      <c r="I548" s="32"/>
      <c r="J548" s="66"/>
      <c r="K548" s="470" t="s">
        <v>3031</v>
      </c>
      <c r="L548" s="1753"/>
      <c r="M548" s="1753"/>
      <c r="N548" s="1753"/>
      <c r="O548" s="1753"/>
      <c r="P548" s="1758"/>
      <c r="Q548" s="1758"/>
      <c r="R548" s="1759"/>
      <c r="S548" s="1758"/>
      <c r="T548" s="1762"/>
      <c r="U548" s="1762"/>
      <c r="V548" s="1762"/>
      <c r="W548" s="1762"/>
      <c r="X548" s="1750">
        <f t="shared" si="20"/>
        <v>0</v>
      </c>
      <c r="Y548" s="175">
        <f t="shared" si="21"/>
        <v>0</v>
      </c>
    </row>
    <row r="549" spans="1:25" ht="30" x14ac:dyDescent="0.25">
      <c r="A549" s="32"/>
      <c r="B549" s="32"/>
      <c r="C549" s="32"/>
      <c r="D549" s="32"/>
      <c r="E549" s="32"/>
      <c r="F549" s="32">
        <v>1</v>
      </c>
      <c r="G549" s="32"/>
      <c r="H549" s="66" t="str">
        <f>'BID II'!B1342</f>
        <v>Belanja Barang perlengkapan</v>
      </c>
      <c r="I549" s="32"/>
      <c r="J549" s="66"/>
      <c r="K549" s="470" t="s">
        <v>3031</v>
      </c>
      <c r="L549" s="1753"/>
      <c r="M549" s="1753"/>
      <c r="N549" s="1753"/>
      <c r="O549" s="1753"/>
      <c r="P549" s="1758"/>
      <c r="Q549" s="1758"/>
      <c r="R549" s="1759"/>
      <c r="S549" s="1758"/>
      <c r="T549" s="1762"/>
      <c r="U549" s="1762"/>
      <c r="V549" s="1762"/>
      <c r="W549" s="1762"/>
      <c r="X549" s="1750">
        <f t="shared" si="20"/>
        <v>0</v>
      </c>
      <c r="Y549" s="175">
        <f t="shared" si="21"/>
        <v>0</v>
      </c>
    </row>
    <row r="550" spans="1:25" ht="30" x14ac:dyDescent="0.25">
      <c r="A550" s="32"/>
      <c r="B550" s="32"/>
      <c r="C550" s="32"/>
      <c r="D550" s="32"/>
      <c r="E550" s="32"/>
      <c r="F550" s="32"/>
      <c r="G550" s="1340" t="s">
        <v>2705</v>
      </c>
      <c r="H550" s="66" t="str">
        <f>'BID II'!B1343</f>
        <v>Belanja Perlengkapan Barang Konsumsi</v>
      </c>
      <c r="I550" s="174">
        <f>SUM('BID II'!F1344:F1345)</f>
        <v>1500000</v>
      </c>
      <c r="J550" s="66" t="s">
        <v>2620</v>
      </c>
      <c r="K550" s="470" t="s">
        <v>3031</v>
      </c>
      <c r="L550" s="1753"/>
      <c r="M550" s="1753"/>
      <c r="N550" s="1753"/>
      <c r="O550" s="1753"/>
      <c r="P550" s="1758"/>
      <c r="Q550" s="1758"/>
      <c r="R550" s="1759">
        <v>1500000</v>
      </c>
      <c r="S550" s="1758"/>
      <c r="T550" s="1762"/>
      <c r="U550" s="1762"/>
      <c r="V550" s="1762"/>
      <c r="W550" s="1762"/>
      <c r="X550" s="1750">
        <f t="shared" si="20"/>
        <v>1500000</v>
      </c>
      <c r="Y550" s="175">
        <f t="shared" si="21"/>
        <v>0</v>
      </c>
    </row>
    <row r="551" spans="1:25" ht="30" x14ac:dyDescent="0.25">
      <c r="A551" s="32"/>
      <c r="B551" s="32"/>
      <c r="C551" s="32"/>
      <c r="D551" s="32"/>
      <c r="E551" s="32"/>
      <c r="F551" s="32"/>
      <c r="G551" s="1340" t="s">
        <v>2707</v>
      </c>
      <c r="H551" s="66" t="str">
        <f>'BID II'!B1347</f>
        <v>Belanja Bendera/ Umbul-umbul/ Spanduk</v>
      </c>
      <c r="I551" s="174">
        <f>'BID II'!F1348</f>
        <v>1170000</v>
      </c>
      <c r="J551" s="66" t="s">
        <v>2620</v>
      </c>
      <c r="K551" s="470" t="s">
        <v>3031</v>
      </c>
      <c r="L551" s="1753"/>
      <c r="M551" s="1753"/>
      <c r="N551" s="1753"/>
      <c r="O551" s="1753"/>
      <c r="P551" s="1758"/>
      <c r="Q551" s="1758"/>
      <c r="R551" s="1759">
        <v>1170000</v>
      </c>
      <c r="S551" s="1758"/>
      <c r="T551" s="1762"/>
      <c r="U551" s="1762"/>
      <c r="V551" s="1762"/>
      <c r="W551" s="1762"/>
      <c r="X551" s="1750">
        <f t="shared" si="20"/>
        <v>1170000</v>
      </c>
      <c r="Y551" s="175">
        <f t="shared" si="21"/>
        <v>0</v>
      </c>
    </row>
    <row r="552" spans="1:25" ht="30" x14ac:dyDescent="0.25">
      <c r="A552" s="32"/>
      <c r="B552" s="32"/>
      <c r="C552" s="32"/>
      <c r="D552" s="32"/>
      <c r="E552" s="32"/>
      <c r="F552" s="32"/>
      <c r="G552" s="1340" t="s">
        <v>2709</v>
      </c>
      <c r="H552" s="66" t="str">
        <f>'BID II'!B1350</f>
        <v>Belanja Pakaian Dinas / Seragam/ Atribut</v>
      </c>
      <c r="I552" s="174">
        <f>SUM('BID II'!F1351:F1355)</f>
        <v>3520000</v>
      </c>
      <c r="J552" s="66" t="s">
        <v>2620</v>
      </c>
      <c r="K552" s="470" t="s">
        <v>3031</v>
      </c>
      <c r="L552" s="1753"/>
      <c r="M552" s="1753"/>
      <c r="N552" s="1753"/>
      <c r="O552" s="1753"/>
      <c r="P552" s="1758"/>
      <c r="Q552" s="1758"/>
      <c r="R552" s="1759">
        <v>3520000</v>
      </c>
      <c r="S552" s="1758"/>
      <c r="T552" s="1762"/>
      <c r="U552" s="1762"/>
      <c r="V552" s="1762"/>
      <c r="W552" s="1762"/>
      <c r="X552" s="1750">
        <f t="shared" si="20"/>
        <v>3520000</v>
      </c>
      <c r="Y552" s="175">
        <f t="shared" si="21"/>
        <v>0</v>
      </c>
    </row>
    <row r="553" spans="1:25" x14ac:dyDescent="0.25">
      <c r="A553" s="32"/>
      <c r="B553" s="32"/>
      <c r="C553" s="32"/>
      <c r="D553" s="32">
        <v>5</v>
      </c>
      <c r="E553" s="32">
        <v>2</v>
      </c>
      <c r="F553" s="32">
        <v>2</v>
      </c>
      <c r="G553" s="32"/>
      <c r="H553" s="66" t="str">
        <f>'BID II'!B1357</f>
        <v>Belanaj Jasa Honorarium</v>
      </c>
      <c r="I553" s="32"/>
      <c r="J553" s="66"/>
      <c r="K553" s="470" t="s">
        <v>3031</v>
      </c>
      <c r="L553" s="1753"/>
      <c r="M553" s="1753"/>
      <c r="N553" s="1753"/>
      <c r="O553" s="1753"/>
      <c r="P553" s="1758"/>
      <c r="Q553" s="1758"/>
      <c r="R553" s="1759"/>
      <c r="S553" s="1758"/>
      <c r="T553" s="1762"/>
      <c r="U553" s="1762"/>
      <c r="V553" s="1762"/>
      <c r="W553" s="1762"/>
      <c r="X553" s="1750">
        <f t="shared" si="20"/>
        <v>0</v>
      </c>
      <c r="Y553" s="175">
        <f t="shared" si="21"/>
        <v>0</v>
      </c>
    </row>
    <row r="554" spans="1:25" ht="30" x14ac:dyDescent="0.25">
      <c r="A554" s="32"/>
      <c r="B554" s="32"/>
      <c r="C554" s="32"/>
      <c r="D554" s="32"/>
      <c r="E554" s="32"/>
      <c r="F554" s="32"/>
      <c r="G554" s="1340" t="s">
        <v>2688</v>
      </c>
      <c r="H554" s="66" t="str">
        <f>'BID II'!B1358</f>
        <v>Honor Tim yang Melaksanakan Kegiatan</v>
      </c>
      <c r="I554" s="174">
        <f>'BID II'!F1359+'BID II'!F1360</f>
        <v>700000</v>
      </c>
      <c r="J554" s="66" t="s">
        <v>2620</v>
      </c>
      <c r="K554" s="470" t="s">
        <v>3031</v>
      </c>
      <c r="L554" s="1753"/>
      <c r="M554" s="1753"/>
      <c r="N554" s="1753"/>
      <c r="O554" s="1753"/>
      <c r="P554" s="1758"/>
      <c r="Q554" s="1758"/>
      <c r="R554" s="1759">
        <v>700000</v>
      </c>
      <c r="S554" s="1758"/>
      <c r="T554" s="1762"/>
      <c r="U554" s="1762"/>
      <c r="V554" s="1762"/>
      <c r="W554" s="1762"/>
      <c r="X554" s="1750">
        <f t="shared" si="20"/>
        <v>700000</v>
      </c>
      <c r="Y554" s="175">
        <f t="shared" si="21"/>
        <v>0</v>
      </c>
    </row>
    <row r="555" spans="1:25" ht="60" x14ac:dyDescent="0.25">
      <c r="A555" s="32"/>
      <c r="B555" s="32"/>
      <c r="C555" s="32"/>
      <c r="D555" s="32"/>
      <c r="E555" s="32"/>
      <c r="F555" s="32"/>
      <c r="G555" s="1340" t="s">
        <v>2704</v>
      </c>
      <c r="H555" s="66" t="str">
        <f>'BID II'!B1362</f>
        <v>Belanja Jasa Honorarium Ahli/ Profesi/Konsultan/Narasumber</v>
      </c>
      <c r="I555" s="174">
        <f>'BID II'!F1363</f>
        <v>4200000</v>
      </c>
      <c r="J555" s="66" t="s">
        <v>2620</v>
      </c>
      <c r="K555" s="470" t="s">
        <v>3031</v>
      </c>
      <c r="L555" s="1753"/>
      <c r="M555" s="1753"/>
      <c r="N555" s="1753"/>
      <c r="O555" s="1753"/>
      <c r="P555" s="1758"/>
      <c r="Q555" s="1758"/>
      <c r="R555" s="1759">
        <v>4200000</v>
      </c>
      <c r="S555" s="1758"/>
      <c r="T555" s="1762"/>
      <c r="U555" s="1762"/>
      <c r="V555" s="1762"/>
      <c r="W555" s="1762"/>
      <c r="X555" s="1750">
        <f t="shared" si="20"/>
        <v>4200000</v>
      </c>
      <c r="Y555" s="175">
        <f t="shared" si="21"/>
        <v>0</v>
      </c>
    </row>
    <row r="556" spans="1:25" ht="30" x14ac:dyDescent="0.25">
      <c r="A556" s="32"/>
      <c r="B556" s="32"/>
      <c r="C556" s="32"/>
      <c r="D556" s="32">
        <v>5</v>
      </c>
      <c r="E556" s="32">
        <v>2</v>
      </c>
      <c r="F556" s="32">
        <v>7</v>
      </c>
      <c r="G556" s="32"/>
      <c r="H556" s="66" t="str">
        <f>'BID II'!B1365</f>
        <v>Belanja Barang dan Jasa Yang Di Serahkan</v>
      </c>
      <c r="I556" s="32"/>
      <c r="J556" s="66"/>
      <c r="K556" s="470" t="s">
        <v>3031</v>
      </c>
      <c r="L556" s="1753"/>
      <c r="M556" s="1753"/>
      <c r="N556" s="1753"/>
      <c r="O556" s="1753"/>
      <c r="P556" s="1758"/>
      <c r="Q556" s="1758"/>
      <c r="R556" s="1759"/>
      <c r="S556" s="1758"/>
      <c r="T556" s="1762"/>
      <c r="U556" s="1762"/>
      <c r="V556" s="1762"/>
      <c r="W556" s="1762"/>
      <c r="X556" s="1750">
        <f t="shared" si="20"/>
        <v>0</v>
      </c>
      <c r="Y556" s="175">
        <f t="shared" si="21"/>
        <v>0</v>
      </c>
    </row>
    <row r="557" spans="1:25" x14ac:dyDescent="0.25">
      <c r="A557" s="32"/>
      <c r="B557" s="32"/>
      <c r="C557" s="32"/>
      <c r="D557" s="32"/>
      <c r="E557" s="32"/>
      <c r="F557" s="32"/>
      <c r="G557" s="32">
        <v>90</v>
      </c>
      <c r="H557" s="66" t="str">
        <f>'BID II'!B1366</f>
        <v>Hadiah</v>
      </c>
      <c r="I557" s="174">
        <f>SUM('BID II'!F1367:F1369)</f>
        <v>9500000</v>
      </c>
      <c r="J557" s="66" t="s">
        <v>2620</v>
      </c>
      <c r="K557" s="470" t="s">
        <v>3031</v>
      </c>
      <c r="L557" s="1753"/>
      <c r="M557" s="1753"/>
      <c r="N557" s="1753"/>
      <c r="O557" s="1753"/>
      <c r="P557" s="1758"/>
      <c r="Q557" s="1758"/>
      <c r="R557" s="1759">
        <v>9500000</v>
      </c>
      <c r="S557" s="1758"/>
      <c r="T557" s="1762"/>
      <c r="U557" s="1762"/>
      <c r="V557" s="1762"/>
      <c r="W557" s="1762"/>
      <c r="X557" s="1750">
        <f t="shared" si="20"/>
        <v>9500000</v>
      </c>
      <c r="Y557" s="175">
        <f t="shared" si="21"/>
        <v>0</v>
      </c>
    </row>
    <row r="558" spans="1:25" ht="30" x14ac:dyDescent="0.25">
      <c r="A558" s="1344">
        <v>2</v>
      </c>
      <c r="B558" s="1344">
        <v>2</v>
      </c>
      <c r="C558" s="1344">
        <v>93</v>
      </c>
      <c r="D558" s="1344"/>
      <c r="E558" s="1344"/>
      <c r="F558" s="1344"/>
      <c r="G558" s="1344"/>
      <c r="H558" s="1345" t="str">
        <f>'BID II'!B1384</f>
        <v xml:space="preserve">Penyelengggaraan TPPS Desa </v>
      </c>
      <c r="I558" s="1347">
        <f>SUM(I559:I564)</f>
        <v>6108500</v>
      </c>
      <c r="J558" s="1345" t="s">
        <v>2625</v>
      </c>
      <c r="K558" s="1796" t="s">
        <v>3030</v>
      </c>
      <c r="L558" s="1344"/>
      <c r="M558" s="1344"/>
      <c r="N558" s="1344"/>
      <c r="O558" s="1344"/>
      <c r="P558" s="1344"/>
      <c r="Q558" s="1344"/>
      <c r="R558" s="1344"/>
      <c r="S558" s="1344"/>
      <c r="T558" s="1344"/>
      <c r="U558" s="1344"/>
      <c r="V558" s="1344"/>
      <c r="W558" s="1344"/>
      <c r="X558" s="1353">
        <f t="shared" si="20"/>
        <v>0</v>
      </c>
      <c r="Y558" s="175">
        <f t="shared" si="21"/>
        <v>-6108500</v>
      </c>
    </row>
    <row r="559" spans="1:25" ht="30" x14ac:dyDescent="0.25">
      <c r="A559" s="32"/>
      <c r="B559" s="32"/>
      <c r="C559" s="32"/>
      <c r="D559" s="32">
        <v>5</v>
      </c>
      <c r="E559" s="32">
        <v>2</v>
      </c>
      <c r="F559" s="32"/>
      <c r="G559" s="32"/>
      <c r="H559" s="66" t="str">
        <f>'BID II'!B1389</f>
        <v>Belanja Barang Jasa :</v>
      </c>
      <c r="I559" s="32"/>
      <c r="J559" s="66"/>
      <c r="K559" s="851" t="s">
        <v>3030</v>
      </c>
      <c r="L559" s="1753"/>
      <c r="M559" s="1753"/>
      <c r="N559" s="1753"/>
      <c r="O559" s="1753"/>
      <c r="P559" s="1758"/>
      <c r="Q559" s="1758"/>
      <c r="R559" s="1758"/>
      <c r="S559" s="1758"/>
      <c r="T559" s="1762"/>
      <c r="U559" s="1762"/>
      <c r="V559" s="1762"/>
      <c r="W559" s="1762"/>
      <c r="X559" s="1750">
        <f t="shared" si="20"/>
        <v>0</v>
      </c>
      <c r="Y559" s="175">
        <f t="shared" si="21"/>
        <v>0</v>
      </c>
    </row>
    <row r="560" spans="1:25" ht="30" x14ac:dyDescent="0.25">
      <c r="A560" s="32"/>
      <c r="B560" s="32"/>
      <c r="C560" s="32"/>
      <c r="D560" s="32"/>
      <c r="E560" s="32"/>
      <c r="F560" s="32">
        <v>1</v>
      </c>
      <c r="G560" s="32"/>
      <c r="H560" s="66" t="str">
        <f>'BID II'!B1390</f>
        <v>Belanja Barang Perlengkapan</v>
      </c>
      <c r="I560" s="32"/>
      <c r="J560" s="66"/>
      <c r="K560" s="851" t="s">
        <v>3030</v>
      </c>
      <c r="L560" s="1753"/>
      <c r="M560" s="1753"/>
      <c r="N560" s="1753"/>
      <c r="O560" s="1753"/>
      <c r="P560" s="1758"/>
      <c r="Q560" s="1758"/>
      <c r="R560" s="1758"/>
      <c r="S560" s="1758"/>
      <c r="T560" s="1762"/>
      <c r="U560" s="1762"/>
      <c r="V560" s="1762"/>
      <c r="W560" s="1762"/>
      <c r="X560" s="1750">
        <f t="shared" si="20"/>
        <v>0</v>
      </c>
      <c r="Y560" s="175">
        <f t="shared" si="21"/>
        <v>0</v>
      </c>
    </row>
    <row r="561" spans="1:25" ht="45" x14ac:dyDescent="0.25">
      <c r="A561" s="32"/>
      <c r="B561" s="32"/>
      <c r="C561" s="32"/>
      <c r="D561" s="32"/>
      <c r="E561" s="32"/>
      <c r="F561" s="32"/>
      <c r="G561" s="1340" t="s">
        <v>2688</v>
      </c>
      <c r="H561" s="66" t="str">
        <f>'BID II'!B1391</f>
        <v>Belanja perlengkapan alat tulis kantor dan Benda Pos</v>
      </c>
      <c r="I561" s="513">
        <f>SUM('BID II'!F1392:F1399)</f>
        <v>1508500</v>
      </c>
      <c r="J561" s="66" t="s">
        <v>2625</v>
      </c>
      <c r="K561" s="851" t="s">
        <v>3030</v>
      </c>
      <c r="L561" s="1753"/>
      <c r="M561" s="1753"/>
      <c r="N561" s="1753"/>
      <c r="O561" s="1753"/>
      <c r="P561" s="1758"/>
      <c r="Q561" s="1758"/>
      <c r="R561" s="513">
        <v>1508500</v>
      </c>
      <c r="S561" s="1758"/>
      <c r="T561" s="1762"/>
      <c r="U561" s="1762"/>
      <c r="V561" s="1762"/>
      <c r="W561" s="1762"/>
      <c r="X561" s="1750">
        <f t="shared" si="20"/>
        <v>1508500</v>
      </c>
      <c r="Y561" s="175">
        <f t="shared" si="21"/>
        <v>0</v>
      </c>
    </row>
    <row r="562" spans="1:25" ht="60" x14ac:dyDescent="0.25">
      <c r="A562" s="32"/>
      <c r="B562" s="32"/>
      <c r="C562" s="32"/>
      <c r="D562" s="32"/>
      <c r="E562" s="32"/>
      <c r="F562" s="32"/>
      <c r="G562" s="1340" t="s">
        <v>2705</v>
      </c>
      <c r="H562" s="66" t="str">
        <f>'BID II'!B1403</f>
        <v>Belanja perlengkapan barang konsumsi (makan/ minum) Belanja Barang konsumsi</v>
      </c>
      <c r="I562" s="513">
        <f>'BID II'!F1404</f>
        <v>3000000</v>
      </c>
      <c r="J562" s="66" t="s">
        <v>2625</v>
      </c>
      <c r="K562" s="851" t="s">
        <v>3030</v>
      </c>
      <c r="L562" s="1753"/>
      <c r="M562" s="1753"/>
      <c r="N562" s="1753"/>
      <c r="O562" s="1753"/>
      <c r="P562" s="1758"/>
      <c r="Q562" s="1758"/>
      <c r="R562" s="513">
        <v>3000000</v>
      </c>
      <c r="S562" s="1758"/>
      <c r="T562" s="1762"/>
      <c r="U562" s="1762"/>
      <c r="V562" s="1762"/>
      <c r="W562" s="1762"/>
      <c r="X562" s="1750">
        <f t="shared" si="20"/>
        <v>3000000</v>
      </c>
      <c r="Y562" s="175">
        <f t="shared" si="21"/>
        <v>0</v>
      </c>
    </row>
    <row r="563" spans="1:25" ht="45" x14ac:dyDescent="0.25">
      <c r="A563" s="32"/>
      <c r="B563" s="32"/>
      <c r="C563" s="32"/>
      <c r="D563" s="32">
        <v>5</v>
      </c>
      <c r="E563" s="32">
        <v>2</v>
      </c>
      <c r="F563" s="32">
        <v>7</v>
      </c>
      <c r="G563" s="32"/>
      <c r="H563" s="66" t="str">
        <f>'BID II'!B1409</f>
        <v>Belanja Barang dan jasa yang diesrahkan kepada Masyarakat</v>
      </c>
      <c r="I563" s="32"/>
      <c r="J563" s="66"/>
      <c r="K563" s="851" t="s">
        <v>3030</v>
      </c>
      <c r="L563" s="1753"/>
      <c r="M563" s="1753"/>
      <c r="N563" s="1753"/>
      <c r="O563" s="1753"/>
      <c r="P563" s="1758"/>
      <c r="Q563" s="1758"/>
      <c r="R563" s="32"/>
      <c r="S563" s="1758"/>
      <c r="T563" s="1762"/>
      <c r="U563" s="1762"/>
      <c r="V563" s="1762"/>
      <c r="W563" s="1762"/>
      <c r="X563" s="1750">
        <f t="shared" si="20"/>
        <v>0</v>
      </c>
      <c r="Y563" s="175">
        <f t="shared" si="21"/>
        <v>0</v>
      </c>
    </row>
    <row r="564" spans="1:25" ht="30" x14ac:dyDescent="0.25">
      <c r="A564" s="32"/>
      <c r="B564" s="32"/>
      <c r="C564" s="32"/>
      <c r="D564" s="32"/>
      <c r="E564" s="32"/>
      <c r="F564" s="32"/>
      <c r="G564" s="32">
        <v>91</v>
      </c>
      <c r="H564" s="66" t="str">
        <f>'BID II'!B1410</f>
        <v>Belanja Uang Saku</v>
      </c>
      <c r="I564" s="470">
        <f>'BID II'!F1411</f>
        <v>1600000</v>
      </c>
      <c r="J564" s="66" t="s">
        <v>2625</v>
      </c>
      <c r="K564" s="851" t="s">
        <v>3030</v>
      </c>
      <c r="L564" s="1753"/>
      <c r="M564" s="1753"/>
      <c r="N564" s="1753"/>
      <c r="O564" s="1753"/>
      <c r="P564" s="1758"/>
      <c r="Q564" s="1758"/>
      <c r="R564" s="470">
        <v>1600000</v>
      </c>
      <c r="S564" s="1758"/>
      <c r="T564" s="1762"/>
      <c r="U564" s="1762"/>
      <c r="V564" s="1762"/>
      <c r="W564" s="1762"/>
      <c r="X564" s="1750">
        <f t="shared" si="20"/>
        <v>1600000</v>
      </c>
      <c r="Y564" s="175">
        <f t="shared" si="21"/>
        <v>0</v>
      </c>
    </row>
    <row r="565" spans="1:25" ht="30" x14ac:dyDescent="0.25">
      <c r="A565" s="1344">
        <v>2</v>
      </c>
      <c r="B565" s="1344">
        <v>2</v>
      </c>
      <c r="C565" s="1344">
        <v>93</v>
      </c>
      <c r="D565" s="1344"/>
      <c r="E565" s="1344"/>
      <c r="F565" s="1344"/>
      <c r="G565" s="1344"/>
      <c r="H565" s="1344" t="str">
        <f>'BID II'!B1425</f>
        <v>: Rembuk Stunting</v>
      </c>
      <c r="I565" s="1347">
        <f>SUM(I566:I573)</f>
        <v>3160000</v>
      </c>
      <c r="J565" s="1345" t="s">
        <v>2625</v>
      </c>
      <c r="K565" s="1796" t="s">
        <v>3030</v>
      </c>
      <c r="L565" s="1344"/>
      <c r="M565" s="1344"/>
      <c r="N565" s="1344"/>
      <c r="O565" s="1344"/>
      <c r="P565" s="1344"/>
      <c r="Q565" s="1344"/>
      <c r="R565" s="1344"/>
      <c r="S565" s="1344"/>
      <c r="T565" s="1344"/>
      <c r="U565" s="1344"/>
      <c r="V565" s="1344"/>
      <c r="W565" s="1344"/>
      <c r="X565" s="1353">
        <f t="shared" si="20"/>
        <v>0</v>
      </c>
      <c r="Y565" s="175">
        <f t="shared" si="21"/>
        <v>-3160000</v>
      </c>
    </row>
    <row r="566" spans="1:25" ht="30" x14ac:dyDescent="0.25">
      <c r="A566" s="32"/>
      <c r="B566" s="32"/>
      <c r="C566" s="32"/>
      <c r="D566" s="32">
        <v>5</v>
      </c>
      <c r="E566" s="32">
        <v>2</v>
      </c>
      <c r="F566" s="32"/>
      <c r="G566" s="32"/>
      <c r="H566" s="66" t="str">
        <f>'BID II'!B1428</f>
        <v>Belanja Barang Jasa</v>
      </c>
      <c r="I566" s="32"/>
      <c r="J566" s="66"/>
      <c r="K566" s="851" t="s">
        <v>3030</v>
      </c>
      <c r="L566" s="1753"/>
      <c r="M566" s="1753"/>
      <c r="N566" s="1753"/>
      <c r="O566" s="1753"/>
      <c r="P566" s="1758"/>
      <c r="Q566" s="1758"/>
      <c r="R566" s="1758"/>
      <c r="S566" s="1758"/>
      <c r="T566" s="1762"/>
      <c r="U566" s="1762"/>
      <c r="V566" s="1762"/>
      <c r="W566" s="1762"/>
      <c r="X566" s="1750">
        <f t="shared" si="20"/>
        <v>0</v>
      </c>
      <c r="Y566" s="175">
        <f t="shared" si="21"/>
        <v>0</v>
      </c>
    </row>
    <row r="567" spans="1:25" ht="30" x14ac:dyDescent="0.25">
      <c r="A567" s="32"/>
      <c r="B567" s="32"/>
      <c r="C567" s="32"/>
      <c r="D567" s="32"/>
      <c r="E567" s="32"/>
      <c r="F567" s="32">
        <v>1</v>
      </c>
      <c r="G567" s="32"/>
      <c r="H567" s="66" t="str">
        <f>'BID II'!B1429</f>
        <v>Belanja Barang Perlengkapan</v>
      </c>
      <c r="I567" s="32"/>
      <c r="J567" s="66"/>
      <c r="K567" s="851" t="s">
        <v>3030</v>
      </c>
      <c r="L567" s="1753"/>
      <c r="M567" s="1753"/>
      <c r="N567" s="1753"/>
      <c r="O567" s="1753"/>
      <c r="P567" s="1758"/>
      <c r="Q567" s="1758"/>
      <c r="R567" s="1758"/>
      <c r="S567" s="1758"/>
      <c r="T567" s="1762"/>
      <c r="U567" s="1762"/>
      <c r="V567" s="1762"/>
      <c r="W567" s="1762"/>
      <c r="X567" s="1750">
        <f t="shared" si="20"/>
        <v>0</v>
      </c>
      <c r="Y567" s="175">
        <f t="shared" si="21"/>
        <v>0</v>
      </c>
    </row>
    <row r="568" spans="1:25" ht="30" x14ac:dyDescent="0.25">
      <c r="A568" s="32"/>
      <c r="B568" s="32"/>
      <c r="C568" s="32"/>
      <c r="D568" s="32"/>
      <c r="E568" s="32"/>
      <c r="F568" s="32"/>
      <c r="G568" s="1340" t="s">
        <v>2688</v>
      </c>
      <c r="H568" s="66" t="str">
        <f>'BID II'!B1430</f>
        <v>Belanja Alat Tulis Kantor dan Benda Pos</v>
      </c>
      <c r="I568" s="174">
        <f>SUM('BID II'!F1431:F1434)</f>
        <v>520000</v>
      </c>
      <c r="J568" s="66" t="s">
        <v>2625</v>
      </c>
      <c r="K568" s="851" t="s">
        <v>3030</v>
      </c>
      <c r="L568" s="1753"/>
      <c r="M568" s="1753"/>
      <c r="N568" s="1753"/>
      <c r="O568" s="1753"/>
      <c r="P568" s="1758"/>
      <c r="Q568" s="1758"/>
      <c r="R568" s="1759">
        <v>520000</v>
      </c>
      <c r="S568" s="1758"/>
      <c r="T568" s="1762"/>
      <c r="U568" s="1762"/>
      <c r="V568" s="1762"/>
      <c r="W568" s="1762"/>
      <c r="X568" s="1750">
        <f t="shared" si="20"/>
        <v>520000</v>
      </c>
      <c r="Y568" s="175">
        <f t="shared" si="21"/>
        <v>0</v>
      </c>
    </row>
    <row r="569" spans="1:25" ht="30" x14ac:dyDescent="0.25">
      <c r="A569" s="32"/>
      <c r="B569" s="32"/>
      <c r="C569" s="32"/>
      <c r="D569" s="32"/>
      <c r="E569" s="32"/>
      <c r="F569" s="32"/>
      <c r="G569" s="1340" t="s">
        <v>2705</v>
      </c>
      <c r="H569" s="66" t="str">
        <f>'BID II'!B1436</f>
        <v>Belanja Perlengkapan Barang Konsumsi</v>
      </c>
      <c r="I569" s="174">
        <f>'BID II'!F1437</f>
        <v>900000</v>
      </c>
      <c r="J569" s="66" t="s">
        <v>2625</v>
      </c>
      <c r="K569" s="851" t="s">
        <v>3030</v>
      </c>
      <c r="L569" s="1753"/>
      <c r="M569" s="1753"/>
      <c r="N569" s="1753"/>
      <c r="O569" s="1753"/>
      <c r="P569" s="1758"/>
      <c r="Q569" s="1758"/>
      <c r="R569" s="1759">
        <v>900000</v>
      </c>
      <c r="S569" s="1758"/>
      <c r="T569" s="1762"/>
      <c r="U569" s="1762"/>
      <c r="V569" s="1762"/>
      <c r="W569" s="1762"/>
      <c r="X569" s="1750">
        <f t="shared" si="20"/>
        <v>900000</v>
      </c>
      <c r="Y569" s="175">
        <f t="shared" si="21"/>
        <v>0</v>
      </c>
    </row>
    <row r="570" spans="1:25" ht="30" x14ac:dyDescent="0.25">
      <c r="A570" s="32"/>
      <c r="B570" s="32"/>
      <c r="C570" s="32"/>
      <c r="D570" s="32"/>
      <c r="E570" s="32"/>
      <c r="F570" s="32"/>
      <c r="G570" s="1340" t="s">
        <v>2707</v>
      </c>
      <c r="H570" s="66" t="str">
        <f>'BID II'!B1439</f>
        <v>Belanja Bendera/ Umbul-umbul/ Spanduk</v>
      </c>
      <c r="I570" s="174">
        <f>'BID II'!F1440</f>
        <v>90000</v>
      </c>
      <c r="J570" s="66" t="s">
        <v>2625</v>
      </c>
      <c r="K570" s="851" t="s">
        <v>3030</v>
      </c>
      <c r="L570" s="1753"/>
      <c r="M570" s="1753"/>
      <c r="N570" s="1753"/>
      <c r="O570" s="1753"/>
      <c r="P570" s="1758"/>
      <c r="Q570" s="1758"/>
      <c r="R570" s="1759">
        <v>90000</v>
      </c>
      <c r="S570" s="1758"/>
      <c r="T570" s="1762"/>
      <c r="U570" s="1762"/>
      <c r="V570" s="1762"/>
      <c r="W570" s="1762"/>
      <c r="X570" s="1750">
        <f t="shared" si="20"/>
        <v>90000</v>
      </c>
      <c r="Y570" s="175">
        <f t="shared" si="21"/>
        <v>0</v>
      </c>
    </row>
    <row r="571" spans="1:25" ht="30" x14ac:dyDescent="0.25">
      <c r="A571" s="32"/>
      <c r="B571" s="32"/>
      <c r="C571" s="32"/>
      <c r="D571" s="32">
        <v>5</v>
      </c>
      <c r="E571" s="32">
        <v>2</v>
      </c>
      <c r="F571" s="32">
        <v>2</v>
      </c>
      <c r="G571" s="32"/>
      <c r="H571" s="66" t="str">
        <f>'BID II'!B1442</f>
        <v>Belanja Jasa Honorarium</v>
      </c>
      <c r="I571" s="32"/>
      <c r="J571" s="66"/>
      <c r="K571" s="851" t="s">
        <v>3030</v>
      </c>
      <c r="L571" s="1753"/>
      <c r="M571" s="1753"/>
      <c r="N571" s="1753"/>
      <c r="O571" s="1753"/>
      <c r="P571" s="1758"/>
      <c r="Q571" s="1758"/>
      <c r="R571" s="1759"/>
      <c r="S571" s="1758"/>
      <c r="T571" s="1762"/>
      <c r="U571" s="1762"/>
      <c r="V571" s="1762"/>
      <c r="W571" s="1762"/>
      <c r="X571" s="1750">
        <f t="shared" si="20"/>
        <v>0</v>
      </c>
      <c r="Y571" s="175">
        <f t="shared" si="21"/>
        <v>0</v>
      </c>
    </row>
    <row r="572" spans="1:25" ht="45" x14ac:dyDescent="0.25">
      <c r="A572" s="32"/>
      <c r="B572" s="32"/>
      <c r="C572" s="32"/>
      <c r="D572" s="32"/>
      <c r="E572" s="32"/>
      <c r="F572" s="32"/>
      <c r="G572" s="1340" t="s">
        <v>2688</v>
      </c>
      <c r="H572" s="66" t="str">
        <f>'BID II'!B1443</f>
        <v>Belanja Jasa Honorarium Tim yang Melaksanakan Kegiatan (TPK )</v>
      </c>
      <c r="I572" s="174">
        <f>SUM('BID II'!F1444:F1446)</f>
        <v>1150000</v>
      </c>
      <c r="J572" s="66" t="s">
        <v>2625</v>
      </c>
      <c r="K572" s="851" t="s">
        <v>3030</v>
      </c>
      <c r="L572" s="1753"/>
      <c r="M572" s="1753"/>
      <c r="N572" s="1753"/>
      <c r="O572" s="1753"/>
      <c r="P572" s="1758"/>
      <c r="Q572" s="1758"/>
      <c r="R572" s="1759">
        <v>1150000</v>
      </c>
      <c r="S572" s="1758"/>
      <c r="T572" s="1762"/>
      <c r="U572" s="1762"/>
      <c r="V572" s="1762"/>
      <c r="W572" s="1762"/>
      <c r="X572" s="1750">
        <f t="shared" si="20"/>
        <v>1150000</v>
      </c>
      <c r="Y572" s="175">
        <f t="shared" si="21"/>
        <v>0</v>
      </c>
    </row>
    <row r="573" spans="1:25" ht="60" x14ac:dyDescent="0.25">
      <c r="A573" s="32"/>
      <c r="B573" s="32"/>
      <c r="C573" s="32"/>
      <c r="D573" s="32"/>
      <c r="E573" s="32"/>
      <c r="F573" s="32"/>
      <c r="G573" s="1340" t="s">
        <v>2704</v>
      </c>
      <c r="H573" s="66" t="str">
        <f>'BID II'!B1448</f>
        <v>Belanja Jasa Honorarium Ahli/ Profesi/Konsultan/Narasumber</v>
      </c>
      <c r="I573" s="174">
        <f>'BID II'!F1449+'BID II'!F1450</f>
        <v>500000</v>
      </c>
      <c r="J573" s="66" t="s">
        <v>2625</v>
      </c>
      <c r="K573" s="851" t="s">
        <v>3030</v>
      </c>
      <c r="L573" s="1753"/>
      <c r="M573" s="1753"/>
      <c r="N573" s="1753"/>
      <c r="O573" s="1753"/>
      <c r="P573" s="1758"/>
      <c r="Q573" s="1758"/>
      <c r="R573" s="1759">
        <v>500000</v>
      </c>
      <c r="S573" s="1758"/>
      <c r="T573" s="1762"/>
      <c r="U573" s="1762"/>
      <c r="V573" s="1762"/>
      <c r="W573" s="1762"/>
      <c r="X573" s="1750">
        <f t="shared" si="20"/>
        <v>500000</v>
      </c>
      <c r="Y573" s="175">
        <f t="shared" si="21"/>
        <v>0</v>
      </c>
    </row>
    <row r="574" spans="1:25" ht="30" x14ac:dyDescent="0.25">
      <c r="A574" s="1344">
        <v>2</v>
      </c>
      <c r="B574" s="1344">
        <v>2</v>
      </c>
      <c r="C574" s="1346" t="s">
        <v>2702</v>
      </c>
      <c r="D574" s="1344"/>
      <c r="E574" s="1344"/>
      <c r="F574" s="1344"/>
      <c r="G574" s="1344"/>
      <c r="H574" s="1345" t="str">
        <f>'BID II'!B1467</f>
        <v>: Pembinaan Posyandu Remaja</v>
      </c>
      <c r="I574" s="1347">
        <f>SUM(I575:I581)</f>
        <v>3526500</v>
      </c>
      <c r="J574" s="1345" t="s">
        <v>2625</v>
      </c>
      <c r="K574" s="1796" t="s">
        <v>3030</v>
      </c>
      <c r="L574" s="1344"/>
      <c r="M574" s="1344"/>
      <c r="N574" s="1344"/>
      <c r="O574" s="1344"/>
      <c r="P574" s="1344"/>
      <c r="Q574" s="1344"/>
      <c r="R574" s="1344"/>
      <c r="S574" s="1344"/>
      <c r="T574" s="1344"/>
      <c r="U574" s="1344"/>
      <c r="V574" s="1344"/>
      <c r="W574" s="1344"/>
      <c r="X574" s="1353">
        <f t="shared" si="20"/>
        <v>0</v>
      </c>
      <c r="Y574" s="175">
        <f t="shared" si="21"/>
        <v>-3526500</v>
      </c>
    </row>
    <row r="575" spans="1:25" ht="30" x14ac:dyDescent="0.25">
      <c r="A575" s="32"/>
      <c r="B575" s="32"/>
      <c r="C575" s="32"/>
      <c r="D575" s="32">
        <v>5</v>
      </c>
      <c r="E575" s="32">
        <v>2</v>
      </c>
      <c r="F575" s="32"/>
      <c r="G575" s="32"/>
      <c r="H575" s="66" t="str">
        <f>'BID II'!B1473</f>
        <v>Belanja Barang dan Jasa</v>
      </c>
      <c r="I575" s="32"/>
      <c r="J575" s="66"/>
      <c r="K575" s="851" t="s">
        <v>3030</v>
      </c>
      <c r="L575" s="1753"/>
      <c r="M575" s="1753"/>
      <c r="N575" s="1753"/>
      <c r="O575" s="1753"/>
      <c r="P575" s="1758"/>
      <c r="Q575" s="1758"/>
      <c r="R575" s="1758"/>
      <c r="S575" s="1758"/>
      <c r="T575" s="1762"/>
      <c r="U575" s="1762"/>
      <c r="V575" s="1762"/>
      <c r="W575" s="1762"/>
      <c r="X575" s="1750">
        <f t="shared" si="20"/>
        <v>0</v>
      </c>
      <c r="Y575" s="175">
        <f t="shared" si="21"/>
        <v>0</v>
      </c>
    </row>
    <row r="576" spans="1:25" ht="30" x14ac:dyDescent="0.25">
      <c r="A576" s="32"/>
      <c r="B576" s="32"/>
      <c r="C576" s="32"/>
      <c r="D576" s="32"/>
      <c r="E576" s="32"/>
      <c r="F576" s="32">
        <v>1</v>
      </c>
      <c r="G576" s="32"/>
      <c r="H576" s="66" t="str">
        <f>'BID II'!B1474</f>
        <v>Belanaja Barang Pelengkapan</v>
      </c>
      <c r="I576" s="32"/>
      <c r="J576" s="66"/>
      <c r="K576" s="851" t="s">
        <v>3030</v>
      </c>
      <c r="L576" s="1753"/>
      <c r="M576" s="1753"/>
      <c r="N576" s="1753"/>
      <c r="O576" s="1753"/>
      <c r="P576" s="1758"/>
      <c r="Q576" s="1758"/>
      <c r="R576" s="1758"/>
      <c r="S576" s="1758"/>
      <c r="T576" s="1762"/>
      <c r="U576" s="1762"/>
      <c r="V576" s="1762"/>
      <c r="W576" s="1762"/>
      <c r="X576" s="1750">
        <f t="shared" si="20"/>
        <v>0</v>
      </c>
      <c r="Y576" s="175">
        <f t="shared" si="21"/>
        <v>0</v>
      </c>
    </row>
    <row r="577" spans="1:25" ht="30" x14ac:dyDescent="0.25">
      <c r="A577" s="32"/>
      <c r="B577" s="32"/>
      <c r="C577" s="32"/>
      <c r="D577" s="32"/>
      <c r="E577" s="32"/>
      <c r="F577" s="32"/>
      <c r="G577" s="1340" t="s">
        <v>2688</v>
      </c>
      <c r="H577" s="66" t="str">
        <f>'BID II'!B1475</f>
        <v>Perlangakapan Alat Tulis Kantor dan Benda POS</v>
      </c>
      <c r="I577" s="174">
        <f>SUM('BID II'!F1476:F1480)</f>
        <v>2286500</v>
      </c>
      <c r="J577" s="66" t="s">
        <v>2625</v>
      </c>
      <c r="K577" s="851" t="s">
        <v>3030</v>
      </c>
      <c r="L577" s="1753"/>
      <c r="M577" s="1753"/>
      <c r="N577" s="1753"/>
      <c r="O577" s="1753"/>
      <c r="P577" s="1758"/>
      <c r="Q577" s="1758"/>
      <c r="R577" s="1758"/>
      <c r="S577" s="1759">
        <v>2286500</v>
      </c>
      <c r="T577" s="1762"/>
      <c r="U577" s="1762"/>
      <c r="V577" s="1762"/>
      <c r="W577" s="1762"/>
      <c r="X577" s="1750">
        <f t="shared" si="20"/>
        <v>2286500</v>
      </c>
      <c r="Y577" s="175">
        <f t="shared" si="21"/>
        <v>0</v>
      </c>
    </row>
    <row r="578" spans="1:25" ht="30" x14ac:dyDescent="0.25">
      <c r="A578" s="32"/>
      <c r="B578" s="32"/>
      <c r="C578" s="32"/>
      <c r="D578" s="32"/>
      <c r="E578" s="32"/>
      <c r="F578" s="32"/>
      <c r="G578" s="1340" t="s">
        <v>2705</v>
      </c>
      <c r="H578" s="66" t="str">
        <f>'BID II'!B1482</f>
        <v>Belanja Perlengkapan Barang Konsumsi</v>
      </c>
      <c r="I578" s="174">
        <f>SUM('BID II'!F1484)</f>
        <v>450000</v>
      </c>
      <c r="J578" s="66" t="s">
        <v>2625</v>
      </c>
      <c r="K578" s="851" t="s">
        <v>3030</v>
      </c>
      <c r="L578" s="1753"/>
      <c r="M578" s="1753"/>
      <c r="N578" s="1753"/>
      <c r="O578" s="1753"/>
      <c r="P578" s="1758"/>
      <c r="Q578" s="1758"/>
      <c r="R578" s="1758"/>
      <c r="S578" s="1759">
        <v>450000</v>
      </c>
      <c r="T578" s="1762"/>
      <c r="U578" s="1762"/>
      <c r="V578" s="1762"/>
      <c r="W578" s="1762"/>
      <c r="X578" s="1750">
        <f t="shared" si="20"/>
        <v>450000</v>
      </c>
      <c r="Y578" s="175">
        <f t="shared" si="21"/>
        <v>0</v>
      </c>
    </row>
    <row r="579" spans="1:25" ht="30" x14ac:dyDescent="0.25">
      <c r="A579" s="32"/>
      <c r="B579" s="32"/>
      <c r="C579" s="32"/>
      <c r="D579" s="32"/>
      <c r="E579" s="32"/>
      <c r="F579" s="32"/>
      <c r="G579" s="1340" t="s">
        <v>2707</v>
      </c>
      <c r="H579" s="66" t="str">
        <f>'BID II'!B1486</f>
        <v>Belanja Bendera/Umbul - umbul Spanduk</v>
      </c>
      <c r="I579" s="174">
        <f>'BID II'!F1487</f>
        <v>90000</v>
      </c>
      <c r="J579" s="66" t="s">
        <v>2625</v>
      </c>
      <c r="K579" s="851" t="s">
        <v>3030</v>
      </c>
      <c r="L579" s="1753"/>
      <c r="M579" s="1753"/>
      <c r="N579" s="1753"/>
      <c r="O579" s="1753"/>
      <c r="P579" s="1758"/>
      <c r="Q579" s="1758"/>
      <c r="R579" s="1758"/>
      <c r="S579" s="1759">
        <v>90000</v>
      </c>
      <c r="T579" s="1762"/>
      <c r="U579" s="1762"/>
      <c r="V579" s="1762"/>
      <c r="W579" s="1762"/>
      <c r="X579" s="1750">
        <f t="shared" si="20"/>
        <v>90000</v>
      </c>
      <c r="Y579" s="175">
        <f t="shared" si="21"/>
        <v>0</v>
      </c>
    </row>
    <row r="580" spans="1:25" ht="30" x14ac:dyDescent="0.25">
      <c r="A580" s="32"/>
      <c r="B580" s="32"/>
      <c r="C580" s="32"/>
      <c r="D580" s="32">
        <v>5</v>
      </c>
      <c r="E580" s="32">
        <v>2</v>
      </c>
      <c r="F580" s="32">
        <v>2</v>
      </c>
      <c r="G580" s="32"/>
      <c r="H580" s="1041" t="str">
        <f>'BID II'!B1489</f>
        <v>Belanja Honorarium</v>
      </c>
      <c r="I580" s="32"/>
      <c r="J580" s="66"/>
      <c r="K580" s="851" t="s">
        <v>3030</v>
      </c>
      <c r="L580" s="1753"/>
      <c r="M580" s="1753"/>
      <c r="N580" s="1753"/>
      <c r="O580" s="1753"/>
      <c r="P580" s="1758"/>
      <c r="Q580" s="1758"/>
      <c r="R580" s="1758"/>
      <c r="S580" s="1759"/>
      <c r="T580" s="1762"/>
      <c r="U580" s="1762"/>
      <c r="V580" s="1762"/>
      <c r="W580" s="1762"/>
      <c r="X580" s="1750">
        <f t="shared" si="20"/>
        <v>0</v>
      </c>
      <c r="Y580" s="175">
        <f t="shared" si="21"/>
        <v>0</v>
      </c>
    </row>
    <row r="581" spans="1:25" ht="30" x14ac:dyDescent="0.25">
      <c r="A581" s="32"/>
      <c r="B581" s="32"/>
      <c r="C581" s="32"/>
      <c r="D581" s="32"/>
      <c r="E581" s="32"/>
      <c r="F581" s="32"/>
      <c r="G581" s="1340" t="s">
        <v>2704</v>
      </c>
      <c r="H581" s="1041" t="str">
        <f>'BID II'!B1490</f>
        <v xml:space="preserve">Honor Narasumber 2or </v>
      </c>
      <c r="I581" s="174">
        <f>'BID II'!F1490</f>
        <v>700000</v>
      </c>
      <c r="J581" s="66" t="s">
        <v>2625</v>
      </c>
      <c r="K581" s="851" t="s">
        <v>3030</v>
      </c>
      <c r="L581" s="1753"/>
      <c r="M581" s="1753"/>
      <c r="N581" s="1753"/>
      <c r="O581" s="1753"/>
      <c r="P581" s="1758"/>
      <c r="Q581" s="1758"/>
      <c r="R581" s="1758"/>
      <c r="S581" s="1759">
        <v>700000</v>
      </c>
      <c r="T581" s="1762"/>
      <c r="U581" s="1762"/>
      <c r="V581" s="1762"/>
      <c r="W581" s="1762"/>
      <c r="X581" s="1750">
        <f t="shared" si="20"/>
        <v>700000</v>
      </c>
      <c r="Y581" s="175">
        <f t="shared" si="21"/>
        <v>0</v>
      </c>
    </row>
    <row r="582" spans="1:25" ht="30" x14ac:dyDescent="0.25">
      <c r="A582" s="1344">
        <v>2</v>
      </c>
      <c r="B582" s="1344">
        <v>2</v>
      </c>
      <c r="C582" s="1346" t="s">
        <v>2705</v>
      </c>
      <c r="D582" s="1344"/>
      <c r="E582" s="1344"/>
      <c r="F582" s="1344"/>
      <c r="G582" s="1344"/>
      <c r="H582" s="1345" t="str">
        <f>'BID II'!B1505</f>
        <v>Penyelenggaraan Posyandu Remaja</v>
      </c>
      <c r="I582" s="1347">
        <f>SUM(I583:I589)</f>
        <v>35530000</v>
      </c>
      <c r="J582" s="1345" t="s">
        <v>2625</v>
      </c>
      <c r="K582" s="1796" t="s">
        <v>3030</v>
      </c>
      <c r="L582" s="1344"/>
      <c r="M582" s="1344"/>
      <c r="N582" s="1344"/>
      <c r="O582" s="1344"/>
      <c r="P582" s="1344"/>
      <c r="Q582" s="1344"/>
      <c r="R582" s="1344"/>
      <c r="S582" s="1344"/>
      <c r="T582" s="1344"/>
      <c r="U582" s="1344"/>
      <c r="V582" s="1344"/>
      <c r="W582" s="1344"/>
      <c r="X582" s="1353">
        <f t="shared" si="20"/>
        <v>0</v>
      </c>
      <c r="Y582" s="175">
        <f t="shared" si="21"/>
        <v>-35530000</v>
      </c>
    </row>
    <row r="583" spans="1:25" ht="30" x14ac:dyDescent="0.25">
      <c r="A583" s="32"/>
      <c r="B583" s="32"/>
      <c r="C583" s="32"/>
      <c r="D583" s="32">
        <v>5</v>
      </c>
      <c r="E583" s="32">
        <v>2</v>
      </c>
      <c r="F583" s="32"/>
      <c r="G583" s="32"/>
      <c r="H583" s="66" t="str">
        <f>'BID II'!B1510</f>
        <v>Belanja Barang Jasa</v>
      </c>
      <c r="I583" s="32"/>
      <c r="J583" s="66"/>
      <c r="K583" s="851" t="s">
        <v>3030</v>
      </c>
      <c r="L583" s="1753"/>
      <c r="M583" s="1753"/>
      <c r="N583" s="1753"/>
      <c r="O583" s="1753"/>
      <c r="P583" s="1758"/>
      <c r="Q583" s="1758"/>
      <c r="R583" s="1758"/>
      <c r="S583" s="1758"/>
      <c r="T583" s="1762"/>
      <c r="U583" s="1762"/>
      <c r="V583" s="1762"/>
      <c r="W583" s="1762"/>
      <c r="X583" s="1750">
        <f t="shared" si="20"/>
        <v>0</v>
      </c>
      <c r="Y583" s="175">
        <f t="shared" si="21"/>
        <v>0</v>
      </c>
    </row>
    <row r="584" spans="1:25" ht="30" x14ac:dyDescent="0.25">
      <c r="A584" s="32"/>
      <c r="B584" s="32"/>
      <c r="C584" s="32"/>
      <c r="D584" s="32"/>
      <c r="E584" s="32"/>
      <c r="F584" s="32">
        <v>1</v>
      </c>
      <c r="G584" s="32"/>
      <c r="H584" s="66" t="str">
        <f>'BID II'!B1511</f>
        <v>Belanja Barang Perlengkapan</v>
      </c>
      <c r="I584" s="32"/>
      <c r="J584" s="66"/>
      <c r="K584" s="851" t="s">
        <v>3030</v>
      </c>
      <c r="L584" s="1753"/>
      <c r="M584" s="1753"/>
      <c r="N584" s="1753"/>
      <c r="O584" s="1753"/>
      <c r="P584" s="1758"/>
      <c r="Q584" s="1758"/>
      <c r="R584" s="1758"/>
      <c r="S584" s="1758"/>
      <c r="T584" s="1762"/>
      <c r="U584" s="1762"/>
      <c r="V584" s="1762"/>
      <c r="W584" s="1762"/>
      <c r="X584" s="1750">
        <f t="shared" si="20"/>
        <v>0</v>
      </c>
      <c r="Y584" s="175">
        <f t="shared" si="21"/>
        <v>0</v>
      </c>
    </row>
    <row r="585" spans="1:25" ht="30" x14ac:dyDescent="0.25">
      <c r="A585" s="32"/>
      <c r="B585" s="32"/>
      <c r="C585" s="32"/>
      <c r="D585" s="32"/>
      <c r="E585" s="32"/>
      <c r="F585" s="32"/>
      <c r="G585" s="1340" t="s">
        <v>2688</v>
      </c>
      <c r="H585" s="66" t="str">
        <f>'BID II'!B1512</f>
        <v>Belanja Alat Tulis Kantor dan Benda Pos</v>
      </c>
      <c r="I585" s="470">
        <f>SUM('BID II'!F1513:F1515)</f>
        <v>2480000</v>
      </c>
      <c r="J585" s="66" t="s">
        <v>2625</v>
      </c>
      <c r="K585" s="851" t="s">
        <v>3030</v>
      </c>
      <c r="L585" s="1754">
        <v>2480000</v>
      </c>
      <c r="M585" s="1753"/>
      <c r="N585" s="1753"/>
      <c r="O585" s="1753"/>
      <c r="P585" s="1758"/>
      <c r="Q585" s="1758"/>
      <c r="R585" s="1758"/>
      <c r="S585" s="1758"/>
      <c r="T585" s="1762"/>
      <c r="U585" s="1762"/>
      <c r="V585" s="1762"/>
      <c r="W585" s="1762"/>
      <c r="X585" s="1750">
        <f t="shared" si="20"/>
        <v>2480000</v>
      </c>
      <c r="Y585" s="175">
        <f t="shared" si="21"/>
        <v>0</v>
      </c>
    </row>
    <row r="586" spans="1:25" ht="30" x14ac:dyDescent="0.25">
      <c r="A586" s="32"/>
      <c r="B586" s="32"/>
      <c r="C586" s="32"/>
      <c r="D586" s="32"/>
      <c r="E586" s="32"/>
      <c r="F586" s="32"/>
      <c r="G586" s="1340" t="s">
        <v>2705</v>
      </c>
      <c r="H586" s="66" t="str">
        <f>'BID II'!B1517</f>
        <v>Belanja Perlengkapan Barang Konsumsi</v>
      </c>
      <c r="I586" s="174">
        <f>'BID II'!F1519+'BID II'!F1520</f>
        <v>9700000</v>
      </c>
      <c r="J586" s="66" t="s">
        <v>2625</v>
      </c>
      <c r="K586" s="851" t="s">
        <v>3030</v>
      </c>
      <c r="L586" s="1754">
        <v>808333</v>
      </c>
      <c r="M586" s="1754">
        <v>808333</v>
      </c>
      <c r="N586" s="1754">
        <v>808333</v>
      </c>
      <c r="O586" s="1754">
        <v>808333</v>
      </c>
      <c r="P586" s="1754">
        <v>808333</v>
      </c>
      <c r="Q586" s="1754">
        <v>808333</v>
      </c>
      <c r="R586" s="1754">
        <v>808333</v>
      </c>
      <c r="S586" s="1754">
        <v>808333</v>
      </c>
      <c r="T586" s="1754">
        <v>808333</v>
      </c>
      <c r="U586" s="1754">
        <v>808333</v>
      </c>
      <c r="V586" s="1754">
        <v>808333</v>
      </c>
      <c r="W586" s="1754">
        <v>808337</v>
      </c>
      <c r="X586" s="1750">
        <f t="shared" si="20"/>
        <v>9700000</v>
      </c>
      <c r="Y586" s="175">
        <f t="shared" si="21"/>
        <v>0</v>
      </c>
    </row>
    <row r="587" spans="1:25" ht="30" x14ac:dyDescent="0.25">
      <c r="A587" s="32"/>
      <c r="B587" s="32"/>
      <c r="C587" s="32"/>
      <c r="D587" s="32"/>
      <c r="E587" s="32"/>
      <c r="F587" s="32"/>
      <c r="G587" s="32">
        <v>10</v>
      </c>
      <c r="H587" s="32" t="str">
        <f>'BID II'!B1522</f>
        <v>Belanja Obat Obatan</v>
      </c>
      <c r="I587" s="174">
        <f>SUM('BID II'!F1523:F1525)</f>
        <v>5350000</v>
      </c>
      <c r="J587" s="66" t="s">
        <v>2625</v>
      </c>
      <c r="K587" s="851" t="s">
        <v>3030</v>
      </c>
      <c r="L587" s="1754">
        <v>5350000</v>
      </c>
      <c r="M587" s="1753"/>
      <c r="N587" s="1753"/>
      <c r="O587" s="1753"/>
      <c r="P587" s="1758"/>
      <c r="Q587" s="1758"/>
      <c r="R587" s="1758"/>
      <c r="S587" s="1758"/>
      <c r="T587" s="1762"/>
      <c r="U587" s="1762"/>
      <c r="V587" s="1762"/>
      <c r="W587" s="1762"/>
      <c r="X587" s="1750">
        <f t="shared" si="20"/>
        <v>5350000</v>
      </c>
      <c r="Y587" s="175">
        <f t="shared" si="21"/>
        <v>0</v>
      </c>
    </row>
    <row r="588" spans="1:25" ht="30" x14ac:dyDescent="0.25">
      <c r="A588" s="32"/>
      <c r="B588" s="32"/>
      <c r="C588" s="32"/>
      <c r="D588" s="32">
        <v>5</v>
      </c>
      <c r="E588" s="32">
        <v>2</v>
      </c>
      <c r="F588" s="32">
        <v>2</v>
      </c>
      <c r="G588" s="32"/>
      <c r="H588" s="32" t="str">
        <f>'BID II'!B1527</f>
        <v>Belanja Jasa Honorarium</v>
      </c>
      <c r="I588" s="32"/>
      <c r="J588" s="66"/>
      <c r="K588" s="851" t="s">
        <v>3030</v>
      </c>
      <c r="L588" s="1753"/>
      <c r="M588" s="1753"/>
      <c r="N588" s="1753"/>
      <c r="O588" s="1753"/>
      <c r="P588" s="1758"/>
      <c r="Q588" s="1758"/>
      <c r="R588" s="1758"/>
      <c r="S588" s="1758"/>
      <c r="T588" s="1762"/>
      <c r="U588" s="1762"/>
      <c r="V588" s="1762"/>
      <c r="W588" s="1762"/>
      <c r="X588" s="1750">
        <f t="shared" si="20"/>
        <v>0</v>
      </c>
      <c r="Y588" s="175">
        <f t="shared" si="21"/>
        <v>0</v>
      </c>
    </row>
    <row r="589" spans="1:25" ht="30" x14ac:dyDescent="0.25">
      <c r="A589" s="32"/>
      <c r="B589" s="32"/>
      <c r="C589" s="32"/>
      <c r="D589" s="32"/>
      <c r="E589" s="32"/>
      <c r="F589" s="32"/>
      <c r="G589" s="1340" t="s">
        <v>2706</v>
      </c>
      <c r="H589" s="66" t="str">
        <f>'BID II'!B1528</f>
        <v>Belanja Jasa Honorarium Petugas</v>
      </c>
      <c r="I589" s="174">
        <f>SUM('BID II'!F1529)</f>
        <v>18000000</v>
      </c>
      <c r="J589" s="66" t="s">
        <v>2625</v>
      </c>
      <c r="K589" s="851" t="s">
        <v>3030</v>
      </c>
      <c r="L589" s="1754">
        <v>1500000</v>
      </c>
      <c r="M589" s="1754">
        <v>1500000</v>
      </c>
      <c r="N589" s="1754">
        <v>1500000</v>
      </c>
      <c r="O589" s="1754">
        <v>1500000</v>
      </c>
      <c r="P589" s="1754">
        <v>1500000</v>
      </c>
      <c r="Q589" s="1754">
        <v>1500000</v>
      </c>
      <c r="R589" s="1754">
        <v>1500000</v>
      </c>
      <c r="S589" s="1754">
        <v>1500000</v>
      </c>
      <c r="T589" s="1754">
        <v>1500000</v>
      </c>
      <c r="U589" s="1754">
        <v>1500000</v>
      </c>
      <c r="V589" s="1754">
        <v>1500000</v>
      </c>
      <c r="W589" s="1754">
        <v>1500000</v>
      </c>
      <c r="X589" s="1750">
        <f t="shared" si="20"/>
        <v>18000000</v>
      </c>
      <c r="Y589" s="175">
        <f t="shared" si="21"/>
        <v>0</v>
      </c>
    </row>
    <row r="590" spans="1:25" ht="60" x14ac:dyDescent="0.25">
      <c r="A590" s="1344">
        <v>2</v>
      </c>
      <c r="B590" s="1344">
        <v>3</v>
      </c>
      <c r="C590" s="1346" t="s">
        <v>2702</v>
      </c>
      <c r="D590" s="1344"/>
      <c r="E590" s="1344"/>
      <c r="F590" s="1344"/>
      <c r="G590" s="1344"/>
      <c r="H590" s="1345" t="str">
        <f>'BID II'!B1545</f>
        <v>Pemeliharaan Jalan Lingkungan Permukiman/Gang Sekar Gunung</v>
      </c>
      <c r="I590" s="1347">
        <f>SUM(I591:I595)</f>
        <v>85218000</v>
      </c>
      <c r="J590" s="1345" t="s">
        <v>2626</v>
      </c>
      <c r="K590" s="1796" t="s">
        <v>3030</v>
      </c>
      <c r="L590" s="1344"/>
      <c r="M590" s="1344"/>
      <c r="N590" s="1344"/>
      <c r="O590" s="1344"/>
      <c r="P590" s="1344"/>
      <c r="Q590" s="1344"/>
      <c r="R590" s="1344"/>
      <c r="S590" s="1344"/>
      <c r="T590" s="1344"/>
      <c r="U590" s="1344"/>
      <c r="V590" s="1344"/>
      <c r="W590" s="1344"/>
      <c r="X590" s="1353">
        <f t="shared" si="20"/>
        <v>0</v>
      </c>
      <c r="Y590" s="175">
        <f t="shared" si="21"/>
        <v>-85218000</v>
      </c>
    </row>
    <row r="591" spans="1:25" ht="30" x14ac:dyDescent="0.25">
      <c r="A591" s="32"/>
      <c r="B591" s="32"/>
      <c r="C591" s="32"/>
      <c r="D591" s="32">
        <v>5</v>
      </c>
      <c r="E591" s="32">
        <v>3</v>
      </c>
      <c r="F591" s="32"/>
      <c r="G591" s="32"/>
      <c r="H591" s="66" t="str">
        <f>'BID II'!B1552</f>
        <v xml:space="preserve">Belanja Modal </v>
      </c>
      <c r="I591" s="470"/>
      <c r="J591" s="66"/>
      <c r="K591" s="851" t="s">
        <v>3030</v>
      </c>
      <c r="L591" s="1753"/>
      <c r="M591" s="1753"/>
      <c r="N591" s="1753"/>
      <c r="O591" s="1753"/>
      <c r="P591" s="1758"/>
      <c r="Q591" s="1758"/>
      <c r="R591" s="1758"/>
      <c r="S591" s="1758"/>
      <c r="T591" s="1762"/>
      <c r="U591" s="1762"/>
      <c r="V591" s="1762"/>
      <c r="W591" s="1762"/>
      <c r="X591" s="1750">
        <f t="shared" si="20"/>
        <v>0</v>
      </c>
      <c r="Y591" s="175">
        <f t="shared" si="21"/>
        <v>0</v>
      </c>
    </row>
    <row r="592" spans="1:25" ht="30" x14ac:dyDescent="0.25">
      <c r="A592" s="32"/>
      <c r="B592" s="32"/>
      <c r="C592" s="32"/>
      <c r="D592" s="32"/>
      <c r="E592" s="32"/>
      <c r="F592" s="32">
        <v>5</v>
      </c>
      <c r="G592" s="32"/>
      <c r="H592" s="66" t="str">
        <f>'BID II'!B1553</f>
        <v>Belanja Modal Jalan</v>
      </c>
      <c r="I592" s="470"/>
      <c r="J592" s="66"/>
      <c r="K592" s="851" t="s">
        <v>3030</v>
      </c>
      <c r="L592" s="1753"/>
      <c r="M592" s="1753"/>
      <c r="N592" s="1753"/>
      <c r="O592" s="1753"/>
      <c r="P592" s="1758"/>
      <c r="Q592" s="1758"/>
      <c r="R592" s="1758"/>
      <c r="S592" s="1758"/>
      <c r="T592" s="1762"/>
      <c r="U592" s="1762"/>
      <c r="V592" s="1762"/>
      <c r="W592" s="1762"/>
      <c r="X592" s="1750">
        <f t="shared" si="20"/>
        <v>0</v>
      </c>
      <c r="Y592" s="175">
        <f t="shared" si="21"/>
        <v>0</v>
      </c>
    </row>
    <row r="593" spans="1:25" ht="30" x14ac:dyDescent="0.25">
      <c r="A593" s="32"/>
      <c r="B593" s="32"/>
      <c r="C593" s="32"/>
      <c r="D593" s="32"/>
      <c r="E593" s="32"/>
      <c r="F593" s="32"/>
      <c r="G593" s="1340" t="s">
        <v>2688</v>
      </c>
      <c r="H593" s="66" t="str">
        <f>'BID II'!B1554</f>
        <v>Honorarium Tim Yang Melaksanakan Kegiatan</v>
      </c>
      <c r="I593" s="470">
        <f>'BID II'!F1556</f>
        <v>1670000</v>
      </c>
      <c r="J593" s="66" t="s">
        <v>2626</v>
      </c>
      <c r="K593" s="851" t="s">
        <v>3030</v>
      </c>
      <c r="L593" s="1753"/>
      <c r="M593" s="1753"/>
      <c r="N593" s="1753"/>
      <c r="O593" s="1753"/>
      <c r="P593" s="1758"/>
      <c r="Q593" s="1758"/>
      <c r="R593" s="1759">
        <v>1670000</v>
      </c>
      <c r="S593" s="1758"/>
      <c r="T593" s="1762"/>
      <c r="U593" s="1762"/>
      <c r="V593" s="1762"/>
      <c r="W593" s="1762"/>
      <c r="X593" s="1750">
        <f t="shared" si="20"/>
        <v>1670000</v>
      </c>
      <c r="Y593" s="175">
        <f t="shared" si="21"/>
        <v>0</v>
      </c>
    </row>
    <row r="594" spans="1:25" ht="30" x14ac:dyDescent="0.25">
      <c r="A594" s="32"/>
      <c r="B594" s="32"/>
      <c r="C594" s="32"/>
      <c r="D594" s="32"/>
      <c r="E594" s="32"/>
      <c r="F594" s="32"/>
      <c r="G594" s="1340" t="s">
        <v>2702</v>
      </c>
      <c r="H594" s="32" t="str">
        <f>'BID II'!B1557</f>
        <v>Belanja Upah</v>
      </c>
      <c r="I594" s="470">
        <f>'BID II'!F1560</f>
        <v>12896000</v>
      </c>
      <c r="J594" s="66" t="s">
        <v>2626</v>
      </c>
      <c r="K594" s="851" t="s">
        <v>3030</v>
      </c>
      <c r="L594" s="1753"/>
      <c r="M594" s="1753"/>
      <c r="N594" s="1753"/>
      <c r="O594" s="1753"/>
      <c r="P594" s="1758"/>
      <c r="Q594" s="1758"/>
      <c r="R594" s="1759">
        <v>12896000</v>
      </c>
      <c r="S594" s="1758"/>
      <c r="T594" s="1762"/>
      <c r="U594" s="1762"/>
      <c r="V594" s="1762"/>
      <c r="W594" s="1762"/>
      <c r="X594" s="1750">
        <f t="shared" si="20"/>
        <v>12896000</v>
      </c>
      <c r="Y594" s="175">
        <f t="shared" si="21"/>
        <v>0</v>
      </c>
    </row>
    <row r="595" spans="1:25" ht="30" x14ac:dyDescent="0.25">
      <c r="A595" s="32"/>
      <c r="B595" s="32"/>
      <c r="C595" s="32"/>
      <c r="D595" s="32"/>
      <c r="E595" s="32"/>
      <c r="F595" s="32"/>
      <c r="G595" s="1340" t="s">
        <v>2703</v>
      </c>
      <c r="H595" s="32" t="str">
        <f>'BID II'!B1561</f>
        <v>Bahan Baku</v>
      </c>
      <c r="I595" s="470">
        <f>'BID II'!F1568</f>
        <v>70652000</v>
      </c>
      <c r="J595" s="66" t="s">
        <v>2626</v>
      </c>
      <c r="K595" s="851" t="s">
        <v>3030</v>
      </c>
      <c r="L595" s="1753"/>
      <c r="M595" s="1753"/>
      <c r="N595" s="1753"/>
      <c r="O595" s="1753"/>
      <c r="P595" s="1758"/>
      <c r="Q595" s="1758"/>
      <c r="R595" s="1759">
        <v>70652000</v>
      </c>
      <c r="S595" s="1758"/>
      <c r="T595" s="1762"/>
      <c r="U595" s="1762"/>
      <c r="V595" s="1762"/>
      <c r="W595" s="1762"/>
      <c r="X595" s="1750">
        <f t="shared" si="20"/>
        <v>70652000</v>
      </c>
      <c r="Y595" s="175">
        <f t="shared" si="21"/>
        <v>0</v>
      </c>
    </row>
    <row r="596" spans="1:25" ht="75" x14ac:dyDescent="0.25">
      <c r="A596" s="1344">
        <v>2</v>
      </c>
      <c r="B596" s="1344">
        <v>3</v>
      </c>
      <c r="C596" s="1346" t="s">
        <v>2703</v>
      </c>
      <c r="D596" s="1344"/>
      <c r="E596" s="1344"/>
      <c r="F596" s="1344"/>
      <c r="G596" s="1346"/>
      <c r="H596" s="1345" t="str">
        <f>'BID II'!B1588</f>
        <v>: Pemeliharaan Jalan Usaha Tani (KETAHANAN PANGAN) (Subak Pohmanis Bongkar Paving)</v>
      </c>
      <c r="I596" s="1347">
        <f>SUM(I597:I600)</f>
        <v>3712000</v>
      </c>
      <c r="J596" s="1345" t="s">
        <v>2626</v>
      </c>
      <c r="K596" s="1796" t="s">
        <v>3030</v>
      </c>
      <c r="L596" s="1344"/>
      <c r="M596" s="1344"/>
      <c r="N596" s="1344"/>
      <c r="O596" s="1344"/>
      <c r="P596" s="1344"/>
      <c r="Q596" s="1344"/>
      <c r="R596" s="1344"/>
      <c r="S596" s="1344"/>
      <c r="T596" s="1344"/>
      <c r="U596" s="1344"/>
      <c r="V596" s="1344"/>
      <c r="W596" s="1344"/>
      <c r="X596" s="1353">
        <f t="shared" si="20"/>
        <v>0</v>
      </c>
      <c r="Y596" s="175">
        <f t="shared" si="21"/>
        <v>-3712000</v>
      </c>
    </row>
    <row r="597" spans="1:25" ht="30" x14ac:dyDescent="0.25">
      <c r="A597" s="32"/>
      <c r="B597" s="32"/>
      <c r="C597" s="32"/>
      <c r="D597" s="32">
        <v>5</v>
      </c>
      <c r="E597" s="32">
        <v>3</v>
      </c>
      <c r="F597" s="32"/>
      <c r="G597" s="1340"/>
      <c r="H597" s="66" t="str">
        <f>'BID II'!B1595</f>
        <v xml:space="preserve">Belanja Modal </v>
      </c>
      <c r="I597" s="470"/>
      <c r="J597" s="66"/>
      <c r="K597" s="851" t="s">
        <v>3030</v>
      </c>
      <c r="L597" s="1753"/>
      <c r="M597" s="1753"/>
      <c r="N597" s="1753"/>
      <c r="O597" s="1753"/>
      <c r="P597" s="1758"/>
      <c r="Q597" s="1758"/>
      <c r="R597" s="1758"/>
      <c r="S597" s="1758"/>
      <c r="T597" s="1762"/>
      <c r="U597" s="1762"/>
      <c r="V597" s="1762"/>
      <c r="W597" s="1762"/>
      <c r="X597" s="1750">
        <f t="shared" si="20"/>
        <v>0</v>
      </c>
      <c r="Y597" s="175">
        <f t="shared" si="21"/>
        <v>0</v>
      </c>
    </row>
    <row r="598" spans="1:25" ht="30" x14ac:dyDescent="0.25">
      <c r="A598" s="32"/>
      <c r="B598" s="32"/>
      <c r="C598" s="32"/>
      <c r="D598" s="32"/>
      <c r="E598" s="32"/>
      <c r="F598" s="32">
        <v>5</v>
      </c>
      <c r="G598" s="1340"/>
      <c r="H598" s="66" t="str">
        <f>'BID II'!B1596</f>
        <v>Belanja Modal Jalan</v>
      </c>
      <c r="I598" s="470"/>
      <c r="J598" s="66"/>
      <c r="K598" s="851" t="s">
        <v>3030</v>
      </c>
      <c r="L598" s="1753"/>
      <c r="M598" s="1753"/>
      <c r="N598" s="1753"/>
      <c r="O598" s="1753"/>
      <c r="P598" s="1758"/>
      <c r="Q598" s="1758"/>
      <c r="R598" s="1758"/>
      <c r="S598" s="1758"/>
      <c r="T598" s="1762"/>
      <c r="U598" s="1762"/>
      <c r="V598" s="1762"/>
      <c r="W598" s="1762"/>
      <c r="X598" s="1750">
        <f t="shared" si="20"/>
        <v>0</v>
      </c>
      <c r="Y598" s="175">
        <f t="shared" si="21"/>
        <v>0</v>
      </c>
    </row>
    <row r="599" spans="1:25" ht="30" x14ac:dyDescent="0.25">
      <c r="A599" s="32"/>
      <c r="B599" s="32"/>
      <c r="C599" s="32"/>
      <c r="D599" s="32"/>
      <c r="E599" s="32"/>
      <c r="F599" s="32"/>
      <c r="G599" s="1340" t="s">
        <v>2688</v>
      </c>
      <c r="H599" s="66" t="str">
        <f>'BID II'!B1597</f>
        <v>Honorarium Tim Yang Melaksanakan Kegiatan</v>
      </c>
      <c r="I599" s="470">
        <f>'BID II'!F1599</f>
        <v>72000</v>
      </c>
      <c r="J599" s="66" t="s">
        <v>2626</v>
      </c>
      <c r="K599" s="851" t="s">
        <v>3030</v>
      </c>
      <c r="L599" s="1753"/>
      <c r="M599" s="1753"/>
      <c r="N599" s="1753"/>
      <c r="O599" s="1753"/>
      <c r="P599" s="1758"/>
      <c r="Q599" s="1758"/>
      <c r="R599" s="1759">
        <v>72000</v>
      </c>
      <c r="S599" s="1758"/>
      <c r="T599" s="1762"/>
      <c r="U599" s="1762"/>
      <c r="V599" s="1762"/>
      <c r="W599" s="1762"/>
      <c r="X599" s="1750">
        <f t="shared" si="20"/>
        <v>72000</v>
      </c>
      <c r="Y599" s="175">
        <f t="shared" si="21"/>
        <v>0</v>
      </c>
    </row>
    <row r="600" spans="1:25" ht="30" x14ac:dyDescent="0.25">
      <c r="A600" s="32"/>
      <c r="B600" s="32"/>
      <c r="C600" s="32"/>
      <c r="D600" s="32"/>
      <c r="E600" s="32"/>
      <c r="F600" s="32"/>
      <c r="G600" s="1340" t="s">
        <v>2702</v>
      </c>
      <c r="H600" s="32" t="str">
        <f>'BID II'!B1600</f>
        <v>Belanja Upah</v>
      </c>
      <c r="I600" s="470">
        <f>'BID II'!F1602</f>
        <v>3640000</v>
      </c>
      <c r="J600" s="66" t="s">
        <v>2626</v>
      </c>
      <c r="K600" s="851" t="s">
        <v>3030</v>
      </c>
      <c r="L600" s="1753"/>
      <c r="M600" s="1753"/>
      <c r="N600" s="1753"/>
      <c r="O600" s="1753"/>
      <c r="P600" s="1758"/>
      <c r="Q600" s="1758"/>
      <c r="R600" s="1759">
        <v>3640000</v>
      </c>
      <c r="S600" s="1758"/>
      <c r="T600" s="1762"/>
      <c r="U600" s="1762"/>
      <c r="V600" s="1762"/>
      <c r="W600" s="1762"/>
      <c r="X600" s="1750">
        <f t="shared" si="20"/>
        <v>3640000</v>
      </c>
      <c r="Y600" s="175">
        <f t="shared" si="21"/>
        <v>0</v>
      </c>
    </row>
    <row r="601" spans="1:25" ht="75" x14ac:dyDescent="0.25">
      <c r="A601" s="1344">
        <v>2</v>
      </c>
      <c r="B601" s="1344">
        <v>3</v>
      </c>
      <c r="C601" s="1346" t="s">
        <v>2703</v>
      </c>
      <c r="D601" s="1344"/>
      <c r="E601" s="1344"/>
      <c r="F601" s="1344"/>
      <c r="G601" s="1346"/>
      <c r="H601" s="1345" t="str">
        <f>'BID II'!B1622</f>
        <v>: Pemeliharaan Jalan Usaha Tani (KETAHANAN PANGAN) (Subak Pohmanis Urug Limestone)</v>
      </c>
      <c r="I601" s="1347">
        <f>SUM(I602:I606)</f>
        <v>54884000</v>
      </c>
      <c r="J601" s="1345" t="s">
        <v>2626</v>
      </c>
      <c r="K601" s="1796" t="s">
        <v>3030</v>
      </c>
      <c r="L601" s="1344"/>
      <c r="M601" s="1344"/>
      <c r="N601" s="1344"/>
      <c r="O601" s="1344"/>
      <c r="P601" s="1344"/>
      <c r="Q601" s="1344"/>
      <c r="R601" s="1344"/>
      <c r="S601" s="1344"/>
      <c r="T601" s="1344"/>
      <c r="U601" s="1344"/>
      <c r="V601" s="1344"/>
      <c r="W601" s="1344"/>
      <c r="X601" s="1353">
        <f t="shared" si="20"/>
        <v>0</v>
      </c>
      <c r="Y601" s="175">
        <f t="shared" si="21"/>
        <v>-54884000</v>
      </c>
    </row>
    <row r="602" spans="1:25" ht="30" x14ac:dyDescent="0.25">
      <c r="A602" s="32"/>
      <c r="B602" s="32"/>
      <c r="C602" s="32"/>
      <c r="D602" s="32">
        <v>5</v>
      </c>
      <c r="E602" s="32">
        <v>3</v>
      </c>
      <c r="F602" s="32"/>
      <c r="G602" s="1340"/>
      <c r="H602" s="66" t="str">
        <f>'BID II'!B1629</f>
        <v xml:space="preserve">Belanja Modal </v>
      </c>
      <c r="I602" s="470"/>
      <c r="J602" s="66"/>
      <c r="K602" s="851" t="s">
        <v>3030</v>
      </c>
      <c r="L602" s="1753"/>
      <c r="M602" s="1753"/>
      <c r="N602" s="1753"/>
      <c r="O602" s="1753"/>
      <c r="P602" s="1758"/>
      <c r="Q602" s="1758"/>
      <c r="R602" s="1758"/>
      <c r="S602" s="1758"/>
      <c r="T602" s="1762"/>
      <c r="U602" s="1762"/>
      <c r="V602" s="1762"/>
      <c r="W602" s="1762"/>
      <c r="X602" s="1750">
        <f t="shared" ref="X602:X665" si="22">SUM(L602:W602)</f>
        <v>0</v>
      </c>
      <c r="Y602" s="175">
        <f t="shared" ref="Y602:Y665" si="23">X602-I602</f>
        <v>0</v>
      </c>
    </row>
    <row r="603" spans="1:25" ht="30" x14ac:dyDescent="0.25">
      <c r="A603" s="32"/>
      <c r="B603" s="32"/>
      <c r="C603" s="32"/>
      <c r="D603" s="32"/>
      <c r="E603" s="32"/>
      <c r="F603" s="32">
        <v>5</v>
      </c>
      <c r="G603" s="1340"/>
      <c r="H603" s="66" t="str">
        <f>'BID II'!B1630</f>
        <v>Belanja Modal Jalan</v>
      </c>
      <c r="I603" s="470"/>
      <c r="J603" s="66"/>
      <c r="K603" s="851" t="s">
        <v>3030</v>
      </c>
      <c r="L603" s="1753"/>
      <c r="M603" s="1753"/>
      <c r="N603" s="1753"/>
      <c r="O603" s="1753"/>
      <c r="P603" s="1758"/>
      <c r="Q603" s="1758"/>
      <c r="R603" s="1758"/>
      <c r="S603" s="1758"/>
      <c r="T603" s="1762"/>
      <c r="U603" s="1762"/>
      <c r="V603" s="1762"/>
      <c r="W603" s="1762"/>
      <c r="X603" s="1750">
        <f t="shared" si="22"/>
        <v>0</v>
      </c>
      <c r="Y603" s="175">
        <f t="shared" si="23"/>
        <v>0</v>
      </c>
    </row>
    <row r="604" spans="1:25" ht="30" x14ac:dyDescent="0.25">
      <c r="A604" s="32"/>
      <c r="B604" s="32"/>
      <c r="C604" s="32"/>
      <c r="D604" s="32"/>
      <c r="E604" s="32"/>
      <c r="F604" s="32"/>
      <c r="G604" s="1340" t="s">
        <v>2688</v>
      </c>
      <c r="H604" s="66" t="str">
        <f>'BID II'!B1631</f>
        <v>Honorarium Tim Yang Melaksanakan Kegiatan</v>
      </c>
      <c r="I604" s="470">
        <f>'BID II'!F1633</f>
        <v>1076000</v>
      </c>
      <c r="J604" s="66" t="s">
        <v>2626</v>
      </c>
      <c r="K604" s="851" t="s">
        <v>3030</v>
      </c>
      <c r="L604" s="1753"/>
      <c r="M604" s="1753"/>
      <c r="N604" s="1753"/>
      <c r="O604" s="1753"/>
      <c r="P604" s="1758"/>
      <c r="Q604" s="1758"/>
      <c r="R604" s="1759">
        <v>1076000</v>
      </c>
      <c r="S604" s="1758"/>
      <c r="T604" s="1762"/>
      <c r="U604" s="1762"/>
      <c r="V604" s="1762"/>
      <c r="W604" s="1762"/>
      <c r="X604" s="1750">
        <f t="shared" si="22"/>
        <v>1076000</v>
      </c>
      <c r="Y604" s="175">
        <f t="shared" si="23"/>
        <v>0</v>
      </c>
    </row>
    <row r="605" spans="1:25" ht="30" x14ac:dyDescent="0.25">
      <c r="A605" s="32"/>
      <c r="B605" s="32"/>
      <c r="C605" s="32"/>
      <c r="D605" s="32"/>
      <c r="E605" s="32"/>
      <c r="F605" s="32"/>
      <c r="G605" s="1340" t="s">
        <v>2702</v>
      </c>
      <c r="H605" s="32" t="str">
        <f>'BID II'!B1634</f>
        <v>Belanja Upah</v>
      </c>
      <c r="I605" s="470">
        <f>'BID II'!F1635</f>
        <v>1170000</v>
      </c>
      <c r="J605" s="66" t="s">
        <v>2626</v>
      </c>
      <c r="K605" s="851" t="s">
        <v>3030</v>
      </c>
      <c r="L605" s="1753"/>
      <c r="M605" s="1753"/>
      <c r="N605" s="1753"/>
      <c r="O605" s="1753"/>
      <c r="P605" s="1758"/>
      <c r="Q605" s="1758"/>
      <c r="R605" s="1759">
        <v>1170000</v>
      </c>
      <c r="S605" s="1758"/>
      <c r="T605" s="1762"/>
      <c r="U605" s="1762"/>
      <c r="V605" s="1762"/>
      <c r="W605" s="1762"/>
      <c r="X605" s="1750">
        <f t="shared" si="22"/>
        <v>1170000</v>
      </c>
      <c r="Y605" s="175">
        <f t="shared" si="23"/>
        <v>0</v>
      </c>
    </row>
    <row r="606" spans="1:25" ht="30" x14ac:dyDescent="0.25">
      <c r="A606" s="32"/>
      <c r="B606" s="32"/>
      <c r="C606" s="32"/>
      <c r="D606" s="32"/>
      <c r="E606" s="32"/>
      <c r="F606" s="32"/>
      <c r="G606" s="1340" t="s">
        <v>2703</v>
      </c>
      <c r="H606" s="32" t="str">
        <f>'BID II'!B1638</f>
        <v>Bahan Baku</v>
      </c>
      <c r="I606" s="470">
        <f>'BID II'!F1642</f>
        <v>52638000</v>
      </c>
      <c r="J606" s="66" t="s">
        <v>2626</v>
      </c>
      <c r="K606" s="851" t="s">
        <v>3030</v>
      </c>
      <c r="L606" s="1753"/>
      <c r="M606" s="1753"/>
      <c r="N606" s="1753"/>
      <c r="O606" s="1753"/>
      <c r="P606" s="1758"/>
      <c r="Q606" s="1758"/>
      <c r="R606" s="1759">
        <v>52638000</v>
      </c>
      <c r="S606" s="1758"/>
      <c r="T606" s="1762"/>
      <c r="U606" s="1762"/>
      <c r="V606" s="1762"/>
      <c r="W606" s="1762"/>
      <c r="X606" s="1750">
        <f t="shared" si="22"/>
        <v>52638000</v>
      </c>
      <c r="Y606" s="175">
        <f t="shared" si="23"/>
        <v>0</v>
      </c>
    </row>
    <row r="607" spans="1:25" ht="60" x14ac:dyDescent="0.25">
      <c r="A607" s="1344">
        <v>2</v>
      </c>
      <c r="B607" s="1344">
        <v>3</v>
      </c>
      <c r="C607" s="1346" t="s">
        <v>2703</v>
      </c>
      <c r="D607" s="1344"/>
      <c r="E607" s="1344"/>
      <c r="F607" s="1344"/>
      <c r="G607" s="1346"/>
      <c r="H607" s="1345" t="str">
        <f>'BID II'!B1661</f>
        <v>: Pemeliharaan Jalan Usaha Tani (KETAHANAN PAGAN) (Subak Pohmanis Urug Pasir)</v>
      </c>
      <c r="I607" s="1347">
        <f>SUM(I608:I612)</f>
        <v>10850000</v>
      </c>
      <c r="J607" s="1345" t="s">
        <v>1682</v>
      </c>
      <c r="K607" s="1796" t="s">
        <v>3030</v>
      </c>
      <c r="L607" s="1344"/>
      <c r="M607" s="1344"/>
      <c r="N607" s="1344"/>
      <c r="O607" s="1344"/>
      <c r="P607" s="1344"/>
      <c r="Q607" s="1344"/>
      <c r="R607" s="1344"/>
      <c r="S607" s="1344"/>
      <c r="T607" s="1344"/>
      <c r="U607" s="1344"/>
      <c r="V607" s="1344"/>
      <c r="W607" s="1344"/>
      <c r="X607" s="1353">
        <f t="shared" si="22"/>
        <v>0</v>
      </c>
      <c r="Y607" s="175">
        <f t="shared" si="23"/>
        <v>-10850000</v>
      </c>
    </row>
    <row r="608" spans="1:25" ht="30" x14ac:dyDescent="0.25">
      <c r="A608" s="32"/>
      <c r="B608" s="32"/>
      <c r="C608" s="32"/>
      <c r="D608" s="32">
        <v>5</v>
      </c>
      <c r="E608" s="32">
        <v>3</v>
      </c>
      <c r="F608" s="32"/>
      <c r="G608" s="1340"/>
      <c r="H608" s="66" t="str">
        <f>'BID II'!B1668</f>
        <v xml:space="preserve">Belanja Modal </v>
      </c>
      <c r="I608" s="470"/>
      <c r="J608" s="66"/>
      <c r="K608" s="851" t="s">
        <v>3030</v>
      </c>
      <c r="L608" s="1753"/>
      <c r="M608" s="1753"/>
      <c r="N608" s="1753"/>
      <c r="O608" s="1753"/>
      <c r="P608" s="1758"/>
      <c r="Q608" s="1758"/>
      <c r="R608" s="1758"/>
      <c r="S608" s="1758"/>
      <c r="T608" s="1762"/>
      <c r="U608" s="1762"/>
      <c r="V608" s="1762"/>
      <c r="W608" s="1762"/>
      <c r="X608" s="1750">
        <f t="shared" si="22"/>
        <v>0</v>
      </c>
      <c r="Y608" s="175">
        <f t="shared" si="23"/>
        <v>0</v>
      </c>
    </row>
    <row r="609" spans="1:25" ht="30" x14ac:dyDescent="0.25">
      <c r="A609" s="32"/>
      <c r="B609" s="32"/>
      <c r="C609" s="32"/>
      <c r="D609" s="32"/>
      <c r="E609" s="32"/>
      <c r="F609" s="32">
        <v>5</v>
      </c>
      <c r="G609" s="1340"/>
      <c r="H609" s="66" t="str">
        <f>'BID II'!B1669</f>
        <v>Belanja Modal Jalan</v>
      </c>
      <c r="I609" s="470"/>
      <c r="J609" s="66"/>
      <c r="K609" s="851" t="s">
        <v>3030</v>
      </c>
      <c r="L609" s="1753"/>
      <c r="M609" s="1753"/>
      <c r="N609" s="1753"/>
      <c r="O609" s="1753"/>
      <c r="P609" s="1758"/>
      <c r="Q609" s="1758"/>
      <c r="R609" s="1758"/>
      <c r="S609" s="1758"/>
      <c r="T609" s="1762"/>
      <c r="U609" s="1762"/>
      <c r="V609" s="1762"/>
      <c r="W609" s="1762"/>
      <c r="X609" s="1750">
        <f t="shared" si="22"/>
        <v>0</v>
      </c>
      <c r="Y609" s="175">
        <f t="shared" si="23"/>
        <v>0</v>
      </c>
    </row>
    <row r="610" spans="1:25" ht="30" x14ac:dyDescent="0.25">
      <c r="A610" s="32"/>
      <c r="B610" s="32"/>
      <c r="C610" s="32"/>
      <c r="D610" s="32"/>
      <c r="E610" s="32"/>
      <c r="F610" s="32"/>
      <c r="G610" s="1340" t="s">
        <v>2688</v>
      </c>
      <c r="H610" s="66" t="str">
        <f>'BID II'!B1670</f>
        <v>Honorarium Tim Yang Melaksanakan Kegiatan</v>
      </c>
      <c r="I610" s="470">
        <f>'BID II'!F1672</f>
        <v>212000</v>
      </c>
      <c r="J610" s="66" t="s">
        <v>1682</v>
      </c>
      <c r="K610" s="851" t="s">
        <v>3030</v>
      </c>
      <c r="L610" s="1753"/>
      <c r="M610" s="1753"/>
      <c r="N610" s="1753"/>
      <c r="O610" s="1753"/>
      <c r="P610" s="1758"/>
      <c r="Q610" s="1758"/>
      <c r="R610" s="470">
        <v>212000</v>
      </c>
      <c r="S610" s="1758"/>
      <c r="T610" s="1762"/>
      <c r="U610" s="1762"/>
      <c r="V610" s="1762"/>
      <c r="W610" s="1762"/>
      <c r="X610" s="1750">
        <f t="shared" si="22"/>
        <v>212000</v>
      </c>
      <c r="Y610" s="175">
        <f t="shared" si="23"/>
        <v>0</v>
      </c>
    </row>
    <row r="611" spans="1:25" ht="30" x14ac:dyDescent="0.25">
      <c r="A611" s="32"/>
      <c r="B611" s="32"/>
      <c r="C611" s="32"/>
      <c r="D611" s="32"/>
      <c r="E611" s="32"/>
      <c r="F611" s="32"/>
      <c r="G611" s="1340" t="s">
        <v>2702</v>
      </c>
      <c r="H611" s="32" t="str">
        <f>'BID II'!B1673</f>
        <v>Belanja Upah</v>
      </c>
      <c r="I611" s="470">
        <f>'BID II'!F1675</f>
        <v>1560000</v>
      </c>
      <c r="J611" s="66" t="s">
        <v>1682</v>
      </c>
      <c r="K611" s="851" t="s">
        <v>3030</v>
      </c>
      <c r="L611" s="1753"/>
      <c r="M611" s="1753"/>
      <c r="N611" s="1753"/>
      <c r="O611" s="1753"/>
      <c r="P611" s="1758"/>
      <c r="Q611" s="1758"/>
      <c r="R611" s="470">
        <v>1560000</v>
      </c>
      <c r="S611" s="1758"/>
      <c r="T611" s="1762"/>
      <c r="U611" s="1762"/>
      <c r="V611" s="1762"/>
      <c r="W611" s="1762"/>
      <c r="X611" s="1750">
        <f t="shared" si="22"/>
        <v>1560000</v>
      </c>
      <c r="Y611" s="175">
        <f t="shared" si="23"/>
        <v>0</v>
      </c>
    </row>
    <row r="612" spans="1:25" ht="30" x14ac:dyDescent="0.25">
      <c r="A612" s="32"/>
      <c r="B612" s="32"/>
      <c r="C612" s="32"/>
      <c r="D612" s="32"/>
      <c r="E612" s="32"/>
      <c r="F612" s="32"/>
      <c r="G612" s="1340" t="s">
        <v>2703</v>
      </c>
      <c r="H612" s="32" t="str">
        <f>'BID II'!B1677</f>
        <v>Pasir Urug</v>
      </c>
      <c r="I612" s="470">
        <f>'BID II'!F1679</f>
        <v>9078000</v>
      </c>
      <c r="J612" s="66" t="s">
        <v>1682</v>
      </c>
      <c r="K612" s="851" t="s">
        <v>3030</v>
      </c>
      <c r="L612" s="1753"/>
      <c r="M612" s="1753"/>
      <c r="N612" s="1753"/>
      <c r="O612" s="1753"/>
      <c r="P612" s="1758"/>
      <c r="Q612" s="1758"/>
      <c r="R612" s="470">
        <v>9078000</v>
      </c>
      <c r="S612" s="1758"/>
      <c r="T612" s="1762"/>
      <c r="U612" s="1762"/>
      <c r="V612" s="1762"/>
      <c r="W612" s="1762"/>
      <c r="X612" s="1750">
        <f t="shared" si="22"/>
        <v>9078000</v>
      </c>
      <c r="Y612" s="175">
        <f t="shared" si="23"/>
        <v>0</v>
      </c>
    </row>
    <row r="613" spans="1:25" ht="45" x14ac:dyDescent="0.25">
      <c r="A613" s="1344">
        <v>2</v>
      </c>
      <c r="B613" s="1344">
        <v>3</v>
      </c>
      <c r="C613" s="1346" t="s">
        <v>2703</v>
      </c>
      <c r="D613" s="1344"/>
      <c r="E613" s="1344"/>
      <c r="F613" s="1344"/>
      <c r="G613" s="1346"/>
      <c r="H613" s="1345" t="str">
        <f>'BID II'!B1694</f>
        <v>: Pemeliharaan Jalan Usaha Tani (Subak Pohmanis Pembesian)</v>
      </c>
      <c r="I613" s="1347">
        <f>SUM(I614:I618)</f>
        <v>46005000</v>
      </c>
      <c r="J613" s="1345" t="s">
        <v>2627</v>
      </c>
      <c r="K613" s="1796" t="s">
        <v>3030</v>
      </c>
      <c r="L613" s="1344"/>
      <c r="M613" s="1344"/>
      <c r="N613" s="1344"/>
      <c r="O613" s="1344"/>
      <c r="P613" s="1344"/>
      <c r="Q613" s="1344"/>
      <c r="R613" s="1344"/>
      <c r="S613" s="1344"/>
      <c r="T613" s="1344"/>
      <c r="U613" s="1344"/>
      <c r="V613" s="1344"/>
      <c r="W613" s="1344"/>
      <c r="X613" s="1353">
        <f t="shared" si="22"/>
        <v>0</v>
      </c>
      <c r="Y613" s="175">
        <f t="shared" si="23"/>
        <v>-46005000</v>
      </c>
    </row>
    <row r="614" spans="1:25" ht="30" x14ac:dyDescent="0.25">
      <c r="A614" s="32"/>
      <c r="B614" s="32"/>
      <c r="C614" s="32"/>
      <c r="D614" s="32">
        <v>5</v>
      </c>
      <c r="E614" s="32">
        <v>3</v>
      </c>
      <c r="F614" s="32"/>
      <c r="G614" s="1340"/>
      <c r="H614" s="66" t="str">
        <f>'BID II'!B1701</f>
        <v xml:space="preserve">Belanja Modal </v>
      </c>
      <c r="I614" s="470"/>
      <c r="J614" s="66"/>
      <c r="K614" s="851" t="s">
        <v>3030</v>
      </c>
      <c r="L614" s="1753"/>
      <c r="M614" s="1753"/>
      <c r="N614" s="1753"/>
      <c r="O614" s="1753"/>
      <c r="P614" s="1758"/>
      <c r="Q614" s="1758"/>
      <c r="R614" s="1758"/>
      <c r="S614" s="1758"/>
      <c r="T614" s="1762"/>
      <c r="U614" s="1762"/>
      <c r="V614" s="1762"/>
      <c r="W614" s="1762"/>
      <c r="X614" s="1750">
        <f t="shared" si="22"/>
        <v>0</v>
      </c>
      <c r="Y614" s="175">
        <f t="shared" si="23"/>
        <v>0</v>
      </c>
    </row>
    <row r="615" spans="1:25" ht="30" x14ac:dyDescent="0.25">
      <c r="A615" s="32"/>
      <c r="B615" s="32"/>
      <c r="C615" s="32"/>
      <c r="D615" s="32"/>
      <c r="E615" s="32"/>
      <c r="F615" s="32">
        <v>5</v>
      </c>
      <c r="G615" s="1340"/>
      <c r="H615" s="66" t="str">
        <f>'BID II'!B1702</f>
        <v>Belanja Modal Jalan</v>
      </c>
      <c r="I615" s="470"/>
      <c r="J615" s="66"/>
      <c r="K615" s="851" t="s">
        <v>3030</v>
      </c>
      <c r="L615" s="1753"/>
      <c r="M615" s="1753"/>
      <c r="N615" s="1753"/>
      <c r="O615" s="1753"/>
      <c r="P615" s="1758"/>
      <c r="Q615" s="1758"/>
      <c r="R615" s="1758"/>
      <c r="S615" s="1758"/>
      <c r="T615" s="1762"/>
      <c r="U615" s="1762"/>
      <c r="V615" s="1762"/>
      <c r="W615" s="1762"/>
      <c r="X615" s="1750">
        <f t="shared" si="22"/>
        <v>0</v>
      </c>
      <c r="Y615" s="175">
        <f t="shared" si="23"/>
        <v>0</v>
      </c>
    </row>
    <row r="616" spans="1:25" ht="30" x14ac:dyDescent="0.25">
      <c r="A616" s="32"/>
      <c r="B616" s="32"/>
      <c r="C616" s="32"/>
      <c r="D616" s="32"/>
      <c r="E616" s="32"/>
      <c r="F616" s="32"/>
      <c r="G616" s="1340" t="s">
        <v>2688</v>
      </c>
      <c r="H616" s="66" t="str">
        <f>'BID II'!B1703</f>
        <v>Honorarium Tim Yang Melaksanakan Kegiatan</v>
      </c>
      <c r="I616" s="470">
        <f>'BID II'!F1705</f>
        <v>902000</v>
      </c>
      <c r="J616" s="66" t="s">
        <v>2954</v>
      </c>
      <c r="K616" s="851" t="s">
        <v>3030</v>
      </c>
      <c r="L616" s="1753"/>
      <c r="M616" s="1753"/>
      <c r="N616" s="1753"/>
      <c r="O616" s="1753"/>
      <c r="P616" s="1758"/>
      <c r="Q616" s="1758"/>
      <c r="R616" s="1759">
        <v>902000</v>
      </c>
      <c r="S616" s="1758"/>
      <c r="T616" s="1762"/>
      <c r="U616" s="1762"/>
      <c r="V616" s="1762"/>
      <c r="W616" s="1762"/>
      <c r="X616" s="1750">
        <f t="shared" si="22"/>
        <v>902000</v>
      </c>
      <c r="Y616" s="175">
        <f t="shared" si="23"/>
        <v>0</v>
      </c>
    </row>
    <row r="617" spans="1:25" ht="30" x14ac:dyDescent="0.25">
      <c r="A617" s="32"/>
      <c r="B617" s="32"/>
      <c r="C617" s="32"/>
      <c r="D617" s="32"/>
      <c r="E617" s="32"/>
      <c r="F617" s="32"/>
      <c r="G617" s="1340" t="s">
        <v>2702</v>
      </c>
      <c r="H617" s="32" t="str">
        <f>'BID II'!B1706</f>
        <v>Belanja Upah</v>
      </c>
      <c r="I617" s="470">
        <f>'BID II'!F1709</f>
        <v>7345000</v>
      </c>
      <c r="J617" s="66" t="s">
        <v>2954</v>
      </c>
      <c r="K617" s="851" t="s">
        <v>3030</v>
      </c>
      <c r="L617" s="1753"/>
      <c r="M617" s="1753"/>
      <c r="N617" s="1753"/>
      <c r="O617" s="1753"/>
      <c r="P617" s="1758"/>
      <c r="Q617" s="1758"/>
      <c r="R617" s="1759">
        <v>7345000</v>
      </c>
      <c r="S617" s="1758"/>
      <c r="T617" s="1762"/>
      <c r="U617" s="1762"/>
      <c r="V617" s="1762"/>
      <c r="W617" s="1762"/>
      <c r="X617" s="1750">
        <f t="shared" si="22"/>
        <v>7345000</v>
      </c>
      <c r="Y617" s="175">
        <f t="shared" si="23"/>
        <v>0</v>
      </c>
    </row>
    <row r="618" spans="1:25" ht="30" x14ac:dyDescent="0.25">
      <c r="A618" s="32"/>
      <c r="B618" s="32"/>
      <c r="C618" s="32"/>
      <c r="D618" s="32"/>
      <c r="E618" s="32"/>
      <c r="F618" s="32"/>
      <c r="G618" s="1340" t="s">
        <v>2703</v>
      </c>
      <c r="H618" s="32" t="str">
        <f>'BID II'!B1710</f>
        <v>Bahan Baku</v>
      </c>
      <c r="I618" s="470">
        <f>'BID II'!F1714</f>
        <v>37758000</v>
      </c>
      <c r="J618" s="66" t="s">
        <v>2954</v>
      </c>
      <c r="K618" s="851" t="s">
        <v>3030</v>
      </c>
      <c r="L618" s="1753"/>
      <c r="M618" s="1753"/>
      <c r="N618" s="1753"/>
      <c r="O618" s="1753"/>
      <c r="P618" s="1758"/>
      <c r="Q618" s="1758"/>
      <c r="R618" s="1759">
        <v>37758000</v>
      </c>
      <c r="S618" s="1758"/>
      <c r="T618" s="1762"/>
      <c r="U618" s="1762"/>
      <c r="V618" s="1762"/>
      <c r="W618" s="1762"/>
      <c r="X618" s="1750">
        <f t="shared" si="22"/>
        <v>37758000</v>
      </c>
      <c r="Y618" s="175">
        <f t="shared" si="23"/>
        <v>0</v>
      </c>
    </row>
    <row r="619" spans="1:25" ht="60" x14ac:dyDescent="0.25">
      <c r="A619" s="1344">
        <v>2</v>
      </c>
      <c r="B619" s="1344">
        <v>3</v>
      </c>
      <c r="C619" s="1346" t="s">
        <v>2703</v>
      </c>
      <c r="D619" s="1344"/>
      <c r="E619" s="1344"/>
      <c r="F619" s="1344"/>
      <c r="G619" s="1346"/>
      <c r="H619" s="1345" t="str">
        <f>'BID II'!B1729</f>
        <v>: Pemeliharaan Jalan Usaha Tani (Subak pohmanis Pengecoran Beton)</v>
      </c>
      <c r="I619" s="1347">
        <f>SUM(I620:I624)</f>
        <v>58249000</v>
      </c>
      <c r="J619" s="1345" t="s">
        <v>1682</v>
      </c>
      <c r="K619" s="1796" t="s">
        <v>3030</v>
      </c>
      <c r="L619" s="1344"/>
      <c r="M619" s="1344"/>
      <c r="N619" s="1344"/>
      <c r="O619" s="1344"/>
      <c r="P619" s="1344"/>
      <c r="Q619" s="1344"/>
      <c r="R619" s="1344"/>
      <c r="S619" s="1344"/>
      <c r="T619" s="1344"/>
      <c r="U619" s="1344"/>
      <c r="V619" s="1344"/>
      <c r="W619" s="1344"/>
      <c r="X619" s="1353">
        <f t="shared" si="22"/>
        <v>0</v>
      </c>
      <c r="Y619" s="175">
        <f t="shared" si="23"/>
        <v>-58249000</v>
      </c>
    </row>
    <row r="620" spans="1:25" ht="30" x14ac:dyDescent="0.25">
      <c r="A620" s="32"/>
      <c r="B620" s="32"/>
      <c r="C620" s="32"/>
      <c r="D620" s="32">
        <v>5</v>
      </c>
      <c r="E620" s="32">
        <v>3</v>
      </c>
      <c r="F620" s="32"/>
      <c r="G620" s="1340"/>
      <c r="H620" s="66" t="str">
        <f>'BID II'!B1736</f>
        <v xml:space="preserve">Belanja Modal </v>
      </c>
      <c r="I620" s="470"/>
      <c r="J620" s="66"/>
      <c r="K620" s="851" t="s">
        <v>3030</v>
      </c>
      <c r="L620" s="1753"/>
      <c r="M620" s="1753"/>
      <c r="N620" s="1753"/>
      <c r="O620" s="1753"/>
      <c r="P620" s="1758"/>
      <c r="Q620" s="1758"/>
      <c r="R620" s="1758"/>
      <c r="S620" s="1758"/>
      <c r="T620" s="1762"/>
      <c r="U620" s="1762"/>
      <c r="V620" s="1762"/>
      <c r="W620" s="1762"/>
      <c r="X620" s="1750">
        <f t="shared" si="22"/>
        <v>0</v>
      </c>
      <c r="Y620" s="175">
        <f t="shared" si="23"/>
        <v>0</v>
      </c>
    </row>
    <row r="621" spans="1:25" ht="30" x14ac:dyDescent="0.25">
      <c r="A621" s="32"/>
      <c r="B621" s="32"/>
      <c r="C621" s="32"/>
      <c r="D621" s="32"/>
      <c r="E621" s="32"/>
      <c r="F621" s="32">
        <v>5</v>
      </c>
      <c r="G621" s="1340"/>
      <c r="H621" s="66" t="str">
        <f>'BID II'!B1737</f>
        <v>Belanja Modal Jalan</v>
      </c>
      <c r="I621" s="470"/>
      <c r="J621" s="66"/>
      <c r="K621" s="851" t="s">
        <v>3030</v>
      </c>
      <c r="L621" s="1753"/>
      <c r="M621" s="1753"/>
      <c r="N621" s="1753"/>
      <c r="O621" s="1753"/>
      <c r="P621" s="1758"/>
      <c r="Q621" s="1758"/>
      <c r="R621" s="1758"/>
      <c r="S621" s="1758"/>
      <c r="T621" s="1762"/>
      <c r="U621" s="1762"/>
      <c r="V621" s="1762"/>
      <c r="W621" s="1762"/>
      <c r="X621" s="1750">
        <f t="shared" si="22"/>
        <v>0</v>
      </c>
      <c r="Y621" s="175">
        <f t="shared" si="23"/>
        <v>0</v>
      </c>
    </row>
    <row r="622" spans="1:25" ht="30" x14ac:dyDescent="0.25">
      <c r="A622" s="32"/>
      <c r="B622" s="32"/>
      <c r="C622" s="32"/>
      <c r="D622" s="32"/>
      <c r="E622" s="32"/>
      <c r="F622" s="32"/>
      <c r="G622" s="1340" t="s">
        <v>2688</v>
      </c>
      <c r="H622" s="66" t="str">
        <f>'BID II'!B1738</f>
        <v>Honorarium Tim Yang Melaksanakan Kegiatan</v>
      </c>
      <c r="I622" s="470">
        <f>'BID II'!F1740</f>
        <v>1142000</v>
      </c>
      <c r="J622" s="66" t="s">
        <v>1682</v>
      </c>
      <c r="K622" s="851" t="s">
        <v>3030</v>
      </c>
      <c r="L622" s="1753"/>
      <c r="M622" s="1753"/>
      <c r="N622" s="1753"/>
      <c r="O622" s="1753"/>
      <c r="P622" s="1758"/>
      <c r="Q622" s="1758"/>
      <c r="R622" s="1759">
        <v>1142000</v>
      </c>
      <c r="S622" s="1758"/>
      <c r="T622" s="1762"/>
      <c r="U622" s="1762"/>
      <c r="V622" s="1762"/>
      <c r="W622" s="1762"/>
      <c r="X622" s="1750">
        <f t="shared" si="22"/>
        <v>1142000</v>
      </c>
      <c r="Y622" s="175">
        <f t="shared" si="23"/>
        <v>0</v>
      </c>
    </row>
    <row r="623" spans="1:25" ht="30" x14ac:dyDescent="0.25">
      <c r="A623" s="32"/>
      <c r="B623" s="32"/>
      <c r="C623" s="32"/>
      <c r="D623" s="32"/>
      <c r="E623" s="32"/>
      <c r="F623" s="32"/>
      <c r="G623" s="1340" t="s">
        <v>2702</v>
      </c>
      <c r="H623" s="32" t="str">
        <f>'BID II'!B1741</f>
        <v>Belanja Upah</v>
      </c>
      <c r="I623" s="470">
        <f>'BID II'!F1744</f>
        <v>4771000</v>
      </c>
      <c r="J623" s="66" t="s">
        <v>1682</v>
      </c>
      <c r="K623" s="851" t="s">
        <v>3030</v>
      </c>
      <c r="L623" s="1753"/>
      <c r="M623" s="1753"/>
      <c r="N623" s="1753"/>
      <c r="O623" s="1753"/>
      <c r="P623" s="1758"/>
      <c r="Q623" s="1758"/>
      <c r="R623" s="1759">
        <v>4771000</v>
      </c>
      <c r="S623" s="1758"/>
      <c r="T623" s="1762"/>
      <c r="U623" s="1762"/>
      <c r="V623" s="1762"/>
      <c r="W623" s="1762"/>
      <c r="X623" s="1750">
        <f t="shared" si="22"/>
        <v>4771000</v>
      </c>
      <c r="Y623" s="175">
        <f t="shared" si="23"/>
        <v>0</v>
      </c>
    </row>
    <row r="624" spans="1:25" ht="30" x14ac:dyDescent="0.25">
      <c r="A624" s="32"/>
      <c r="B624" s="32"/>
      <c r="C624" s="32"/>
      <c r="D624" s="32"/>
      <c r="E624" s="32"/>
      <c r="F624" s="32"/>
      <c r="G624" s="1340" t="s">
        <v>2703</v>
      </c>
      <c r="H624" s="32" t="str">
        <f>'BID II'!B1745</f>
        <v>Bahan Baku</v>
      </c>
      <c r="I624" s="470">
        <f>'BID II'!F1750</f>
        <v>52336000</v>
      </c>
      <c r="J624" s="66" t="s">
        <v>1682</v>
      </c>
      <c r="K624" s="851" t="s">
        <v>3030</v>
      </c>
      <c r="L624" s="1753"/>
      <c r="M624" s="1753"/>
      <c r="N624" s="1753"/>
      <c r="O624" s="1753"/>
      <c r="P624" s="1758"/>
      <c r="Q624" s="1758"/>
      <c r="R624" s="1759">
        <v>52336000</v>
      </c>
      <c r="S624" s="1758"/>
      <c r="T624" s="1762"/>
      <c r="U624" s="1762"/>
      <c r="V624" s="1762"/>
      <c r="W624" s="1762"/>
      <c r="X624" s="1750">
        <f t="shared" si="22"/>
        <v>52336000</v>
      </c>
      <c r="Y624" s="175">
        <f t="shared" si="23"/>
        <v>0</v>
      </c>
    </row>
    <row r="625" spans="1:25" ht="45" x14ac:dyDescent="0.25">
      <c r="A625" s="1344">
        <v>2</v>
      </c>
      <c r="B625" s="1344">
        <v>3</v>
      </c>
      <c r="C625" s="1346" t="s">
        <v>2703</v>
      </c>
      <c r="D625" s="1344"/>
      <c r="E625" s="1344"/>
      <c r="F625" s="1344"/>
      <c r="G625" s="1346"/>
      <c r="H625" s="1345" t="str">
        <f>'BID II'!B1765</f>
        <v>: Pemeliharaan Jalan Usaha Tani (Subak Pohmanis Bekisting)</v>
      </c>
      <c r="I625" s="1347">
        <f>SUM(I626:I630)</f>
        <v>67523250</v>
      </c>
      <c r="J625" s="1345" t="s">
        <v>1682</v>
      </c>
      <c r="K625" s="1796" t="s">
        <v>3030</v>
      </c>
      <c r="L625" s="1344"/>
      <c r="M625" s="1344"/>
      <c r="N625" s="1344"/>
      <c r="O625" s="1344"/>
      <c r="P625" s="1344"/>
      <c r="Q625" s="1344"/>
      <c r="R625" s="1344"/>
      <c r="S625" s="1344"/>
      <c r="T625" s="1344"/>
      <c r="U625" s="1344"/>
      <c r="V625" s="1344"/>
      <c r="W625" s="1344"/>
      <c r="X625" s="1353">
        <f t="shared" si="22"/>
        <v>0</v>
      </c>
      <c r="Y625" s="175">
        <f t="shared" si="23"/>
        <v>-67523250</v>
      </c>
    </row>
    <row r="626" spans="1:25" ht="30" x14ac:dyDescent="0.25">
      <c r="A626" s="32"/>
      <c r="B626" s="32"/>
      <c r="C626" s="32"/>
      <c r="D626" s="32">
        <v>5</v>
      </c>
      <c r="E626" s="32">
        <v>3</v>
      </c>
      <c r="F626" s="32"/>
      <c r="G626" s="1340"/>
      <c r="H626" s="66" t="str">
        <f>'BID II'!B1772</f>
        <v xml:space="preserve">Belanja Modal </v>
      </c>
      <c r="I626" s="470"/>
      <c r="J626" s="66"/>
      <c r="K626" s="851" t="s">
        <v>3030</v>
      </c>
      <c r="L626" s="1753"/>
      <c r="M626" s="1753"/>
      <c r="N626" s="1753"/>
      <c r="O626" s="1753"/>
      <c r="P626" s="1758"/>
      <c r="Q626" s="1758"/>
      <c r="R626" s="1758"/>
      <c r="S626" s="1758"/>
      <c r="T626" s="1762"/>
      <c r="U626" s="1762"/>
      <c r="V626" s="1762"/>
      <c r="W626" s="1762"/>
      <c r="X626" s="1750">
        <f t="shared" si="22"/>
        <v>0</v>
      </c>
      <c r="Y626" s="175">
        <f t="shared" si="23"/>
        <v>0</v>
      </c>
    </row>
    <row r="627" spans="1:25" ht="30" x14ac:dyDescent="0.25">
      <c r="A627" s="32"/>
      <c r="B627" s="32"/>
      <c r="C627" s="32"/>
      <c r="D627" s="32"/>
      <c r="E627" s="32"/>
      <c r="F627" s="32">
        <v>5</v>
      </c>
      <c r="G627" s="1340"/>
      <c r="H627" s="66" t="str">
        <f>'BID II'!B1773</f>
        <v>Belanja Modal Jalan</v>
      </c>
      <c r="I627" s="470"/>
      <c r="J627" s="66"/>
      <c r="K627" s="851" t="s">
        <v>3030</v>
      </c>
      <c r="L627" s="1753"/>
      <c r="M627" s="1753"/>
      <c r="N627" s="1753"/>
      <c r="O627" s="1753"/>
      <c r="P627" s="1758"/>
      <c r="Q627" s="1758"/>
      <c r="R627" s="1758"/>
      <c r="S627" s="1758"/>
      <c r="T627" s="1762"/>
      <c r="U627" s="1762"/>
      <c r="V627" s="1762"/>
      <c r="W627" s="1762"/>
      <c r="X627" s="1750">
        <f t="shared" si="22"/>
        <v>0</v>
      </c>
      <c r="Y627" s="175">
        <f t="shared" si="23"/>
        <v>0</v>
      </c>
    </row>
    <row r="628" spans="1:25" ht="30" x14ac:dyDescent="0.25">
      <c r="A628" s="32"/>
      <c r="B628" s="32"/>
      <c r="C628" s="32"/>
      <c r="D628" s="32"/>
      <c r="E628" s="32"/>
      <c r="F628" s="32"/>
      <c r="G628" s="1340" t="s">
        <v>2688</v>
      </c>
      <c r="H628" s="66" t="str">
        <f>'BID II'!B1774</f>
        <v>Honorarium Tim Yang Melaksanakan Kegiatan</v>
      </c>
      <c r="I628" s="470">
        <f>'BID II'!F1776</f>
        <v>1166750</v>
      </c>
      <c r="J628" s="66" t="s">
        <v>1682</v>
      </c>
      <c r="K628" s="851" t="s">
        <v>3030</v>
      </c>
      <c r="L628" s="1753"/>
      <c r="M628" s="1753"/>
      <c r="N628" s="1753"/>
      <c r="O628" s="1753"/>
      <c r="P628" s="1758"/>
      <c r="Q628" s="1758"/>
      <c r="R628" s="1759">
        <v>1166750</v>
      </c>
      <c r="S628" s="1758"/>
      <c r="T628" s="1762"/>
      <c r="U628" s="1762"/>
      <c r="V628" s="1762"/>
      <c r="W628" s="1762"/>
      <c r="X628" s="1750">
        <f t="shared" si="22"/>
        <v>1166750</v>
      </c>
      <c r="Y628" s="175">
        <f t="shared" si="23"/>
        <v>0</v>
      </c>
    </row>
    <row r="629" spans="1:25" ht="30" x14ac:dyDescent="0.25">
      <c r="A629" s="32"/>
      <c r="B629" s="32"/>
      <c r="C629" s="32"/>
      <c r="D629" s="32"/>
      <c r="E629" s="32"/>
      <c r="F629" s="32"/>
      <c r="G629" s="1340" t="s">
        <v>2702</v>
      </c>
      <c r="H629" s="32" t="str">
        <f>'BID II'!B1777</f>
        <v>Belanja Upah</v>
      </c>
      <c r="I629" s="470">
        <f>'BID II'!F1780</f>
        <v>5356000</v>
      </c>
      <c r="J629" s="66" t="s">
        <v>1682</v>
      </c>
      <c r="K629" s="851" t="s">
        <v>3030</v>
      </c>
      <c r="L629" s="1753"/>
      <c r="M629" s="1753"/>
      <c r="N629" s="1753"/>
      <c r="O629" s="1753"/>
      <c r="P629" s="1758"/>
      <c r="Q629" s="1758"/>
      <c r="R629" s="1759">
        <v>5356000</v>
      </c>
      <c r="S629" s="1758"/>
      <c r="T629" s="1762"/>
      <c r="U629" s="1762"/>
      <c r="V629" s="1762"/>
      <c r="W629" s="1762"/>
      <c r="X629" s="1750">
        <f t="shared" si="22"/>
        <v>5356000</v>
      </c>
      <c r="Y629" s="175">
        <f t="shared" si="23"/>
        <v>0</v>
      </c>
    </row>
    <row r="630" spans="1:25" ht="30" x14ac:dyDescent="0.25">
      <c r="A630" s="32"/>
      <c r="B630" s="32"/>
      <c r="C630" s="32"/>
      <c r="D630" s="32"/>
      <c r="E630" s="32"/>
      <c r="F630" s="32"/>
      <c r="G630" s="1340" t="s">
        <v>2703</v>
      </c>
      <c r="H630" s="32" t="str">
        <f>'BID II'!B1781</f>
        <v>Bahan Baku</v>
      </c>
      <c r="I630" s="470">
        <f>'BID II'!F1788</f>
        <v>61000500</v>
      </c>
      <c r="J630" s="66" t="s">
        <v>1682</v>
      </c>
      <c r="K630" s="851" t="s">
        <v>3030</v>
      </c>
      <c r="L630" s="1753"/>
      <c r="M630" s="1753"/>
      <c r="N630" s="1753"/>
      <c r="O630" s="1753"/>
      <c r="P630" s="1758"/>
      <c r="Q630" s="1758"/>
      <c r="R630" s="1759">
        <v>61000500</v>
      </c>
      <c r="S630" s="1758"/>
      <c r="T630" s="1762"/>
      <c r="U630" s="1762"/>
      <c r="V630" s="1762"/>
      <c r="W630" s="1762"/>
      <c r="X630" s="1750">
        <f t="shared" si="22"/>
        <v>61000500</v>
      </c>
      <c r="Y630" s="175">
        <f t="shared" si="23"/>
        <v>0</v>
      </c>
    </row>
    <row r="631" spans="1:25" ht="60" x14ac:dyDescent="0.25">
      <c r="A631" s="1344">
        <v>2</v>
      </c>
      <c r="B631" s="1344">
        <v>3</v>
      </c>
      <c r="C631" s="1346" t="s">
        <v>2703</v>
      </c>
      <c r="D631" s="1344"/>
      <c r="E631" s="1344"/>
      <c r="F631" s="1344"/>
      <c r="G631" s="1346"/>
      <c r="H631" s="1345" t="str">
        <f>'BID II'!B1806</f>
        <v>: Pemeliharaan Jalan Usaha Tani (Subak Pohmanis Perbaikan Senderan Batu Kali)</v>
      </c>
      <c r="I631" s="1347">
        <f>SUM(I632:I636)</f>
        <v>18685000</v>
      </c>
      <c r="J631" s="1345" t="s">
        <v>1682</v>
      </c>
      <c r="K631" s="1796" t="s">
        <v>3030</v>
      </c>
      <c r="L631" s="1344"/>
      <c r="M631" s="1344"/>
      <c r="N631" s="1344"/>
      <c r="O631" s="1344"/>
      <c r="P631" s="1344"/>
      <c r="Q631" s="1344"/>
      <c r="R631" s="1344"/>
      <c r="S631" s="1344"/>
      <c r="T631" s="1344"/>
      <c r="U631" s="1344"/>
      <c r="V631" s="1344"/>
      <c r="W631" s="1344"/>
      <c r="X631" s="1353">
        <f t="shared" si="22"/>
        <v>0</v>
      </c>
      <c r="Y631" s="175">
        <f t="shared" si="23"/>
        <v>-18685000</v>
      </c>
    </row>
    <row r="632" spans="1:25" ht="30" x14ac:dyDescent="0.25">
      <c r="A632" s="32"/>
      <c r="B632" s="32"/>
      <c r="C632" s="32"/>
      <c r="D632" s="32">
        <v>5</v>
      </c>
      <c r="E632" s="32">
        <v>3</v>
      </c>
      <c r="F632" s="32"/>
      <c r="G632" s="1340"/>
      <c r="H632" s="32" t="str">
        <f>'BID II'!B1813</f>
        <v xml:space="preserve">Belanja Modal </v>
      </c>
      <c r="I632" s="470"/>
      <c r="J632" s="66"/>
      <c r="K632" s="851" t="s">
        <v>3030</v>
      </c>
      <c r="L632" s="1753"/>
      <c r="M632" s="1753"/>
      <c r="N632" s="1753"/>
      <c r="O632" s="1753"/>
      <c r="P632" s="1758"/>
      <c r="Q632" s="1758"/>
      <c r="R632" s="1758"/>
      <c r="S632" s="1758"/>
      <c r="T632" s="1762"/>
      <c r="U632" s="1762"/>
      <c r="V632" s="1762"/>
      <c r="W632" s="1762"/>
      <c r="X632" s="1750">
        <f t="shared" si="22"/>
        <v>0</v>
      </c>
      <c r="Y632" s="175">
        <f t="shared" si="23"/>
        <v>0</v>
      </c>
    </row>
    <row r="633" spans="1:25" ht="30" x14ac:dyDescent="0.25">
      <c r="A633" s="32"/>
      <c r="B633" s="32"/>
      <c r="C633" s="32"/>
      <c r="D633" s="32"/>
      <c r="E633" s="32"/>
      <c r="F633" s="32">
        <v>5</v>
      </c>
      <c r="G633" s="1340"/>
      <c r="H633" s="32" t="str">
        <f>'BID II'!B1814</f>
        <v>Belanja Modal Jalan</v>
      </c>
      <c r="I633" s="470"/>
      <c r="J633" s="66"/>
      <c r="K633" s="851" t="s">
        <v>3030</v>
      </c>
      <c r="L633" s="1753"/>
      <c r="M633" s="1753"/>
      <c r="N633" s="1753"/>
      <c r="O633" s="1753"/>
      <c r="P633" s="1758"/>
      <c r="Q633" s="1758"/>
      <c r="R633" s="1758"/>
      <c r="S633" s="1758"/>
      <c r="T633" s="1762"/>
      <c r="U633" s="1762"/>
      <c r="V633" s="1762"/>
      <c r="W633" s="1762"/>
      <c r="X633" s="1750">
        <f t="shared" si="22"/>
        <v>0</v>
      </c>
      <c r="Y633" s="175">
        <f t="shared" si="23"/>
        <v>0</v>
      </c>
    </row>
    <row r="634" spans="1:25" ht="30" x14ac:dyDescent="0.25">
      <c r="A634" s="32"/>
      <c r="B634" s="32"/>
      <c r="C634" s="32"/>
      <c r="D634" s="32"/>
      <c r="E634" s="32"/>
      <c r="F634" s="32"/>
      <c r="G634" s="1340" t="s">
        <v>2688</v>
      </c>
      <c r="H634" s="66" t="str">
        <f>'BID II'!B1815</f>
        <v>Honorarium Tim Yang Melaksanakan Kegiatan</v>
      </c>
      <c r="I634" s="470">
        <f>'BID II'!F1817</f>
        <v>464000</v>
      </c>
      <c r="J634" s="66" t="s">
        <v>1682</v>
      </c>
      <c r="K634" s="851" t="s">
        <v>3030</v>
      </c>
      <c r="L634" s="1753"/>
      <c r="M634" s="1753"/>
      <c r="N634" s="1753"/>
      <c r="O634" s="1753"/>
      <c r="P634" s="1758"/>
      <c r="Q634" s="1758"/>
      <c r="R634" s="1759">
        <v>464000</v>
      </c>
      <c r="S634" s="1758"/>
      <c r="T634" s="1762"/>
      <c r="U634" s="1762"/>
      <c r="V634" s="1762"/>
      <c r="W634" s="1762"/>
      <c r="X634" s="1750">
        <f t="shared" si="22"/>
        <v>464000</v>
      </c>
      <c r="Y634" s="175">
        <f t="shared" si="23"/>
        <v>0</v>
      </c>
    </row>
    <row r="635" spans="1:25" ht="30" x14ac:dyDescent="0.25">
      <c r="A635" s="32"/>
      <c r="B635" s="32"/>
      <c r="C635" s="32"/>
      <c r="D635" s="32"/>
      <c r="E635" s="32"/>
      <c r="F635" s="32"/>
      <c r="G635" s="1340" t="s">
        <v>2702</v>
      </c>
      <c r="H635" s="32" t="str">
        <f>'BID II'!B1818</f>
        <v>Belanja Upah</v>
      </c>
      <c r="I635" s="470">
        <f>'BID II'!F1821</f>
        <v>3770000</v>
      </c>
      <c r="J635" s="66" t="s">
        <v>1682</v>
      </c>
      <c r="K635" s="851" t="s">
        <v>3030</v>
      </c>
      <c r="L635" s="1753"/>
      <c r="M635" s="1753"/>
      <c r="N635" s="1753"/>
      <c r="O635" s="1753"/>
      <c r="P635" s="1758"/>
      <c r="Q635" s="1758"/>
      <c r="R635" s="1759">
        <v>3770000</v>
      </c>
      <c r="S635" s="1758"/>
      <c r="T635" s="1762"/>
      <c r="U635" s="1762"/>
      <c r="V635" s="1762"/>
      <c r="W635" s="1762"/>
      <c r="X635" s="1750">
        <f t="shared" si="22"/>
        <v>3770000</v>
      </c>
      <c r="Y635" s="175">
        <f t="shared" si="23"/>
        <v>0</v>
      </c>
    </row>
    <row r="636" spans="1:25" ht="30" x14ac:dyDescent="0.25">
      <c r="A636" s="32"/>
      <c r="B636" s="32"/>
      <c r="C636" s="32"/>
      <c r="D636" s="32"/>
      <c r="E636" s="32"/>
      <c r="F636" s="32"/>
      <c r="G636" s="1340" t="s">
        <v>2703</v>
      </c>
      <c r="H636" s="32" t="str">
        <f>'BID II'!B1822</f>
        <v>Bahan Baku</v>
      </c>
      <c r="I636" s="470">
        <f>'BID II'!F1827</f>
        <v>14451000</v>
      </c>
      <c r="J636" s="66" t="s">
        <v>1682</v>
      </c>
      <c r="K636" s="851" t="s">
        <v>3030</v>
      </c>
      <c r="L636" s="1753"/>
      <c r="M636" s="1753"/>
      <c r="N636" s="1753"/>
      <c r="O636" s="1753"/>
      <c r="P636" s="1758"/>
      <c r="Q636" s="1758"/>
      <c r="R636" s="1759">
        <v>14451000</v>
      </c>
      <c r="S636" s="1758"/>
      <c r="T636" s="1762"/>
      <c r="U636" s="1762"/>
      <c r="V636" s="1762"/>
      <c r="W636" s="1762"/>
      <c r="X636" s="1750">
        <f t="shared" si="22"/>
        <v>14451000</v>
      </c>
      <c r="Y636" s="175">
        <f t="shared" si="23"/>
        <v>0</v>
      </c>
    </row>
    <row r="637" spans="1:25" ht="105" x14ac:dyDescent="0.25">
      <c r="A637" s="1344">
        <v>2</v>
      </c>
      <c r="B637" s="1344">
        <v>3</v>
      </c>
      <c r="C637" s="1346" t="s">
        <v>2706</v>
      </c>
      <c r="D637" s="1344"/>
      <c r="E637" s="1344"/>
      <c r="F637" s="1344"/>
      <c r="G637" s="1346"/>
      <c r="H637" s="1345" t="str">
        <f>'BID II'!B1843</f>
        <v>: Pemeliharaan Prasarana Jalan Desa (Pembersihan saluran air untuk kelancaran pertanian dan gorong-gorong (PKTD MURNI Ketahanan Pangan)</v>
      </c>
      <c r="I637" s="1347">
        <f>I640</f>
        <v>23100000</v>
      </c>
      <c r="J637" s="1345" t="s">
        <v>2387</v>
      </c>
      <c r="K637" s="1796" t="s">
        <v>3030</v>
      </c>
      <c r="L637" s="1344"/>
      <c r="M637" s="1344"/>
      <c r="N637" s="1344"/>
      <c r="O637" s="1344"/>
      <c r="P637" s="1344"/>
      <c r="Q637" s="1344"/>
      <c r="R637" s="1344"/>
      <c r="S637" s="1344"/>
      <c r="T637" s="1344"/>
      <c r="U637" s="1344"/>
      <c r="V637" s="1344"/>
      <c r="W637" s="1344"/>
      <c r="X637" s="1353">
        <f t="shared" si="22"/>
        <v>0</v>
      </c>
      <c r="Y637" s="175">
        <f t="shared" si="23"/>
        <v>-23100000</v>
      </c>
    </row>
    <row r="638" spans="1:25" ht="30" x14ac:dyDescent="0.25">
      <c r="A638" s="32"/>
      <c r="B638" s="32"/>
      <c r="C638" s="32"/>
      <c r="D638" s="32">
        <v>5</v>
      </c>
      <c r="E638" s="32">
        <v>3</v>
      </c>
      <c r="F638" s="32"/>
      <c r="G638" s="1340"/>
      <c r="H638" s="32" t="str">
        <f>'BID II'!B1849</f>
        <v>Belanja Modal</v>
      </c>
      <c r="I638" s="470"/>
      <c r="J638" s="66"/>
      <c r="K638" s="851" t="s">
        <v>3030</v>
      </c>
      <c r="L638" s="1753"/>
      <c r="M638" s="1753"/>
      <c r="N638" s="1753"/>
      <c r="O638" s="1753"/>
      <c r="P638" s="1758"/>
      <c r="Q638" s="1758"/>
      <c r="R638" s="1758"/>
      <c r="S638" s="1758"/>
      <c r="T638" s="1762"/>
      <c r="U638" s="1762"/>
      <c r="V638" s="1762"/>
      <c r="W638" s="1762"/>
      <c r="X638" s="1750">
        <f t="shared" si="22"/>
        <v>0</v>
      </c>
      <c r="Y638" s="175">
        <f t="shared" si="23"/>
        <v>0</v>
      </c>
    </row>
    <row r="639" spans="1:25" ht="30" x14ac:dyDescent="0.25">
      <c r="A639" s="32"/>
      <c r="B639" s="32"/>
      <c r="C639" s="32"/>
      <c r="D639" s="32">
        <v>5</v>
      </c>
      <c r="E639" s="32">
        <v>3</v>
      </c>
      <c r="F639" s="32">
        <v>7</v>
      </c>
      <c r="G639" s="1340"/>
      <c r="H639" s="32" t="str">
        <f>'BID II'!B1850</f>
        <v>Belanja Modal Irigasi</v>
      </c>
      <c r="I639" s="470"/>
      <c r="J639" s="66"/>
      <c r="K639" s="851" t="s">
        <v>3030</v>
      </c>
      <c r="L639" s="1753"/>
      <c r="M639" s="1753"/>
      <c r="N639" s="1753"/>
      <c r="O639" s="1753"/>
      <c r="P639" s="1758"/>
      <c r="Q639" s="1758"/>
      <c r="R639" s="1758"/>
      <c r="S639" s="1758"/>
      <c r="T639" s="1762"/>
      <c r="U639" s="1762"/>
      <c r="V639" s="1762"/>
      <c r="W639" s="1762"/>
      <c r="X639" s="1750">
        <f t="shared" si="22"/>
        <v>0</v>
      </c>
      <c r="Y639" s="175">
        <f t="shared" si="23"/>
        <v>0</v>
      </c>
    </row>
    <row r="640" spans="1:25" ht="30" x14ac:dyDescent="0.25">
      <c r="A640" s="32"/>
      <c r="B640" s="32"/>
      <c r="C640" s="32"/>
      <c r="D640" s="32">
        <v>5</v>
      </c>
      <c r="E640" s="32">
        <v>3</v>
      </c>
      <c r="F640" s="32">
        <v>7</v>
      </c>
      <c r="G640" s="1340" t="s">
        <v>2702</v>
      </c>
      <c r="H640" s="32" t="str">
        <f>'BID II'!B1851</f>
        <v>Belanja Upah PKTD</v>
      </c>
      <c r="I640" s="470">
        <f>'BID II'!F1852</f>
        <v>23100000</v>
      </c>
      <c r="J640" s="66" t="s">
        <v>2387</v>
      </c>
      <c r="K640" s="851" t="s">
        <v>3030</v>
      </c>
      <c r="L640" s="1753"/>
      <c r="M640" s="1753"/>
      <c r="N640" s="1754">
        <v>7700000</v>
      </c>
      <c r="O640" s="1753"/>
      <c r="P640" s="1758"/>
      <c r="Q640" s="1758"/>
      <c r="R640" s="1754">
        <v>7700000</v>
      </c>
      <c r="S640" s="1758"/>
      <c r="T640" s="1762"/>
      <c r="U640" s="1754">
        <v>7700000</v>
      </c>
      <c r="V640" s="1762"/>
      <c r="W640" s="1762"/>
      <c r="X640" s="1750">
        <f t="shared" si="22"/>
        <v>23100000</v>
      </c>
      <c r="Y640" s="175">
        <f t="shared" si="23"/>
        <v>0</v>
      </c>
    </row>
    <row r="641" spans="1:25" ht="90" x14ac:dyDescent="0.25">
      <c r="A641" s="1344">
        <v>2</v>
      </c>
      <c r="B641" s="1344">
        <v>3</v>
      </c>
      <c r="C641" s="1346" t="s">
        <v>2703</v>
      </c>
      <c r="D641" s="1344"/>
      <c r="E641" s="1344"/>
      <c r="F641" s="1344"/>
      <c r="G641" s="1344"/>
      <c r="H641" s="1345" t="str">
        <f>'BID II'!B1871</f>
        <v>: Pembangunan Jalan Usaha Tani KETAHANAN PANGAN (Subak Temaga Munduk Ngancang Perbaikan Senderan Batu Kali)</v>
      </c>
      <c r="I641" s="1347">
        <f>SUM(I642:I646)</f>
        <v>385503000</v>
      </c>
      <c r="J641" s="1345"/>
      <c r="K641" s="1796" t="s">
        <v>3030</v>
      </c>
      <c r="L641" s="1344"/>
      <c r="M641" s="1344"/>
      <c r="N641" s="1344"/>
      <c r="O641" s="1344"/>
      <c r="P641" s="1344"/>
      <c r="Q641" s="1344"/>
      <c r="R641" s="1344"/>
      <c r="S641" s="1344"/>
      <c r="T641" s="1344"/>
      <c r="U641" s="1344"/>
      <c r="V641" s="1344"/>
      <c r="W641" s="1344"/>
      <c r="X641" s="1353">
        <f t="shared" si="22"/>
        <v>0</v>
      </c>
      <c r="Y641" s="175">
        <f t="shared" si="23"/>
        <v>-385503000</v>
      </c>
    </row>
    <row r="642" spans="1:25" ht="30" x14ac:dyDescent="0.25">
      <c r="A642" s="32"/>
      <c r="B642" s="32"/>
      <c r="C642" s="32"/>
      <c r="D642" s="32">
        <v>5</v>
      </c>
      <c r="E642" s="32">
        <v>3</v>
      </c>
      <c r="F642" s="32"/>
      <c r="G642" s="32"/>
      <c r="H642" s="66" t="str">
        <f>'BID II'!B1878</f>
        <v xml:space="preserve">Belanja Modal </v>
      </c>
      <c r="I642" s="32"/>
      <c r="J642" s="66"/>
      <c r="K642" s="851" t="s">
        <v>3030</v>
      </c>
      <c r="L642" s="1753"/>
      <c r="M642" s="1753"/>
      <c r="N642" s="1753"/>
      <c r="O642" s="1753"/>
      <c r="P642" s="1758"/>
      <c r="Q642" s="1758"/>
      <c r="R642" s="1758"/>
      <c r="S642" s="1758"/>
      <c r="T642" s="1762"/>
      <c r="U642" s="1762"/>
      <c r="V642" s="1762"/>
      <c r="W642" s="1762"/>
      <c r="X642" s="1750">
        <f t="shared" si="22"/>
        <v>0</v>
      </c>
      <c r="Y642" s="175">
        <f t="shared" si="23"/>
        <v>0</v>
      </c>
    </row>
    <row r="643" spans="1:25" ht="30" x14ac:dyDescent="0.25">
      <c r="A643" s="32"/>
      <c r="B643" s="32"/>
      <c r="C643" s="32"/>
      <c r="D643" s="32"/>
      <c r="E643" s="32"/>
      <c r="F643" s="32">
        <v>5</v>
      </c>
      <c r="G643" s="32"/>
      <c r="H643" s="66" t="str">
        <f>'BID II'!B1879</f>
        <v>Belanja Modal Jalan</v>
      </c>
      <c r="I643" s="32"/>
      <c r="J643" s="66"/>
      <c r="K643" s="851" t="s">
        <v>3030</v>
      </c>
      <c r="L643" s="1753"/>
      <c r="M643" s="1753"/>
      <c r="N643" s="1753"/>
      <c r="O643" s="1753"/>
      <c r="P643" s="1758"/>
      <c r="Q643" s="1758"/>
      <c r="R643" s="1758"/>
      <c r="S643" s="1758"/>
      <c r="T643" s="1762"/>
      <c r="U643" s="1762"/>
      <c r="V643" s="1762"/>
      <c r="W643" s="1762"/>
      <c r="X643" s="1750">
        <f t="shared" si="22"/>
        <v>0</v>
      </c>
      <c r="Y643" s="175">
        <f t="shared" si="23"/>
        <v>0</v>
      </c>
    </row>
    <row r="644" spans="1:25" ht="30" x14ac:dyDescent="0.25">
      <c r="A644" s="32"/>
      <c r="B644" s="32"/>
      <c r="C644" s="32"/>
      <c r="D644" s="32"/>
      <c r="E644" s="32"/>
      <c r="F644" s="32"/>
      <c r="G644" s="1340" t="s">
        <v>2688</v>
      </c>
      <c r="H644" s="66" t="str">
        <f>'BID II'!B1880</f>
        <v>Honorarium Tim Yang Melaksanakan Kegiatan</v>
      </c>
      <c r="I644" s="470">
        <f>'BID II'!F1882</f>
        <v>1917000</v>
      </c>
      <c r="J644" s="66" t="s">
        <v>2626</v>
      </c>
      <c r="K644" s="851" t="s">
        <v>3030</v>
      </c>
      <c r="L644" s="1753"/>
      <c r="M644" s="1753"/>
      <c r="N644" s="1753"/>
      <c r="O644" s="1754">
        <v>1917000</v>
      </c>
      <c r="P644" s="1758"/>
      <c r="Q644" s="1758"/>
      <c r="R644" s="1758"/>
      <c r="S644" s="1758"/>
      <c r="T644" s="1762"/>
      <c r="U644" s="1762"/>
      <c r="V644" s="1762"/>
      <c r="W644" s="1762"/>
      <c r="X644" s="1750">
        <f t="shared" si="22"/>
        <v>1917000</v>
      </c>
      <c r="Y644" s="175">
        <f t="shared" si="23"/>
        <v>0</v>
      </c>
    </row>
    <row r="645" spans="1:25" ht="30" x14ac:dyDescent="0.25">
      <c r="A645" s="32"/>
      <c r="B645" s="32"/>
      <c r="C645" s="32"/>
      <c r="D645" s="32"/>
      <c r="E645" s="32"/>
      <c r="F645" s="32"/>
      <c r="G645" s="1340" t="s">
        <v>2702</v>
      </c>
      <c r="H645" s="32" t="str">
        <f>'BID II'!B1883</f>
        <v>Belanja Upah</v>
      </c>
      <c r="I645" s="470">
        <f>'BID II'!F1886</f>
        <v>95667000</v>
      </c>
      <c r="J645" s="66" t="s">
        <v>2626</v>
      </c>
      <c r="K645" s="851" t="s">
        <v>3030</v>
      </c>
      <c r="L645" s="1753"/>
      <c r="M645" s="1753"/>
      <c r="N645" s="1753"/>
      <c r="O645" s="1754">
        <v>95667000</v>
      </c>
      <c r="P645" s="1758"/>
      <c r="Q645" s="1758"/>
      <c r="R645" s="1758"/>
      <c r="S645" s="1758"/>
      <c r="T645" s="1762"/>
      <c r="U645" s="1762"/>
      <c r="V645" s="1762"/>
      <c r="W645" s="1762"/>
      <c r="X645" s="1750">
        <f t="shared" si="22"/>
        <v>95667000</v>
      </c>
      <c r="Y645" s="175">
        <f t="shared" si="23"/>
        <v>0</v>
      </c>
    </row>
    <row r="646" spans="1:25" ht="30" x14ac:dyDescent="0.25">
      <c r="A646" s="32"/>
      <c r="B646" s="32"/>
      <c r="C646" s="32"/>
      <c r="D646" s="32"/>
      <c r="E646" s="32"/>
      <c r="F646" s="32"/>
      <c r="G646" s="1340" t="s">
        <v>2703</v>
      </c>
      <c r="H646" s="32" t="str">
        <f>'BID II'!B1887</f>
        <v>Bahan Baku</v>
      </c>
      <c r="I646" s="470">
        <f>'BID II'!F1892</f>
        <v>287919000</v>
      </c>
      <c r="J646" s="66" t="s">
        <v>1682</v>
      </c>
      <c r="K646" s="851" t="s">
        <v>3030</v>
      </c>
      <c r="L646" s="1753"/>
      <c r="M646" s="1753"/>
      <c r="N646" s="1753"/>
      <c r="O646" s="1754">
        <v>287919000</v>
      </c>
      <c r="P646" s="1758"/>
      <c r="Q646" s="1758"/>
      <c r="R646" s="1758"/>
      <c r="S646" s="1758"/>
      <c r="T646" s="1762"/>
      <c r="U646" s="1762"/>
      <c r="V646" s="1762"/>
      <c r="W646" s="1762"/>
      <c r="X646" s="1750">
        <f t="shared" si="22"/>
        <v>287919000</v>
      </c>
      <c r="Y646" s="175">
        <f t="shared" si="23"/>
        <v>0</v>
      </c>
    </row>
    <row r="647" spans="1:25" ht="75" x14ac:dyDescent="0.25">
      <c r="A647" s="1344">
        <v>2</v>
      </c>
      <c r="B647" s="1344">
        <v>3</v>
      </c>
      <c r="C647" s="1346" t="s">
        <v>2703</v>
      </c>
      <c r="D647" s="1344"/>
      <c r="E647" s="1344"/>
      <c r="F647" s="1344"/>
      <c r="G647" s="1344"/>
      <c r="H647" s="1345" t="str">
        <f>'BID II'!B1908</f>
        <v>: Pembangunan Jalan Usaha Tani KETAHANAN PANGAN(Subak Temaga Munduk Ngancang Urug Limestone)</v>
      </c>
      <c r="I647" s="1347">
        <f>SUM(I648:I653)</f>
        <v>67743000</v>
      </c>
      <c r="J647" s="1345" t="s">
        <v>2625</v>
      </c>
      <c r="K647" s="1796" t="s">
        <v>3030</v>
      </c>
      <c r="L647" s="1344"/>
      <c r="M647" s="1344"/>
      <c r="N647" s="1344"/>
      <c r="O647" s="1344"/>
      <c r="P647" s="1344"/>
      <c r="Q647" s="1344"/>
      <c r="R647" s="1344"/>
      <c r="S647" s="1344"/>
      <c r="T647" s="1344"/>
      <c r="U647" s="1344"/>
      <c r="V647" s="1344"/>
      <c r="W647" s="1344"/>
      <c r="X647" s="1353">
        <f t="shared" si="22"/>
        <v>0</v>
      </c>
      <c r="Y647" s="175">
        <f t="shared" si="23"/>
        <v>-67743000</v>
      </c>
    </row>
    <row r="648" spans="1:25" ht="30" x14ac:dyDescent="0.25">
      <c r="A648" s="32"/>
      <c r="B648" s="32"/>
      <c r="C648" s="32"/>
      <c r="D648" s="32">
        <v>5</v>
      </c>
      <c r="E648" s="32">
        <v>3</v>
      </c>
      <c r="F648" s="32"/>
      <c r="G648" s="32"/>
      <c r="H648" s="66" t="str">
        <f>'BID II'!B1991</f>
        <v xml:space="preserve">Belanja Modal </v>
      </c>
      <c r="I648" s="470"/>
      <c r="J648" s="66"/>
      <c r="K648" s="851" t="s">
        <v>3030</v>
      </c>
      <c r="L648" s="1753"/>
      <c r="M648" s="1753"/>
      <c r="N648" s="1753"/>
      <c r="O648" s="1753"/>
      <c r="P648" s="1758"/>
      <c r="Q648" s="1758"/>
      <c r="R648" s="1758"/>
      <c r="S648" s="1758"/>
      <c r="T648" s="1762"/>
      <c r="U648" s="1762"/>
      <c r="V648" s="1762"/>
      <c r="W648" s="1762"/>
      <c r="X648" s="1750">
        <f t="shared" si="22"/>
        <v>0</v>
      </c>
      <c r="Y648" s="175">
        <f t="shared" si="23"/>
        <v>0</v>
      </c>
    </row>
    <row r="649" spans="1:25" ht="30" x14ac:dyDescent="0.25">
      <c r="A649" s="32"/>
      <c r="B649" s="32"/>
      <c r="C649" s="32"/>
      <c r="D649" s="32"/>
      <c r="E649" s="32"/>
      <c r="F649" s="32">
        <v>5</v>
      </c>
      <c r="G649" s="32"/>
      <c r="H649" s="66" t="str">
        <f>'BID II'!B1992</f>
        <v>Belanja Modal Jalan</v>
      </c>
      <c r="I649" s="470"/>
      <c r="J649" s="66"/>
      <c r="K649" s="851" t="s">
        <v>3030</v>
      </c>
      <c r="L649" s="1753"/>
      <c r="M649" s="1753"/>
      <c r="N649" s="1753"/>
      <c r="O649" s="1753"/>
      <c r="P649" s="1758"/>
      <c r="Q649" s="1758"/>
      <c r="R649" s="1758"/>
      <c r="S649" s="1758"/>
      <c r="T649" s="1762"/>
      <c r="U649" s="1762"/>
      <c r="V649" s="1762"/>
      <c r="W649" s="1762"/>
      <c r="X649" s="1750">
        <f t="shared" si="22"/>
        <v>0</v>
      </c>
      <c r="Y649" s="175">
        <f t="shared" si="23"/>
        <v>0</v>
      </c>
    </row>
    <row r="650" spans="1:25" ht="30" x14ac:dyDescent="0.25">
      <c r="A650" s="32"/>
      <c r="B650" s="32"/>
      <c r="C650" s="32"/>
      <c r="D650" s="32"/>
      <c r="E650" s="32"/>
      <c r="F650" s="32"/>
      <c r="G650" s="1340" t="s">
        <v>2688</v>
      </c>
      <c r="H650" s="66" t="str">
        <f>'BID II'!B1993</f>
        <v>Honorarium Tim Yang Melaksanakan Kegiatan</v>
      </c>
      <c r="I650" s="470">
        <f>'BID II'!F1919</f>
        <v>1425000</v>
      </c>
      <c r="J650" s="66" t="s">
        <v>2625</v>
      </c>
      <c r="K650" s="851" t="s">
        <v>3030</v>
      </c>
      <c r="L650" s="1753"/>
      <c r="M650" s="1753"/>
      <c r="N650" s="1753"/>
      <c r="O650" s="1754">
        <v>1425000</v>
      </c>
      <c r="P650" s="1758"/>
      <c r="Q650" s="1758"/>
      <c r="R650" s="1758"/>
      <c r="S650" s="1758"/>
      <c r="T650" s="1762"/>
      <c r="U650" s="1762"/>
      <c r="V650" s="1762"/>
      <c r="W650" s="1762"/>
      <c r="X650" s="1750">
        <f t="shared" si="22"/>
        <v>1425000</v>
      </c>
      <c r="Y650" s="175">
        <f t="shared" si="23"/>
        <v>0</v>
      </c>
    </row>
    <row r="651" spans="1:25" ht="30" x14ac:dyDescent="0.25">
      <c r="A651" s="32"/>
      <c r="B651" s="32"/>
      <c r="C651" s="32"/>
      <c r="D651" s="32"/>
      <c r="E651" s="32"/>
      <c r="F651" s="32"/>
      <c r="G651" s="1340" t="s">
        <v>2702</v>
      </c>
      <c r="H651" s="32" t="str">
        <f>'BID II'!B1996</f>
        <v>Belanja Upah</v>
      </c>
      <c r="I651" s="470">
        <f>'BID II'!F1922</f>
        <v>20670000</v>
      </c>
      <c r="J651" s="66" t="s">
        <v>2625</v>
      </c>
      <c r="K651" s="851" t="s">
        <v>3030</v>
      </c>
      <c r="L651" s="1753"/>
      <c r="M651" s="1753"/>
      <c r="N651" s="1753"/>
      <c r="O651" s="1754">
        <v>20670000</v>
      </c>
      <c r="P651" s="1758"/>
      <c r="Q651" s="1758"/>
      <c r="R651" s="1758"/>
      <c r="S651" s="1758"/>
      <c r="T651" s="1762"/>
      <c r="U651" s="1762"/>
      <c r="V651" s="1762"/>
      <c r="W651" s="1762"/>
      <c r="X651" s="1750">
        <f t="shared" si="22"/>
        <v>20670000</v>
      </c>
      <c r="Y651" s="175">
        <f t="shared" si="23"/>
        <v>0</v>
      </c>
    </row>
    <row r="652" spans="1:25" ht="30" x14ac:dyDescent="0.25">
      <c r="A652" s="32"/>
      <c r="B652" s="32"/>
      <c r="C652" s="32"/>
      <c r="D652" s="32"/>
      <c r="E652" s="32"/>
      <c r="F652" s="32"/>
      <c r="G652" s="1340" t="s">
        <v>2703</v>
      </c>
      <c r="H652" s="32" t="str">
        <f>'BID II'!B2000</f>
        <v>Bahan Baku</v>
      </c>
      <c r="I652" s="470">
        <f>'BID II'!F1926</f>
        <v>44148000</v>
      </c>
      <c r="J652" s="66" t="s">
        <v>2625</v>
      </c>
      <c r="K652" s="851" t="s">
        <v>3030</v>
      </c>
      <c r="L652" s="1753"/>
      <c r="M652" s="1753"/>
      <c r="N652" s="1753"/>
      <c r="O652" s="1754">
        <v>44148000</v>
      </c>
      <c r="P652" s="1758"/>
      <c r="Q652" s="1758"/>
      <c r="R652" s="1758"/>
      <c r="S652" s="1758"/>
      <c r="T652" s="1762"/>
      <c r="U652" s="1762"/>
      <c r="V652" s="1762"/>
      <c r="W652" s="1762"/>
      <c r="X652" s="1750">
        <f t="shared" si="22"/>
        <v>44148000</v>
      </c>
      <c r="Y652" s="175">
        <f t="shared" si="23"/>
        <v>0</v>
      </c>
    </row>
    <row r="653" spans="1:25" ht="30" x14ac:dyDescent="0.25">
      <c r="A653" s="32"/>
      <c r="B653" s="32"/>
      <c r="C653" s="32"/>
      <c r="D653" s="32"/>
      <c r="E653" s="32"/>
      <c r="F653" s="32"/>
      <c r="G653" s="1340" t="s">
        <v>2704</v>
      </c>
      <c r="H653" s="32" t="str">
        <f>'BID II'!B1927</f>
        <v>Sewa Alat</v>
      </c>
      <c r="I653" s="470">
        <f>'BID II'!F1929</f>
        <v>1500000</v>
      </c>
      <c r="J653" s="66" t="s">
        <v>2625</v>
      </c>
      <c r="K653" s="851" t="s">
        <v>3030</v>
      </c>
      <c r="L653" s="1753"/>
      <c r="M653" s="1753"/>
      <c r="N653" s="1753"/>
      <c r="O653" s="1754">
        <v>1500000</v>
      </c>
      <c r="P653" s="1758"/>
      <c r="Q653" s="1758"/>
      <c r="R653" s="1758"/>
      <c r="S653" s="1758"/>
      <c r="T653" s="1762"/>
      <c r="U653" s="1762"/>
      <c r="V653" s="1762"/>
      <c r="W653" s="1762"/>
      <c r="X653" s="1750">
        <f t="shared" si="22"/>
        <v>1500000</v>
      </c>
      <c r="Y653" s="175">
        <f t="shared" si="23"/>
        <v>0</v>
      </c>
    </row>
    <row r="654" spans="1:25" ht="75" x14ac:dyDescent="0.25">
      <c r="A654" s="1344">
        <v>2</v>
      </c>
      <c r="B654" s="1344">
        <v>3</v>
      </c>
      <c r="C654" s="1346" t="s">
        <v>2703</v>
      </c>
      <c r="D654" s="1344"/>
      <c r="E654" s="1344"/>
      <c r="F654" s="1344"/>
      <c r="G654" s="1344"/>
      <c r="H654" s="1345" t="str">
        <f>'BID II'!B1945</f>
        <v>: Pembangunan Jalan Usaha Tani KETAHANAN PANGAN(Subak Temaga Munduk Ngancang Pemavingan)</v>
      </c>
      <c r="I654" s="1347">
        <f>SUM(I655:I659)</f>
        <v>331798000</v>
      </c>
      <c r="J654" s="1345" t="s">
        <v>2387</v>
      </c>
      <c r="K654" s="1796" t="s">
        <v>3030</v>
      </c>
      <c r="L654" s="1344"/>
      <c r="M654" s="1344"/>
      <c r="N654" s="1344"/>
      <c r="O654" s="1344"/>
      <c r="P654" s="1344"/>
      <c r="Q654" s="1344"/>
      <c r="R654" s="1344"/>
      <c r="S654" s="1344"/>
      <c r="T654" s="1344"/>
      <c r="U654" s="1344"/>
      <c r="V654" s="1344"/>
      <c r="W654" s="1344"/>
      <c r="X654" s="1353">
        <f t="shared" si="22"/>
        <v>0</v>
      </c>
      <c r="Y654" s="175">
        <f t="shared" si="23"/>
        <v>-331798000</v>
      </c>
    </row>
    <row r="655" spans="1:25" ht="30" x14ac:dyDescent="0.25">
      <c r="A655" s="32"/>
      <c r="B655" s="32"/>
      <c r="C655" s="32"/>
      <c r="D655" s="32">
        <v>5</v>
      </c>
      <c r="E655" s="32">
        <v>3</v>
      </c>
      <c r="F655" s="32"/>
      <c r="G655" s="32"/>
      <c r="H655" s="66" t="str">
        <f>'BID II'!B1952</f>
        <v xml:space="preserve">Belanja Modal </v>
      </c>
      <c r="I655" s="470"/>
      <c r="J655" s="66"/>
      <c r="K655" s="851" t="s">
        <v>3030</v>
      </c>
      <c r="L655" s="1753"/>
      <c r="M655" s="1753"/>
      <c r="N655" s="1753"/>
      <c r="O655" s="1753"/>
      <c r="P655" s="1758"/>
      <c r="Q655" s="1758"/>
      <c r="R655" s="1758"/>
      <c r="S655" s="1758"/>
      <c r="T655" s="1762"/>
      <c r="U655" s="1762"/>
      <c r="V655" s="1762"/>
      <c r="W655" s="1762"/>
      <c r="X655" s="1750">
        <f t="shared" si="22"/>
        <v>0</v>
      </c>
      <c r="Y655" s="175">
        <f t="shared" si="23"/>
        <v>0</v>
      </c>
    </row>
    <row r="656" spans="1:25" ht="30" x14ac:dyDescent="0.25">
      <c r="A656" s="32"/>
      <c r="B656" s="32"/>
      <c r="C656" s="32"/>
      <c r="D656" s="32"/>
      <c r="E656" s="32"/>
      <c r="F656" s="32">
        <v>5</v>
      </c>
      <c r="G656" s="32"/>
      <c r="H656" s="66" t="str">
        <f>'BID II'!B1953</f>
        <v>Belanja Modal Jalan</v>
      </c>
      <c r="I656" s="470"/>
      <c r="J656" s="66"/>
      <c r="K656" s="851" t="s">
        <v>3030</v>
      </c>
      <c r="L656" s="1753"/>
      <c r="M656" s="1753"/>
      <c r="N656" s="1753"/>
      <c r="O656" s="1753"/>
      <c r="P656" s="1758"/>
      <c r="Q656" s="1758"/>
      <c r="R656" s="1758"/>
      <c r="S656" s="1758"/>
      <c r="T656" s="1762"/>
      <c r="U656" s="1762"/>
      <c r="V656" s="1762"/>
      <c r="W656" s="1762"/>
      <c r="X656" s="1750">
        <f t="shared" si="22"/>
        <v>0</v>
      </c>
      <c r="Y656" s="175">
        <f t="shared" si="23"/>
        <v>0</v>
      </c>
    </row>
    <row r="657" spans="1:25" ht="30" x14ac:dyDescent="0.25">
      <c r="A657" s="32"/>
      <c r="B657" s="32"/>
      <c r="C657" s="32"/>
      <c r="D657" s="32"/>
      <c r="E657" s="32"/>
      <c r="F657" s="32"/>
      <c r="G657" s="1340" t="s">
        <v>2688</v>
      </c>
      <c r="H657" s="66" t="str">
        <f>'BID II'!B1954</f>
        <v>Honorarium Tim Yang Melaksanakan Kegiatan</v>
      </c>
      <c r="I657" s="470">
        <f>'BID II'!F1956</f>
        <v>1650000</v>
      </c>
      <c r="J657" s="66" t="s">
        <v>2387</v>
      </c>
      <c r="K657" s="851" t="s">
        <v>3030</v>
      </c>
      <c r="L657" s="1753"/>
      <c r="M657" s="1753"/>
      <c r="N657" s="1753"/>
      <c r="O657" s="1754">
        <v>1650000</v>
      </c>
      <c r="P657" s="1758"/>
      <c r="Q657" s="1758"/>
      <c r="R657" s="1758"/>
      <c r="S657" s="1758"/>
      <c r="T657" s="1762"/>
      <c r="U657" s="1762"/>
      <c r="V657" s="1762"/>
      <c r="W657" s="1762"/>
      <c r="X657" s="1750">
        <f t="shared" si="22"/>
        <v>1650000</v>
      </c>
      <c r="Y657" s="175">
        <f t="shared" si="23"/>
        <v>0</v>
      </c>
    </row>
    <row r="658" spans="1:25" ht="30" x14ac:dyDescent="0.25">
      <c r="A658" s="32"/>
      <c r="B658" s="32"/>
      <c r="C658" s="32"/>
      <c r="D658" s="32"/>
      <c r="E658" s="32"/>
      <c r="F658" s="32"/>
      <c r="G658" s="1340" t="s">
        <v>2702</v>
      </c>
      <c r="H658" s="32" t="str">
        <f>'BID II'!B1957:B1957</f>
        <v>Belanja Upah</v>
      </c>
      <c r="I658" s="470">
        <f>'BID II'!F1960</f>
        <v>52078000</v>
      </c>
      <c r="J658" s="66" t="s">
        <v>2387</v>
      </c>
      <c r="K658" s="851" t="s">
        <v>3030</v>
      </c>
      <c r="L658" s="1753"/>
      <c r="M658" s="1753"/>
      <c r="N658" s="1753"/>
      <c r="O658" s="1754">
        <v>52078000</v>
      </c>
      <c r="P658" s="1758"/>
      <c r="Q658" s="1758"/>
      <c r="R658" s="1758"/>
      <c r="S658" s="1758"/>
      <c r="T658" s="1762"/>
      <c r="U658" s="1762"/>
      <c r="V658" s="1762"/>
      <c r="W658" s="1762"/>
      <c r="X658" s="1750">
        <f t="shared" si="22"/>
        <v>52078000</v>
      </c>
      <c r="Y658" s="175">
        <f t="shared" si="23"/>
        <v>0</v>
      </c>
    </row>
    <row r="659" spans="1:25" ht="30" x14ac:dyDescent="0.25">
      <c r="A659" s="32"/>
      <c r="B659" s="32"/>
      <c r="C659" s="32"/>
      <c r="D659" s="32"/>
      <c r="E659" s="32"/>
      <c r="F659" s="32"/>
      <c r="G659" s="1340" t="s">
        <v>2703</v>
      </c>
      <c r="H659" s="32" t="str">
        <f>'BID II'!B1961</f>
        <v>Bahan Baku</v>
      </c>
      <c r="I659" s="470">
        <f>'BID II'!F1968</f>
        <v>278070000</v>
      </c>
      <c r="J659" s="66" t="s">
        <v>2387</v>
      </c>
      <c r="K659" s="851" t="s">
        <v>3030</v>
      </c>
      <c r="L659" s="1753"/>
      <c r="M659" s="1753"/>
      <c r="N659" s="1753"/>
      <c r="O659" s="1754">
        <v>278070000</v>
      </c>
      <c r="P659" s="1758"/>
      <c r="Q659" s="1758"/>
      <c r="R659" s="1758"/>
      <c r="S659" s="1758"/>
      <c r="T659" s="1762"/>
      <c r="U659" s="1762"/>
      <c r="V659" s="1762"/>
      <c r="W659" s="1762"/>
      <c r="X659" s="1750">
        <f t="shared" si="22"/>
        <v>278070000</v>
      </c>
      <c r="Y659" s="175">
        <f t="shared" si="23"/>
        <v>0</v>
      </c>
    </row>
    <row r="660" spans="1:25" ht="75" x14ac:dyDescent="0.25">
      <c r="A660" s="1344">
        <v>2</v>
      </c>
      <c r="B660" s="1344">
        <v>3</v>
      </c>
      <c r="C660" s="1346" t="s">
        <v>2703</v>
      </c>
      <c r="D660" s="1344"/>
      <c r="E660" s="1344"/>
      <c r="F660" s="1344"/>
      <c r="G660" s="1344"/>
      <c r="H660" s="1345" t="str">
        <f>'BID II'!B1984</f>
        <v>: Pembangunan Jalan Usaha Tani (Subak Temaga Munduk Ngancang Perbaikan Senderan Batu Kali)</v>
      </c>
      <c r="I660" s="1347">
        <f>SUM(I661:I665)</f>
        <v>18184000</v>
      </c>
      <c r="J660" s="1345" t="s">
        <v>2625</v>
      </c>
      <c r="K660" s="1796" t="s">
        <v>3030</v>
      </c>
      <c r="L660" s="1344"/>
      <c r="M660" s="1344"/>
      <c r="N660" s="1344"/>
      <c r="O660" s="1344"/>
      <c r="P660" s="1344"/>
      <c r="Q660" s="1344"/>
      <c r="R660" s="1344"/>
      <c r="S660" s="1344"/>
      <c r="T660" s="1344"/>
      <c r="U660" s="1344"/>
      <c r="V660" s="1344"/>
      <c r="W660" s="1344"/>
      <c r="X660" s="1353">
        <f t="shared" si="22"/>
        <v>0</v>
      </c>
      <c r="Y660" s="175">
        <f t="shared" si="23"/>
        <v>-18184000</v>
      </c>
    </row>
    <row r="661" spans="1:25" ht="30" x14ac:dyDescent="0.25">
      <c r="A661" s="32"/>
      <c r="B661" s="32"/>
      <c r="C661" s="32"/>
      <c r="D661" s="32">
        <v>5</v>
      </c>
      <c r="E661" s="32">
        <v>3</v>
      </c>
      <c r="F661" s="32"/>
      <c r="G661" s="32"/>
      <c r="H661" s="66" t="str">
        <f>'BID II'!B1991</f>
        <v xml:space="preserve">Belanja Modal </v>
      </c>
      <c r="I661" s="470"/>
      <c r="J661" s="66"/>
      <c r="K661" s="851" t="s">
        <v>3030</v>
      </c>
      <c r="L661" s="1753"/>
      <c r="M661" s="1753"/>
      <c r="N661" s="1753"/>
      <c r="O661" s="1753"/>
      <c r="P661" s="1758"/>
      <c r="Q661" s="1758"/>
      <c r="R661" s="1758"/>
      <c r="S661" s="1758"/>
      <c r="T661" s="1762"/>
      <c r="U661" s="1762"/>
      <c r="V661" s="1762"/>
      <c r="W661" s="1762"/>
      <c r="X661" s="1750">
        <f t="shared" si="22"/>
        <v>0</v>
      </c>
      <c r="Y661" s="175">
        <f t="shared" si="23"/>
        <v>0</v>
      </c>
    </row>
    <row r="662" spans="1:25" ht="30" x14ac:dyDescent="0.25">
      <c r="A662" s="32"/>
      <c r="B662" s="32"/>
      <c r="C662" s="32"/>
      <c r="D662" s="32"/>
      <c r="E662" s="32"/>
      <c r="F662" s="32">
        <v>5</v>
      </c>
      <c r="G662" s="32"/>
      <c r="H662" s="66" t="str">
        <f>'BID II'!B1992</f>
        <v>Belanja Modal Jalan</v>
      </c>
      <c r="I662" s="470"/>
      <c r="J662" s="66"/>
      <c r="K662" s="851" t="s">
        <v>3030</v>
      </c>
      <c r="L662" s="1753"/>
      <c r="M662" s="1753"/>
      <c r="N662" s="1753"/>
      <c r="O662" s="1753"/>
      <c r="P662" s="1758"/>
      <c r="Q662" s="1758"/>
      <c r="R662" s="1758"/>
      <c r="S662" s="1758"/>
      <c r="T662" s="1762"/>
      <c r="U662" s="1762"/>
      <c r="V662" s="1762"/>
      <c r="W662" s="1762"/>
      <c r="X662" s="1750">
        <f t="shared" si="22"/>
        <v>0</v>
      </c>
      <c r="Y662" s="175">
        <f t="shared" si="23"/>
        <v>0</v>
      </c>
    </row>
    <row r="663" spans="1:25" ht="30" x14ac:dyDescent="0.25">
      <c r="A663" s="32"/>
      <c r="B663" s="32"/>
      <c r="C663" s="32"/>
      <c r="D663" s="32"/>
      <c r="E663" s="32"/>
      <c r="F663" s="32"/>
      <c r="G663" s="1340" t="s">
        <v>2688</v>
      </c>
      <c r="H663" s="66" t="str">
        <f>'BID II'!B1993</f>
        <v>Honorarium Tim Yang Melaksanakan Kegiatan</v>
      </c>
      <c r="I663" s="470">
        <f>'BID II'!F1995</f>
        <v>356000</v>
      </c>
      <c r="J663" s="66" t="s">
        <v>2625</v>
      </c>
      <c r="K663" s="851" t="s">
        <v>3030</v>
      </c>
      <c r="L663" s="1753"/>
      <c r="M663" s="1753"/>
      <c r="N663" s="1753"/>
      <c r="O663" s="1754">
        <v>356000</v>
      </c>
      <c r="P663" s="1758"/>
      <c r="Q663" s="1758"/>
      <c r="R663" s="1758"/>
      <c r="S663" s="1758"/>
      <c r="T663" s="1762"/>
      <c r="U663" s="1762"/>
      <c r="V663" s="1762"/>
      <c r="W663" s="1762"/>
      <c r="X663" s="1750">
        <f t="shared" si="22"/>
        <v>356000</v>
      </c>
      <c r="Y663" s="175">
        <f t="shared" si="23"/>
        <v>0</v>
      </c>
    </row>
    <row r="664" spans="1:25" ht="30" x14ac:dyDescent="0.25">
      <c r="A664" s="32"/>
      <c r="B664" s="32"/>
      <c r="C664" s="32"/>
      <c r="D664" s="32"/>
      <c r="E664" s="32"/>
      <c r="F664" s="32"/>
      <c r="G664" s="1340" t="s">
        <v>2702</v>
      </c>
      <c r="H664" s="32" t="str">
        <f>'BID II'!B1996</f>
        <v>Belanja Upah</v>
      </c>
      <c r="I664" s="470">
        <f>'BID II'!F1999</f>
        <v>3627000</v>
      </c>
      <c r="J664" s="66" t="s">
        <v>2625</v>
      </c>
      <c r="K664" s="851" t="s">
        <v>3030</v>
      </c>
      <c r="L664" s="1753"/>
      <c r="M664" s="1753"/>
      <c r="N664" s="1753"/>
      <c r="O664" s="1754">
        <v>3627000</v>
      </c>
      <c r="P664" s="1758"/>
      <c r="Q664" s="1758"/>
      <c r="R664" s="1758"/>
      <c r="S664" s="1758"/>
      <c r="T664" s="1762"/>
      <c r="U664" s="1762"/>
      <c r="V664" s="1762"/>
      <c r="W664" s="1762"/>
      <c r="X664" s="1750">
        <f t="shared" si="22"/>
        <v>3627000</v>
      </c>
      <c r="Y664" s="175">
        <f t="shared" si="23"/>
        <v>0</v>
      </c>
    </row>
    <row r="665" spans="1:25" ht="30" x14ac:dyDescent="0.25">
      <c r="A665" s="32"/>
      <c r="B665" s="32"/>
      <c r="C665" s="32"/>
      <c r="D665" s="32"/>
      <c r="E665" s="32"/>
      <c r="F665" s="32"/>
      <c r="G665" s="1340" t="s">
        <v>2703</v>
      </c>
      <c r="H665" s="32" t="str">
        <f>'BID II'!B2000</f>
        <v>Bahan Baku</v>
      </c>
      <c r="I665" s="470">
        <f>'BID II'!F2005</f>
        <v>14201000</v>
      </c>
      <c r="J665" s="66" t="s">
        <v>2625</v>
      </c>
      <c r="K665" s="851" t="s">
        <v>3030</v>
      </c>
      <c r="L665" s="1753"/>
      <c r="M665" s="1753"/>
      <c r="N665" s="1753"/>
      <c r="O665" s="1754">
        <v>14201000</v>
      </c>
      <c r="P665" s="1758"/>
      <c r="Q665" s="1758"/>
      <c r="R665" s="1758"/>
      <c r="S665" s="1758"/>
      <c r="T665" s="1762"/>
      <c r="U665" s="1762"/>
      <c r="V665" s="1762"/>
      <c r="W665" s="1762"/>
      <c r="X665" s="1750">
        <f t="shared" si="22"/>
        <v>14201000</v>
      </c>
      <c r="Y665" s="175">
        <f t="shared" si="23"/>
        <v>0</v>
      </c>
    </row>
    <row r="666" spans="1:25" ht="30" x14ac:dyDescent="0.25">
      <c r="A666" s="1344">
        <v>2</v>
      </c>
      <c r="B666" s="1344">
        <v>4</v>
      </c>
      <c r="C666" s="1346" t="s">
        <v>2708</v>
      </c>
      <c r="D666" s="1344"/>
      <c r="E666" s="1344"/>
      <c r="F666" s="1344"/>
      <c r="G666" s="1344"/>
      <c r="H666" s="1345" t="str">
        <f>'BID II'!B2024</f>
        <v>: Kegiatan Pengelolaan Sampah Tingkat Desa</v>
      </c>
      <c r="I666" s="1353">
        <f>SUM(I667:I700)</f>
        <v>670230300</v>
      </c>
      <c r="J666" s="1345"/>
      <c r="K666" s="1796" t="s">
        <v>3030</v>
      </c>
      <c r="L666" s="1344"/>
      <c r="M666" s="1344"/>
      <c r="N666" s="1344"/>
      <c r="O666" s="1344"/>
      <c r="P666" s="1344"/>
      <c r="Q666" s="1344"/>
      <c r="R666" s="1344"/>
      <c r="S666" s="1344"/>
      <c r="T666" s="1344"/>
      <c r="U666" s="1344"/>
      <c r="V666" s="1344"/>
      <c r="W666" s="1344"/>
      <c r="X666" s="1353">
        <f t="shared" ref="X666:X729" si="24">SUM(L666:W666)</f>
        <v>0</v>
      </c>
      <c r="Y666" s="175">
        <f t="shared" ref="Y666:Y729" si="25">X666-I666</f>
        <v>-670230300</v>
      </c>
    </row>
    <row r="667" spans="1:25" ht="30" x14ac:dyDescent="0.25">
      <c r="A667" s="32"/>
      <c r="B667" s="32"/>
      <c r="C667" s="32"/>
      <c r="D667" s="32">
        <v>5</v>
      </c>
      <c r="E667" s="32">
        <v>2</v>
      </c>
      <c r="F667" s="32"/>
      <c r="G667" s="32"/>
      <c r="H667" s="66" t="str">
        <f>'BID II'!B2029</f>
        <v xml:space="preserve">Belanja Barang dan Jasa </v>
      </c>
      <c r="I667" s="470"/>
      <c r="J667" s="66"/>
      <c r="K667" s="851" t="s">
        <v>3030</v>
      </c>
      <c r="L667" s="1753"/>
      <c r="M667" s="1753"/>
      <c r="N667" s="1753"/>
      <c r="O667" s="1753"/>
      <c r="P667" s="1758"/>
      <c r="Q667" s="1758"/>
      <c r="R667" s="1758"/>
      <c r="S667" s="1758"/>
      <c r="T667" s="1762"/>
      <c r="U667" s="1762"/>
      <c r="V667" s="1762"/>
      <c r="W667" s="1762"/>
      <c r="X667" s="1750">
        <f t="shared" si="24"/>
        <v>0</v>
      </c>
      <c r="Y667" s="175">
        <f t="shared" si="25"/>
        <v>0</v>
      </c>
    </row>
    <row r="668" spans="1:25" ht="30" x14ac:dyDescent="0.25">
      <c r="A668" s="32"/>
      <c r="B668" s="32"/>
      <c r="C668" s="32"/>
      <c r="D668" s="32"/>
      <c r="E668" s="32"/>
      <c r="F668" s="32">
        <v>1</v>
      </c>
      <c r="G668" s="32"/>
      <c r="H668" s="66" t="str">
        <f>'BID II'!B2030</f>
        <v>Belanja Barang perlengkapan</v>
      </c>
      <c r="I668" s="470"/>
      <c r="J668" s="66"/>
      <c r="K668" s="851" t="s">
        <v>3030</v>
      </c>
      <c r="L668" s="1753"/>
      <c r="M668" s="1753"/>
      <c r="N668" s="1753"/>
      <c r="O668" s="1753"/>
      <c r="P668" s="1758"/>
      <c r="Q668" s="1758"/>
      <c r="R668" s="1758"/>
      <c r="S668" s="1758"/>
      <c r="T668" s="1762"/>
      <c r="U668" s="1762"/>
      <c r="V668" s="1762"/>
      <c r="W668" s="1762"/>
      <c r="X668" s="1750">
        <f t="shared" si="24"/>
        <v>0</v>
      </c>
      <c r="Y668" s="175">
        <f t="shared" si="25"/>
        <v>0</v>
      </c>
    </row>
    <row r="669" spans="1:25" ht="60" x14ac:dyDescent="0.25">
      <c r="A669" s="32"/>
      <c r="B669" s="32"/>
      <c r="C669" s="32"/>
      <c r="D669" s="32"/>
      <c r="E669" s="32"/>
      <c r="F669" s="32"/>
      <c r="G669" s="1340" t="s">
        <v>2704</v>
      </c>
      <c r="H669" s="66" t="str">
        <f>'BID II'!B2031</f>
        <v>Belanja bahan bakar minyak/ gas/ isi ulang tabung pemadam kebakaran</v>
      </c>
      <c r="I669" s="470">
        <f>SUM('BID II'!F2032+'BID II'!F2034+'BID II'!F2037)</f>
        <v>81600000</v>
      </c>
      <c r="J669" s="66" t="s">
        <v>1682</v>
      </c>
      <c r="K669" s="851" t="s">
        <v>3030</v>
      </c>
      <c r="L669" s="1754"/>
      <c r="M669" s="1753"/>
      <c r="N669" s="1753"/>
      <c r="O669" s="1753"/>
      <c r="P669" s="1758"/>
      <c r="Q669" s="1758"/>
      <c r="R669" s="1759">
        <v>13600000</v>
      </c>
      <c r="S669" s="1759">
        <v>13600000</v>
      </c>
      <c r="T669" s="1763">
        <v>13600000</v>
      </c>
      <c r="U669" s="1763">
        <v>13600000</v>
      </c>
      <c r="V669" s="1763">
        <v>13600000</v>
      </c>
      <c r="W669" s="1763">
        <v>13600000</v>
      </c>
      <c r="X669" s="1750">
        <f t="shared" si="24"/>
        <v>81600000</v>
      </c>
      <c r="Y669" s="175">
        <f t="shared" si="25"/>
        <v>0</v>
      </c>
    </row>
    <row r="670" spans="1:25" ht="60" x14ac:dyDescent="0.25">
      <c r="A670" s="32"/>
      <c r="B670" s="32"/>
      <c r="C670" s="32"/>
      <c r="D670" s="32"/>
      <c r="E670" s="32"/>
      <c r="F670" s="32"/>
      <c r="G670" s="1340" t="s">
        <v>2704</v>
      </c>
      <c r="H670" s="66" t="str">
        <f>'BID II'!B2031</f>
        <v>Belanja bahan bakar minyak/ gas/ isi ulang tabung pemadam kebakaran</v>
      </c>
      <c r="I670" s="470">
        <f>'BID II'!F2033+'BID II'!F2035</f>
        <v>28200000</v>
      </c>
      <c r="J670" s="66" t="s">
        <v>2626</v>
      </c>
      <c r="K670" s="851" t="s">
        <v>3030</v>
      </c>
      <c r="L670" s="1754">
        <v>4700000</v>
      </c>
      <c r="M670" s="1754">
        <v>4700000</v>
      </c>
      <c r="N670" s="1754">
        <v>4700000</v>
      </c>
      <c r="O670" s="1754">
        <v>4700000</v>
      </c>
      <c r="P670" s="1754">
        <v>4700000</v>
      </c>
      <c r="Q670" s="1754">
        <v>4700000</v>
      </c>
      <c r="R670" s="1758"/>
      <c r="S670" s="1758"/>
      <c r="T670" s="1762"/>
      <c r="U670" s="1762"/>
      <c r="V670" s="1762"/>
      <c r="W670" s="1762"/>
      <c r="X670" s="1750">
        <f t="shared" si="24"/>
        <v>28200000</v>
      </c>
      <c r="Y670" s="175">
        <f t="shared" si="25"/>
        <v>0</v>
      </c>
    </row>
    <row r="671" spans="1:25" ht="30" x14ac:dyDescent="0.25">
      <c r="A671" s="32"/>
      <c r="B671" s="32"/>
      <c r="C671" s="32"/>
      <c r="D671" s="32"/>
      <c r="E671" s="32"/>
      <c r="F671" s="32"/>
      <c r="G671" s="1340" t="s">
        <v>2706</v>
      </c>
      <c r="H671" s="66" t="str">
        <f>'BID II'!B2038</f>
        <v>Belanja perlengkapan Cetak</v>
      </c>
      <c r="I671" s="470">
        <f>SUM('BID II'!F2039:F2041)</f>
        <v>5750000</v>
      </c>
      <c r="J671" s="66" t="s">
        <v>1682</v>
      </c>
      <c r="K671" s="851" t="s">
        <v>3030</v>
      </c>
      <c r="L671" s="1753"/>
      <c r="M671" s="1753"/>
      <c r="N671" s="1753"/>
      <c r="O671" s="1754">
        <v>5750000</v>
      </c>
      <c r="P671" s="1758"/>
      <c r="Q671" s="1758"/>
      <c r="R671" s="1758"/>
      <c r="S671" s="1758"/>
      <c r="T671" s="1762"/>
      <c r="U671" s="1762"/>
      <c r="V671" s="1762"/>
      <c r="W671" s="1762"/>
      <c r="X671" s="1750">
        <f t="shared" si="24"/>
        <v>5750000</v>
      </c>
      <c r="Y671" s="175">
        <f t="shared" si="25"/>
        <v>0</v>
      </c>
    </row>
    <row r="672" spans="1:25" ht="30" x14ac:dyDescent="0.25">
      <c r="A672" s="32"/>
      <c r="B672" s="32"/>
      <c r="C672" s="32"/>
      <c r="D672" s="32"/>
      <c r="E672" s="32"/>
      <c r="F672" s="32"/>
      <c r="G672" s="1340" t="s">
        <v>2708</v>
      </c>
      <c r="H672" s="66" t="str">
        <f>'BID II'!B2042</f>
        <v>Belanja Bahan Dan Alat</v>
      </c>
      <c r="I672" s="470">
        <f>'BID II'!F2043+'BID II'!F2045+'BID II'!F2046+'BID II'!F2047+'BID II'!F2048+'BID II'!F2049+'BID II'!F2050+'BID II'!F2051+'BID II'!F2052+'BID II'!F2053+'BID II'!F2054+'BID II'!F2055</f>
        <v>43854600</v>
      </c>
      <c r="J672" s="66" t="s">
        <v>1682</v>
      </c>
      <c r="K672" s="851" t="s">
        <v>3030</v>
      </c>
      <c r="L672" s="1753"/>
      <c r="M672" s="1753"/>
      <c r="N672" s="1753"/>
      <c r="O672" s="1754">
        <v>14618200</v>
      </c>
      <c r="P672" s="1758"/>
      <c r="Q672" s="1758"/>
      <c r="R672" s="1758"/>
      <c r="S672" s="1754">
        <v>14618200</v>
      </c>
      <c r="T672" s="1762"/>
      <c r="U672" s="1762"/>
      <c r="V672" s="1754">
        <v>14618200</v>
      </c>
      <c r="W672" s="1762"/>
      <c r="X672" s="1750">
        <f t="shared" si="24"/>
        <v>43854600</v>
      </c>
      <c r="Y672" s="175">
        <f t="shared" si="25"/>
        <v>0</v>
      </c>
    </row>
    <row r="673" spans="1:25" ht="30" x14ac:dyDescent="0.25">
      <c r="A673" s="32"/>
      <c r="B673" s="32"/>
      <c r="C673" s="32"/>
      <c r="D673" s="32"/>
      <c r="E673" s="32"/>
      <c r="F673" s="32"/>
      <c r="G673" s="1340" t="s">
        <v>2708</v>
      </c>
      <c r="H673" s="66" t="str">
        <f>'BID II'!B2042</f>
        <v>Belanja Bahan Dan Alat</v>
      </c>
      <c r="I673" s="470">
        <f>'BID II'!F2044</f>
        <v>63360000</v>
      </c>
      <c r="J673" s="66" t="s">
        <v>1690</v>
      </c>
      <c r="K673" s="851" t="s">
        <v>3030</v>
      </c>
      <c r="L673" s="1753"/>
      <c r="M673" s="1753"/>
      <c r="N673" s="1753"/>
      <c r="O673" s="1754">
        <v>21120000</v>
      </c>
      <c r="P673" s="1758"/>
      <c r="Q673" s="1758"/>
      <c r="R673" s="1758"/>
      <c r="S673" s="1754">
        <v>21120000</v>
      </c>
      <c r="T673" s="1762"/>
      <c r="U673" s="1762"/>
      <c r="V673" s="1754">
        <v>21120000</v>
      </c>
      <c r="W673" s="1762"/>
      <c r="X673" s="1750">
        <f t="shared" si="24"/>
        <v>63360000</v>
      </c>
      <c r="Y673" s="175">
        <f t="shared" si="25"/>
        <v>0</v>
      </c>
    </row>
    <row r="674" spans="1:25" ht="30" x14ac:dyDescent="0.25">
      <c r="A674" s="32"/>
      <c r="B674" s="32"/>
      <c r="C674" s="32"/>
      <c r="D674" s="32"/>
      <c r="E674" s="32"/>
      <c r="F674" s="32"/>
      <c r="G674" s="32">
        <v>90</v>
      </c>
      <c r="H674" s="66" t="str">
        <f>'BID II'!B2056</f>
        <v>Belanja Upakara, Upacara dan aci</v>
      </c>
      <c r="I674" s="470">
        <f>SUM('BID II'!F2058:F2060)</f>
        <v>8475000</v>
      </c>
      <c r="J674" s="66" t="s">
        <v>1682</v>
      </c>
      <c r="K674" s="851" t="s">
        <v>3030</v>
      </c>
      <c r="L674" s="1754">
        <v>706250</v>
      </c>
      <c r="M674" s="1754">
        <v>706250</v>
      </c>
      <c r="N674" s="1754">
        <v>706250</v>
      </c>
      <c r="O674" s="1754">
        <v>706250</v>
      </c>
      <c r="P674" s="1754">
        <v>706250</v>
      </c>
      <c r="Q674" s="1754">
        <v>706250</v>
      </c>
      <c r="R674" s="1754">
        <v>706250</v>
      </c>
      <c r="S674" s="1754">
        <v>706250</v>
      </c>
      <c r="T674" s="1754">
        <v>706250</v>
      </c>
      <c r="U674" s="1754">
        <v>706250</v>
      </c>
      <c r="V674" s="1754">
        <v>706250</v>
      </c>
      <c r="W674" s="1754">
        <v>706250</v>
      </c>
      <c r="X674" s="1750">
        <f t="shared" si="24"/>
        <v>8475000</v>
      </c>
      <c r="Y674" s="175">
        <f t="shared" si="25"/>
        <v>0</v>
      </c>
    </row>
    <row r="675" spans="1:25" ht="30" x14ac:dyDescent="0.25">
      <c r="A675" s="32"/>
      <c r="B675" s="32"/>
      <c r="C675" s="32"/>
      <c r="D675" s="32">
        <v>5</v>
      </c>
      <c r="E675" s="32">
        <v>2</v>
      </c>
      <c r="F675" s="32">
        <v>2</v>
      </c>
      <c r="G675" s="32"/>
      <c r="H675" s="66" t="str">
        <f>'BID II'!B2061</f>
        <v>Belanja Honorarium</v>
      </c>
      <c r="I675" s="470"/>
      <c r="J675" s="66"/>
      <c r="K675" s="851" t="s">
        <v>3030</v>
      </c>
      <c r="L675" s="1753"/>
      <c r="M675" s="1753"/>
      <c r="N675" s="1753"/>
      <c r="O675" s="1753"/>
      <c r="P675" s="1758"/>
      <c r="Q675" s="1758"/>
      <c r="R675" s="1758"/>
      <c r="S675" s="1758"/>
      <c r="T675" s="1762"/>
      <c r="U675" s="1762"/>
      <c r="V675" s="1762"/>
      <c r="W675" s="1762"/>
      <c r="X675" s="1750">
        <f t="shared" si="24"/>
        <v>0</v>
      </c>
      <c r="Y675" s="175">
        <f t="shared" si="25"/>
        <v>0</v>
      </c>
    </row>
    <row r="676" spans="1:25" ht="30" x14ac:dyDescent="0.25">
      <c r="A676" s="32"/>
      <c r="B676" s="32"/>
      <c r="C676" s="32"/>
      <c r="D676" s="32"/>
      <c r="E676" s="32"/>
      <c r="F676" s="32"/>
      <c r="G676" s="1340" t="s">
        <v>2706</v>
      </c>
      <c r="H676" s="66" t="str">
        <f>'BID II'!B2062</f>
        <v>Belanja Honorarium Petugas</v>
      </c>
      <c r="I676" s="470">
        <f>'BID II'!F2063+'BID II'!F2065</f>
        <v>39000000</v>
      </c>
      <c r="J676" s="66" t="s">
        <v>2626</v>
      </c>
      <c r="K676" s="851" t="s">
        <v>3030</v>
      </c>
      <c r="L676" s="1754">
        <v>13000000</v>
      </c>
      <c r="M676" s="1754">
        <v>13000000</v>
      </c>
      <c r="N676" s="1754">
        <v>13000000</v>
      </c>
      <c r="O676" s="1753"/>
      <c r="P676" s="1758"/>
      <c r="Q676" s="1758"/>
      <c r="R676" s="1758"/>
      <c r="S676" s="1758"/>
      <c r="T676" s="1762"/>
      <c r="U676" s="1762"/>
      <c r="V676" s="1762"/>
      <c r="W676" s="1762"/>
      <c r="X676" s="1750">
        <f t="shared" si="24"/>
        <v>39000000</v>
      </c>
      <c r="Y676" s="175">
        <f t="shared" si="25"/>
        <v>0</v>
      </c>
    </row>
    <row r="677" spans="1:25" ht="30" x14ac:dyDescent="0.25">
      <c r="A677" s="32"/>
      <c r="B677" s="32"/>
      <c r="C677" s="32"/>
      <c r="D677" s="32"/>
      <c r="E677" s="32"/>
      <c r="F677" s="32"/>
      <c r="G677" s="1340" t="s">
        <v>2706</v>
      </c>
      <c r="H677" s="66" t="str">
        <f>'BID II'!B2062</f>
        <v>Belanja Honorarium Petugas</v>
      </c>
      <c r="I677" s="470">
        <f>'BID II'!F2064+'BID II'!F2066+'BID II'!F2067+'BID II'!F2068</f>
        <v>155400000</v>
      </c>
      <c r="J677" s="66" t="s">
        <v>1682</v>
      </c>
      <c r="K677" s="851" t="s">
        <v>3030</v>
      </c>
      <c r="L677" s="1754">
        <v>3200000</v>
      </c>
      <c r="M677" s="1754">
        <v>3200000</v>
      </c>
      <c r="N677" s="1754">
        <v>3200000</v>
      </c>
      <c r="O677" s="1754">
        <v>16200000</v>
      </c>
      <c r="P677" s="1754">
        <v>16200000</v>
      </c>
      <c r="Q677" s="1754">
        <v>16200000</v>
      </c>
      <c r="R677" s="1754">
        <v>16200000</v>
      </c>
      <c r="S677" s="1754">
        <v>16200000</v>
      </c>
      <c r="T677" s="1754">
        <v>16200000</v>
      </c>
      <c r="U677" s="1754">
        <v>16200000</v>
      </c>
      <c r="V677" s="1754">
        <v>16200000</v>
      </c>
      <c r="W677" s="1754">
        <v>16200000</v>
      </c>
      <c r="X677" s="1750">
        <f t="shared" si="24"/>
        <v>155400000</v>
      </c>
      <c r="Y677" s="175">
        <f t="shared" si="25"/>
        <v>0</v>
      </c>
    </row>
    <row r="678" spans="1:25" ht="30" x14ac:dyDescent="0.25">
      <c r="A678" s="32"/>
      <c r="B678" s="32"/>
      <c r="C678" s="32"/>
      <c r="D678" s="32">
        <v>5</v>
      </c>
      <c r="E678" s="32">
        <v>2</v>
      </c>
      <c r="F678" s="32">
        <v>5</v>
      </c>
      <c r="G678" s="32"/>
      <c r="H678" s="66" t="str">
        <f>'BID II'!B2069</f>
        <v>Belanja Operasional pekantoran</v>
      </c>
      <c r="I678" s="470"/>
      <c r="J678" s="66"/>
      <c r="K678" s="851" t="s">
        <v>3030</v>
      </c>
      <c r="L678" s="1753"/>
      <c r="M678" s="1753"/>
      <c r="N678" s="1753"/>
      <c r="O678" s="1753"/>
      <c r="P678" s="1758"/>
      <c r="Q678" s="1758"/>
      <c r="R678" s="1758"/>
      <c r="S678" s="1758"/>
      <c r="T678" s="1762"/>
      <c r="U678" s="1762"/>
      <c r="V678" s="1762"/>
      <c r="W678" s="1762"/>
      <c r="X678" s="1750">
        <f t="shared" si="24"/>
        <v>0</v>
      </c>
      <c r="Y678" s="175">
        <f t="shared" si="25"/>
        <v>0</v>
      </c>
    </row>
    <row r="679" spans="1:25" ht="30" x14ac:dyDescent="0.25">
      <c r="A679" s="32"/>
      <c r="B679" s="32"/>
      <c r="C679" s="32"/>
      <c r="D679" s="32"/>
      <c r="E679" s="32"/>
      <c r="F679" s="32"/>
      <c r="G679" s="1340" t="s">
        <v>2708</v>
      </c>
      <c r="H679" s="66" t="str">
        <f>'BID II'!B2070</f>
        <v>Belanja Berpanjang Ijin/Pajak</v>
      </c>
      <c r="I679" s="470">
        <f>SUM('BID II'!F2071:F2074)</f>
        <v>17700000</v>
      </c>
      <c r="J679" s="66" t="s">
        <v>1682</v>
      </c>
      <c r="K679" s="851" t="s">
        <v>3030</v>
      </c>
      <c r="L679" s="1753"/>
      <c r="M679" s="1753"/>
      <c r="N679" s="1753"/>
      <c r="O679" s="1753"/>
      <c r="P679" s="1759">
        <v>17700000</v>
      </c>
      <c r="Q679" s="1758"/>
      <c r="R679" s="1758"/>
      <c r="S679" s="1758"/>
      <c r="T679" s="1762"/>
      <c r="U679" s="1762"/>
      <c r="V679" s="1762"/>
      <c r="W679" s="1762"/>
      <c r="X679" s="1750">
        <f t="shared" si="24"/>
        <v>17700000</v>
      </c>
      <c r="Y679" s="175">
        <f t="shared" si="25"/>
        <v>0</v>
      </c>
    </row>
    <row r="680" spans="1:25" ht="30" x14ac:dyDescent="0.25">
      <c r="A680" s="32"/>
      <c r="B680" s="32"/>
      <c r="C680" s="32"/>
      <c r="D680" s="32">
        <v>5</v>
      </c>
      <c r="E680" s="32">
        <v>2</v>
      </c>
      <c r="F680" s="32">
        <v>6</v>
      </c>
      <c r="G680" s="32"/>
      <c r="H680" s="66" t="str">
        <f>'BID II'!B2075</f>
        <v>Belanja Pemeliharaan</v>
      </c>
      <c r="I680" s="470"/>
      <c r="J680" s="66"/>
      <c r="K680" s="851" t="s">
        <v>3030</v>
      </c>
      <c r="L680" s="1753"/>
      <c r="M680" s="1753"/>
      <c r="N680" s="1753"/>
      <c r="O680" s="1753"/>
      <c r="P680" s="1758"/>
      <c r="Q680" s="1758"/>
      <c r="R680" s="1758"/>
      <c r="S680" s="1758"/>
      <c r="T680" s="1762"/>
      <c r="U680" s="1762"/>
      <c r="V680" s="1762"/>
      <c r="W680" s="1762"/>
      <c r="X680" s="1750">
        <f t="shared" si="24"/>
        <v>0</v>
      </c>
      <c r="Y680" s="175">
        <f t="shared" si="25"/>
        <v>0</v>
      </c>
    </row>
    <row r="681" spans="1:25" ht="45" x14ac:dyDescent="0.25">
      <c r="A681" s="32"/>
      <c r="B681" s="32"/>
      <c r="C681" s="32"/>
      <c r="D681" s="32"/>
      <c r="E681" s="32"/>
      <c r="F681" s="32"/>
      <c r="G681" s="1340" t="s">
        <v>2688</v>
      </c>
      <c r="H681" s="66" t="str">
        <f>'BID II'!B2076</f>
        <v>Belanja Pemeliharaan Mesin Dan Peralatan Berat</v>
      </c>
      <c r="I681" s="470">
        <f>'BID II'!F2077+'BID II'!F2078</f>
        <v>9000000</v>
      </c>
      <c r="J681" s="66" t="s">
        <v>1682</v>
      </c>
      <c r="K681" s="851" t="s">
        <v>3030</v>
      </c>
      <c r="L681" s="1753"/>
      <c r="M681" s="1753"/>
      <c r="N681" s="1753"/>
      <c r="O681" s="1753"/>
      <c r="P681" s="1759">
        <v>9000000</v>
      </c>
      <c r="Q681" s="1758"/>
      <c r="R681" s="1758"/>
      <c r="S681" s="1758"/>
      <c r="T681" s="1762"/>
      <c r="U681" s="1762"/>
      <c r="V681" s="1762"/>
      <c r="W681" s="1762"/>
      <c r="X681" s="1750">
        <f t="shared" si="24"/>
        <v>9000000</v>
      </c>
      <c r="Y681" s="175">
        <f t="shared" si="25"/>
        <v>0</v>
      </c>
    </row>
    <row r="682" spans="1:25" ht="30" x14ac:dyDescent="0.25">
      <c r="A682" s="32"/>
      <c r="B682" s="32"/>
      <c r="C682" s="32"/>
      <c r="D682" s="32"/>
      <c r="E682" s="32"/>
      <c r="F682" s="32"/>
      <c r="G682" s="1340" t="s">
        <v>2702</v>
      </c>
      <c r="H682" s="66" t="str">
        <f>'BID II'!B2079</f>
        <v>Belanja Pemeliharaan Kendaraan Bermotor</v>
      </c>
      <c r="I682" s="470">
        <f>SUM('BID II'!F2080:F2088)</f>
        <v>69720000</v>
      </c>
      <c r="J682" s="66" t="s">
        <v>1682</v>
      </c>
      <c r="K682" s="851" t="s">
        <v>3030</v>
      </c>
      <c r="L682" s="1753"/>
      <c r="M682" s="1753"/>
      <c r="N682" s="1753"/>
      <c r="O682" s="1753"/>
      <c r="P682" s="1759">
        <v>69720000</v>
      </c>
      <c r="Q682" s="1758"/>
      <c r="R682" s="1758"/>
      <c r="S682" s="1758"/>
      <c r="T682" s="1762"/>
      <c r="U682" s="1762"/>
      <c r="V682" s="1762"/>
      <c r="W682" s="1762"/>
      <c r="X682" s="1750">
        <f t="shared" si="24"/>
        <v>69720000</v>
      </c>
      <c r="Y682" s="175">
        <f t="shared" si="25"/>
        <v>0</v>
      </c>
    </row>
    <row r="683" spans="1:25" ht="30" x14ac:dyDescent="0.25">
      <c r="A683" s="32"/>
      <c r="B683" s="32"/>
      <c r="C683" s="32"/>
      <c r="D683" s="32"/>
      <c r="E683" s="32"/>
      <c r="F683" s="32"/>
      <c r="G683" s="1340"/>
      <c r="H683" s="66" t="str">
        <f>'BID II'!B2090</f>
        <v>Oprasional TPS 3R</v>
      </c>
      <c r="I683" s="470"/>
      <c r="J683" s="66"/>
      <c r="K683" s="851" t="s">
        <v>3030</v>
      </c>
      <c r="L683" s="1753"/>
      <c r="M683" s="1753"/>
      <c r="N683" s="1753"/>
      <c r="O683" s="1753"/>
      <c r="P683" s="1759"/>
      <c r="Q683" s="1758"/>
      <c r="R683" s="1758"/>
      <c r="S683" s="1758"/>
      <c r="T683" s="1762"/>
      <c r="U683" s="1762"/>
      <c r="V683" s="1762"/>
      <c r="W683" s="1762"/>
      <c r="X683" s="1750">
        <f t="shared" si="24"/>
        <v>0</v>
      </c>
      <c r="Y683" s="175">
        <f t="shared" si="25"/>
        <v>0</v>
      </c>
    </row>
    <row r="684" spans="1:25" ht="30" x14ac:dyDescent="0.25">
      <c r="A684" s="32"/>
      <c r="B684" s="32"/>
      <c r="C684" s="32"/>
      <c r="D684" s="32">
        <v>5</v>
      </c>
      <c r="E684" s="32">
        <v>2</v>
      </c>
      <c r="F684" s="32"/>
      <c r="G684" s="1340"/>
      <c r="H684" s="66" t="str">
        <f>'BID II'!B2091</f>
        <v>Belanja Barang Jasa</v>
      </c>
      <c r="I684" s="470"/>
      <c r="J684" s="66"/>
      <c r="K684" s="851" t="s">
        <v>3030</v>
      </c>
      <c r="L684" s="1753"/>
      <c r="M684" s="1753"/>
      <c r="N684" s="1753"/>
      <c r="O684" s="1753"/>
      <c r="P684" s="1759"/>
      <c r="Q684" s="1758"/>
      <c r="R684" s="1758"/>
      <c r="S684" s="1758"/>
      <c r="T684" s="1762"/>
      <c r="U684" s="1762"/>
      <c r="V684" s="1762"/>
      <c r="W684" s="1762"/>
      <c r="X684" s="1750">
        <f t="shared" si="24"/>
        <v>0</v>
      </c>
      <c r="Y684" s="175">
        <f t="shared" si="25"/>
        <v>0</v>
      </c>
    </row>
    <row r="685" spans="1:25" ht="30" x14ac:dyDescent="0.25">
      <c r="A685" s="32"/>
      <c r="B685" s="32"/>
      <c r="C685" s="32"/>
      <c r="D685" s="32"/>
      <c r="E685" s="32"/>
      <c r="F685" s="32">
        <v>1</v>
      </c>
      <c r="G685" s="1340"/>
      <c r="H685" s="66" t="str">
        <f>'BID II'!B2092</f>
        <v>Belanja Barang Perlengkapan</v>
      </c>
      <c r="I685" s="470"/>
      <c r="J685" s="66"/>
      <c r="K685" s="851" t="s">
        <v>3030</v>
      </c>
      <c r="L685" s="1753"/>
      <c r="M685" s="1753"/>
      <c r="N685" s="1753"/>
      <c r="O685" s="1753"/>
      <c r="P685" s="1759"/>
      <c r="Q685" s="1758"/>
      <c r="R685" s="1758"/>
      <c r="S685" s="1758"/>
      <c r="T685" s="1762"/>
      <c r="U685" s="1762"/>
      <c r="V685" s="1762"/>
      <c r="W685" s="1762"/>
      <c r="X685" s="1750">
        <f t="shared" si="24"/>
        <v>0</v>
      </c>
      <c r="Y685" s="175">
        <f t="shared" si="25"/>
        <v>0</v>
      </c>
    </row>
    <row r="686" spans="1:25" ht="30" x14ac:dyDescent="0.25">
      <c r="A686" s="32"/>
      <c r="B686" s="32"/>
      <c r="C686" s="32"/>
      <c r="D686" s="32"/>
      <c r="E686" s="32"/>
      <c r="F686" s="32"/>
      <c r="G686" s="1340" t="s">
        <v>2688</v>
      </c>
      <c r="H686" s="66" t="str">
        <f>'BID II'!B2093</f>
        <v>Belanja Perlengkapan Alat Tulis Kantor</v>
      </c>
      <c r="I686" s="470">
        <f>SUM('BID II'!F2094:F2096)</f>
        <v>362000</v>
      </c>
      <c r="J686" s="66" t="s">
        <v>1682</v>
      </c>
      <c r="K686" s="851" t="s">
        <v>3030</v>
      </c>
      <c r="L686" s="1753"/>
      <c r="M686" s="1753"/>
      <c r="N686" s="1753"/>
      <c r="O686" s="1753"/>
      <c r="P686" s="1759">
        <v>362000</v>
      </c>
      <c r="Q686" s="1758"/>
      <c r="R686" s="1758"/>
      <c r="S686" s="1758"/>
      <c r="T686" s="1762"/>
      <c r="U686" s="1762"/>
      <c r="V686" s="1762"/>
      <c r="W686" s="1762"/>
      <c r="X686" s="1750">
        <f t="shared" si="24"/>
        <v>362000</v>
      </c>
      <c r="Y686" s="175">
        <f t="shared" si="25"/>
        <v>0</v>
      </c>
    </row>
    <row r="687" spans="1:25" ht="60" x14ac:dyDescent="0.25">
      <c r="A687" s="32"/>
      <c r="B687" s="32"/>
      <c r="C687" s="32"/>
      <c r="D687" s="32"/>
      <c r="E687" s="32"/>
      <c r="F687" s="32"/>
      <c r="G687" s="1340" t="s">
        <v>2704</v>
      </c>
      <c r="H687" s="66" t="str">
        <f>'BID II'!B2097</f>
        <v>Belanja Bahan Bakar Minyak/Gas/Isi Ulang Tabung Pemadam Kebakaran</v>
      </c>
      <c r="I687" s="470">
        <f>SUM('BID II'!F2098:F2099)</f>
        <v>9240000</v>
      </c>
      <c r="J687" s="66" t="s">
        <v>1682</v>
      </c>
      <c r="K687" s="851" t="s">
        <v>3030</v>
      </c>
      <c r="L687" s="1753"/>
      <c r="M687" s="1753"/>
      <c r="N687" s="1753"/>
      <c r="O687" s="1753"/>
      <c r="P687" s="1759">
        <v>9240000</v>
      </c>
      <c r="Q687" s="1758"/>
      <c r="R687" s="1758"/>
      <c r="S687" s="1758"/>
      <c r="T687" s="1762"/>
      <c r="U687" s="1762"/>
      <c r="V687" s="1762"/>
      <c r="W687" s="1762"/>
      <c r="X687" s="1750">
        <f t="shared" si="24"/>
        <v>9240000</v>
      </c>
      <c r="Y687" s="175">
        <f t="shared" si="25"/>
        <v>0</v>
      </c>
    </row>
    <row r="688" spans="1:25" ht="60" x14ac:dyDescent="0.25">
      <c r="A688" s="32"/>
      <c r="B688" s="32"/>
      <c r="C688" s="32"/>
      <c r="D688" s="32"/>
      <c r="E688" s="32"/>
      <c r="F688" s="32"/>
      <c r="G688" s="1340" t="s">
        <v>2703</v>
      </c>
      <c r="H688" s="66" t="str">
        <f>'BID II'!B2100</f>
        <v>Belanja Perlengkapan Alat-alat Rumah Tangga/Peralatan dan Bahan Kebersihan</v>
      </c>
      <c r="I688" s="470">
        <f>SUM('BID II'!F2101:F2109)</f>
        <v>2737200</v>
      </c>
      <c r="J688" s="66" t="s">
        <v>1682</v>
      </c>
      <c r="K688" s="851" t="s">
        <v>3030</v>
      </c>
      <c r="L688" s="1753"/>
      <c r="M688" s="1753"/>
      <c r="N688" s="1753"/>
      <c r="O688" s="1753"/>
      <c r="P688" s="1759">
        <v>2737200</v>
      </c>
      <c r="Q688" s="1758"/>
      <c r="R688" s="1758"/>
      <c r="S688" s="1758"/>
      <c r="T688" s="1762"/>
      <c r="U688" s="1762"/>
      <c r="V688" s="1762"/>
      <c r="W688" s="1762"/>
      <c r="X688" s="1750">
        <f t="shared" si="24"/>
        <v>2737200</v>
      </c>
      <c r="Y688" s="175">
        <f t="shared" si="25"/>
        <v>0</v>
      </c>
    </row>
    <row r="689" spans="1:25" ht="30" x14ac:dyDescent="0.25">
      <c r="A689" s="32"/>
      <c r="B689" s="32"/>
      <c r="C689" s="32"/>
      <c r="D689" s="32"/>
      <c r="E689" s="32"/>
      <c r="F689" s="32"/>
      <c r="G689" s="1340">
        <v>90</v>
      </c>
      <c r="H689" s="66" t="str">
        <f>'BID II'!B2110</f>
        <v>Belanja Upakara, Upacara dan Aci aci</v>
      </c>
      <c r="I689" s="470">
        <f>SUM('BID II'!F2111:F2112)</f>
        <v>6675000</v>
      </c>
      <c r="J689" s="66" t="s">
        <v>1682</v>
      </c>
      <c r="K689" s="851" t="s">
        <v>3030</v>
      </c>
      <c r="L689" s="1753"/>
      <c r="M689" s="1753"/>
      <c r="N689" s="1753"/>
      <c r="O689" s="1753"/>
      <c r="P689" s="1759">
        <v>6675000</v>
      </c>
      <c r="Q689" s="1758"/>
      <c r="R689" s="1758"/>
      <c r="S689" s="1758"/>
      <c r="T689" s="1762"/>
      <c r="U689" s="1762"/>
      <c r="V689" s="1762"/>
      <c r="W689" s="1762"/>
      <c r="X689" s="1750">
        <f t="shared" si="24"/>
        <v>6675000</v>
      </c>
      <c r="Y689" s="175">
        <f t="shared" si="25"/>
        <v>0</v>
      </c>
    </row>
    <row r="690" spans="1:25" ht="30" x14ac:dyDescent="0.25">
      <c r="A690" s="32"/>
      <c r="B690" s="32"/>
      <c r="C690" s="32"/>
      <c r="D690" s="32"/>
      <c r="E690" s="32"/>
      <c r="F690" s="32"/>
      <c r="G690" s="1340" t="s">
        <v>2708</v>
      </c>
      <c r="H690" s="66" t="str">
        <f>'BID II'!B2113</f>
        <v>Belanja Bahan Material</v>
      </c>
      <c r="I690" s="470">
        <f>SUM('BID II'!F2114:F2126)</f>
        <v>8416500</v>
      </c>
      <c r="J690" s="66" t="s">
        <v>1682</v>
      </c>
      <c r="K690" s="851" t="s">
        <v>3030</v>
      </c>
      <c r="L690" s="1753"/>
      <c r="M690" s="1753"/>
      <c r="N690" s="1753"/>
      <c r="O690" s="1753"/>
      <c r="P690" s="1759">
        <v>8416500</v>
      </c>
      <c r="Q690" s="1758"/>
      <c r="R690" s="1758"/>
      <c r="S690" s="1758"/>
      <c r="T690" s="1762"/>
      <c r="U690" s="1762"/>
      <c r="V690" s="1762"/>
      <c r="W690" s="1762"/>
      <c r="X690" s="1750">
        <f t="shared" si="24"/>
        <v>8416500</v>
      </c>
      <c r="Y690" s="175">
        <f t="shared" si="25"/>
        <v>0</v>
      </c>
    </row>
    <row r="691" spans="1:25" ht="30" x14ac:dyDescent="0.25">
      <c r="A691" s="32"/>
      <c r="B691" s="32"/>
      <c r="C691" s="32"/>
      <c r="D691" s="32"/>
      <c r="E691" s="32"/>
      <c r="F691" s="32"/>
      <c r="G691" s="1340">
        <v>12</v>
      </c>
      <c r="H691" s="66" t="str">
        <f>'BID II'!B2127</f>
        <v>Belanja Obat -obat Pertanian</v>
      </c>
      <c r="I691" s="470">
        <f>SUM('BID II'!F2128)</f>
        <v>1260000</v>
      </c>
      <c r="J691" s="66" t="s">
        <v>1682</v>
      </c>
      <c r="K691" s="851" t="s">
        <v>3030</v>
      </c>
      <c r="L691" s="1753"/>
      <c r="M691" s="1753"/>
      <c r="N691" s="1753"/>
      <c r="O691" s="1753"/>
      <c r="P691" s="1759">
        <v>1260000</v>
      </c>
      <c r="Q691" s="1758"/>
      <c r="R691" s="1758"/>
      <c r="S691" s="1758"/>
      <c r="T691" s="1762"/>
      <c r="U691" s="1762"/>
      <c r="V691" s="1762"/>
      <c r="W691" s="1762"/>
      <c r="X691" s="1750">
        <f t="shared" si="24"/>
        <v>1260000</v>
      </c>
      <c r="Y691" s="175">
        <f t="shared" si="25"/>
        <v>0</v>
      </c>
    </row>
    <row r="692" spans="1:25" ht="30" x14ac:dyDescent="0.25">
      <c r="A692" s="32"/>
      <c r="B692" s="32"/>
      <c r="C692" s="32"/>
      <c r="D692" s="32">
        <v>5</v>
      </c>
      <c r="E692" s="32">
        <v>2</v>
      </c>
      <c r="F692" s="32">
        <v>2</v>
      </c>
      <c r="G692" s="1340"/>
      <c r="H692" s="66" t="str">
        <f>'BID II'!B2129</f>
        <v>Belanja Honorarium</v>
      </c>
      <c r="I692" s="470"/>
      <c r="J692" s="66"/>
      <c r="K692" s="851" t="s">
        <v>3030</v>
      </c>
      <c r="L692" s="1753"/>
      <c r="M692" s="1753"/>
      <c r="N692" s="1753"/>
      <c r="O692" s="1753"/>
      <c r="P692" s="1759"/>
      <c r="Q692" s="1758"/>
      <c r="R692" s="1758"/>
      <c r="S692" s="1758"/>
      <c r="T692" s="1762"/>
      <c r="U692" s="1762"/>
      <c r="V692" s="1762"/>
      <c r="W692" s="1762"/>
      <c r="X692" s="1750">
        <f t="shared" si="24"/>
        <v>0</v>
      </c>
      <c r="Y692" s="175">
        <f t="shared" si="25"/>
        <v>0</v>
      </c>
    </row>
    <row r="693" spans="1:25" ht="30" x14ac:dyDescent="0.25">
      <c r="A693" s="32"/>
      <c r="B693" s="32"/>
      <c r="C693" s="32"/>
      <c r="D693" s="32"/>
      <c r="E693" s="32"/>
      <c r="F693" s="32"/>
      <c r="G693" s="1340" t="s">
        <v>2688</v>
      </c>
      <c r="H693" s="66" t="str">
        <f>'BID II'!B2130</f>
        <v>Honor Tim Yang Melaksanakan Kegiatan</v>
      </c>
      <c r="I693" s="470">
        <f>SUM('BID II'!F2131:F2133)</f>
        <v>36000000</v>
      </c>
      <c r="J693" s="66" t="s">
        <v>1682</v>
      </c>
      <c r="K693" s="851" t="s">
        <v>3030</v>
      </c>
      <c r="L693" s="1753"/>
      <c r="M693" s="1753"/>
      <c r="N693" s="1753"/>
      <c r="O693" s="1753"/>
      <c r="P693" s="1759">
        <v>36000000</v>
      </c>
      <c r="Q693" s="1758"/>
      <c r="R693" s="1758"/>
      <c r="S693" s="1758"/>
      <c r="T693" s="1762"/>
      <c r="U693" s="1762"/>
      <c r="V693" s="1762"/>
      <c r="W693" s="1762"/>
      <c r="X693" s="1750">
        <f t="shared" si="24"/>
        <v>36000000</v>
      </c>
      <c r="Y693" s="175">
        <f t="shared" si="25"/>
        <v>0</v>
      </c>
    </row>
    <row r="694" spans="1:25" ht="30" x14ac:dyDescent="0.25">
      <c r="A694" s="32"/>
      <c r="B694" s="32"/>
      <c r="C694" s="32"/>
      <c r="D694" s="32"/>
      <c r="E694" s="32"/>
      <c r="F694" s="32"/>
      <c r="G694" s="1340" t="s">
        <v>2706</v>
      </c>
      <c r="H694" s="66" t="str">
        <f>'BID II'!B2134</f>
        <v>Honor Petugas</v>
      </c>
      <c r="I694" s="470">
        <f>SUM('BID II'!F2135)</f>
        <v>72000000</v>
      </c>
      <c r="J694" s="66" t="s">
        <v>1682</v>
      </c>
      <c r="K694" s="851" t="s">
        <v>3030</v>
      </c>
      <c r="L694" s="1753"/>
      <c r="M694" s="1753"/>
      <c r="N694" s="1753"/>
      <c r="O694" s="1753"/>
      <c r="P694" s="1759">
        <v>72000000</v>
      </c>
      <c r="Q694" s="1758"/>
      <c r="R694" s="1758"/>
      <c r="S694" s="1758"/>
      <c r="T694" s="1762"/>
      <c r="U694" s="1762"/>
      <c r="V694" s="1762"/>
      <c r="W694" s="1762"/>
      <c r="X694" s="1750">
        <f t="shared" si="24"/>
        <v>72000000</v>
      </c>
      <c r="Y694" s="175">
        <f t="shared" si="25"/>
        <v>0</v>
      </c>
    </row>
    <row r="695" spans="1:25" ht="30" x14ac:dyDescent="0.25">
      <c r="A695" s="32"/>
      <c r="B695" s="32"/>
      <c r="C695" s="32"/>
      <c r="D695" s="32">
        <v>5</v>
      </c>
      <c r="E695" s="32">
        <v>2</v>
      </c>
      <c r="F695" s="32">
        <v>5</v>
      </c>
      <c r="G695" s="1340"/>
      <c r="H695" s="66" t="str">
        <f>'BID II'!B2136</f>
        <v>Belanja Operasional pekantoran</v>
      </c>
      <c r="I695" s="470"/>
      <c r="J695" s="66"/>
      <c r="K695" s="851" t="s">
        <v>3030</v>
      </c>
      <c r="L695" s="1753"/>
      <c r="M695" s="1753"/>
      <c r="N695" s="1753"/>
      <c r="O695" s="1753"/>
      <c r="P695" s="1759"/>
      <c r="Q695" s="1758"/>
      <c r="R695" s="1758"/>
      <c r="S695" s="1758"/>
      <c r="T695" s="1762"/>
      <c r="U695" s="1762"/>
      <c r="V695" s="1762"/>
      <c r="W695" s="1762"/>
      <c r="X695" s="1750">
        <f t="shared" si="24"/>
        <v>0</v>
      </c>
      <c r="Y695" s="175">
        <f t="shared" si="25"/>
        <v>0</v>
      </c>
    </row>
    <row r="696" spans="1:25" ht="30" x14ac:dyDescent="0.25">
      <c r="A696" s="32"/>
      <c r="B696" s="32"/>
      <c r="C696" s="32"/>
      <c r="D696" s="32"/>
      <c r="E696" s="32"/>
      <c r="F696" s="32"/>
      <c r="G696" s="1340" t="s">
        <v>2688</v>
      </c>
      <c r="H696" s="66" t="str">
        <f>'BID II'!B2137</f>
        <v>Belanja Langganan Listrik</v>
      </c>
      <c r="I696" s="470">
        <f>'BID II'!F2138</f>
        <v>6000000</v>
      </c>
      <c r="J696" s="66" t="s">
        <v>1682</v>
      </c>
      <c r="K696" s="851" t="s">
        <v>3030</v>
      </c>
      <c r="L696" s="1753"/>
      <c r="M696" s="1753"/>
      <c r="N696" s="1753"/>
      <c r="O696" s="1753"/>
      <c r="P696" s="1759">
        <v>6000000</v>
      </c>
      <c r="Q696" s="1758"/>
      <c r="R696" s="1758"/>
      <c r="S696" s="1758"/>
      <c r="T696" s="1762"/>
      <c r="U696" s="1762"/>
      <c r="V696" s="1762"/>
      <c r="W696" s="1762"/>
      <c r="X696" s="1750">
        <f t="shared" si="24"/>
        <v>6000000</v>
      </c>
      <c r="Y696" s="175">
        <f t="shared" si="25"/>
        <v>0</v>
      </c>
    </row>
    <row r="697" spans="1:25" ht="30" x14ac:dyDescent="0.25">
      <c r="A697" s="32"/>
      <c r="B697" s="32"/>
      <c r="C697" s="32"/>
      <c r="D697" s="32"/>
      <c r="E697" s="32"/>
      <c r="F697" s="32"/>
      <c r="G697" s="1340" t="s">
        <v>2702</v>
      </c>
      <c r="H697" s="66" t="str">
        <f>'BID II'!B2139</f>
        <v>Belanja Langganan Air Bersih</v>
      </c>
      <c r="I697" s="470">
        <f>'BID II'!F2140</f>
        <v>480000</v>
      </c>
      <c r="J697" s="66" t="s">
        <v>1682</v>
      </c>
      <c r="K697" s="851" t="s">
        <v>3030</v>
      </c>
      <c r="L697" s="1753"/>
      <c r="M697" s="1753"/>
      <c r="N697" s="1753"/>
      <c r="O697" s="1753"/>
      <c r="P697" s="1759">
        <v>480000</v>
      </c>
      <c r="Q697" s="1758"/>
      <c r="R697" s="1758"/>
      <c r="S697" s="1758"/>
      <c r="T697" s="1762"/>
      <c r="U697" s="1762"/>
      <c r="V697" s="1762"/>
      <c r="W697" s="1762"/>
      <c r="X697" s="1750">
        <f t="shared" si="24"/>
        <v>480000</v>
      </c>
      <c r="Y697" s="175">
        <f t="shared" si="25"/>
        <v>0</v>
      </c>
    </row>
    <row r="698" spans="1:25" ht="30" x14ac:dyDescent="0.25">
      <c r="A698" s="32"/>
      <c r="B698" s="32"/>
      <c r="C698" s="32"/>
      <c r="D698" s="32">
        <v>5</v>
      </c>
      <c r="E698" s="32">
        <v>2</v>
      </c>
      <c r="F698" s="32">
        <v>6</v>
      </c>
      <c r="G698" s="1340"/>
      <c r="H698" s="66" t="str">
        <f>'BID II'!B2141</f>
        <v>Belanja Pemeliharaan</v>
      </c>
      <c r="I698" s="470"/>
      <c r="J698" s="66"/>
      <c r="K698" s="851" t="s">
        <v>3030</v>
      </c>
      <c r="L698" s="1753"/>
      <c r="M698" s="1753"/>
      <c r="N698" s="1753"/>
      <c r="O698" s="1753"/>
      <c r="P698" s="1759"/>
      <c r="Q698" s="1758"/>
      <c r="R698" s="1758"/>
      <c r="S698" s="1758"/>
      <c r="T698" s="1762"/>
      <c r="U698" s="1762"/>
      <c r="V698" s="1762"/>
      <c r="W698" s="1762"/>
      <c r="X698" s="1750">
        <f t="shared" si="24"/>
        <v>0</v>
      </c>
      <c r="Y698" s="175">
        <f t="shared" si="25"/>
        <v>0</v>
      </c>
    </row>
    <row r="699" spans="1:25" ht="30" x14ac:dyDescent="0.25">
      <c r="A699" s="32"/>
      <c r="B699" s="32"/>
      <c r="C699" s="32"/>
      <c r="D699" s="32"/>
      <c r="E699" s="32"/>
      <c r="F699" s="32"/>
      <c r="G699" s="1340" t="s">
        <v>2688</v>
      </c>
      <c r="H699" s="66" t="str">
        <f>'BID II'!B2142</f>
        <v>Belanja Pemeliharaan Mesin dan alat berat</v>
      </c>
      <c r="I699" s="470">
        <f>SUM('BID II'!F2143)</f>
        <v>2000000</v>
      </c>
      <c r="J699" s="66" t="s">
        <v>1682</v>
      </c>
      <c r="K699" s="851" t="s">
        <v>3030</v>
      </c>
      <c r="L699" s="1753"/>
      <c r="M699" s="1753"/>
      <c r="N699" s="1753"/>
      <c r="O699" s="1753"/>
      <c r="P699" s="1759">
        <v>2000000</v>
      </c>
      <c r="Q699" s="1758"/>
      <c r="R699" s="1758"/>
      <c r="S699" s="1758"/>
      <c r="T699" s="1762"/>
      <c r="U699" s="1762"/>
      <c r="V699" s="1762"/>
      <c r="W699" s="1762"/>
      <c r="X699" s="1750">
        <f t="shared" si="24"/>
        <v>2000000</v>
      </c>
      <c r="Y699" s="175">
        <f t="shared" si="25"/>
        <v>0</v>
      </c>
    </row>
    <row r="700" spans="1:25" ht="30" x14ac:dyDescent="0.25">
      <c r="A700" s="32"/>
      <c r="B700" s="32"/>
      <c r="C700" s="32"/>
      <c r="D700" s="32"/>
      <c r="E700" s="32"/>
      <c r="F700" s="32"/>
      <c r="G700" s="1340" t="s">
        <v>2702</v>
      </c>
      <c r="H700" s="66" t="str">
        <f>'BID II'!B2144</f>
        <v>Belanja Pemeliharaan Kendaraan Bermotor</v>
      </c>
      <c r="I700" s="470">
        <f>SUM('BID II'!F2145)</f>
        <v>3000000</v>
      </c>
      <c r="J700" s="66" t="s">
        <v>1682</v>
      </c>
      <c r="K700" s="851" t="s">
        <v>3030</v>
      </c>
      <c r="L700" s="1753"/>
      <c r="M700" s="1753"/>
      <c r="N700" s="1753"/>
      <c r="O700" s="1753"/>
      <c r="P700" s="1759">
        <v>3000000</v>
      </c>
      <c r="Q700" s="1758"/>
      <c r="R700" s="1758"/>
      <c r="S700" s="1758"/>
      <c r="T700" s="1762"/>
      <c r="U700" s="1762"/>
      <c r="V700" s="1762"/>
      <c r="W700" s="1762"/>
      <c r="X700" s="1750">
        <f t="shared" si="24"/>
        <v>3000000</v>
      </c>
      <c r="Y700" s="175">
        <f t="shared" si="25"/>
        <v>0</v>
      </c>
    </row>
    <row r="701" spans="1:25" ht="75" x14ac:dyDescent="0.25">
      <c r="A701" s="1344">
        <v>2</v>
      </c>
      <c r="B701" s="1344">
        <v>4</v>
      </c>
      <c r="C701" s="1346" t="s">
        <v>2708</v>
      </c>
      <c r="D701" s="1344"/>
      <c r="E701" s="1344"/>
      <c r="F701" s="1344"/>
      <c r="G701" s="1344"/>
      <c r="H701" s="1345" t="str">
        <f>'BID II'!B2162</f>
        <v>: Pemeiliharaan Fasilitas Pengelolaan Sampah Desa/ Pemukiman ( Operasional Kegiatan Bank Sampah Desa)</v>
      </c>
      <c r="I701" s="1347">
        <f>SUM(I702:I710)</f>
        <v>38177800</v>
      </c>
      <c r="J701" s="1345" t="s">
        <v>3006</v>
      </c>
      <c r="K701" s="1796" t="s">
        <v>3030</v>
      </c>
      <c r="L701" s="1344"/>
      <c r="M701" s="1344"/>
      <c r="N701" s="1344"/>
      <c r="O701" s="1344"/>
      <c r="P701" s="1344"/>
      <c r="Q701" s="1344"/>
      <c r="R701" s="1344"/>
      <c r="S701" s="1344"/>
      <c r="T701" s="1344"/>
      <c r="U701" s="1344"/>
      <c r="V701" s="1344"/>
      <c r="W701" s="1344"/>
      <c r="X701" s="1353">
        <f t="shared" si="24"/>
        <v>0</v>
      </c>
      <c r="Y701" s="175">
        <f t="shared" si="25"/>
        <v>-38177800</v>
      </c>
    </row>
    <row r="702" spans="1:25" ht="30" x14ac:dyDescent="0.25">
      <c r="A702" s="32"/>
      <c r="B702" s="32"/>
      <c r="C702" s="32"/>
      <c r="D702" s="32">
        <v>5</v>
      </c>
      <c r="E702" s="32">
        <v>2</v>
      </c>
      <c r="F702" s="32"/>
      <c r="G702" s="32"/>
      <c r="H702" s="66" t="str">
        <f>'BID II'!B2167</f>
        <v>Belanja Barang Jasa :</v>
      </c>
      <c r="I702" s="470"/>
      <c r="J702" s="66"/>
      <c r="K702" s="851" t="s">
        <v>3030</v>
      </c>
      <c r="L702" s="1753"/>
      <c r="M702" s="1753"/>
      <c r="N702" s="1753"/>
      <c r="O702" s="1753"/>
      <c r="P702" s="1758"/>
      <c r="Q702" s="1758"/>
      <c r="R702" s="1758"/>
      <c r="S702" s="1758"/>
      <c r="T702" s="1762"/>
      <c r="U702" s="1762"/>
      <c r="V702" s="1762"/>
      <c r="W702" s="1762"/>
      <c r="X702" s="1750">
        <f t="shared" si="24"/>
        <v>0</v>
      </c>
      <c r="Y702" s="175">
        <f t="shared" si="25"/>
        <v>0</v>
      </c>
    </row>
    <row r="703" spans="1:25" ht="30" x14ac:dyDescent="0.25">
      <c r="A703" s="32"/>
      <c r="B703" s="32"/>
      <c r="C703" s="32"/>
      <c r="D703" s="32"/>
      <c r="E703" s="32"/>
      <c r="F703" s="32">
        <v>1</v>
      </c>
      <c r="G703" s="32"/>
      <c r="H703" s="66" t="str">
        <f>'BID II'!B2168</f>
        <v>Belanja barang perlengkapan</v>
      </c>
      <c r="I703" s="470"/>
      <c r="J703" s="66"/>
      <c r="K703" s="851" t="s">
        <v>3030</v>
      </c>
      <c r="L703" s="1753"/>
      <c r="M703" s="1753"/>
      <c r="N703" s="1753"/>
      <c r="O703" s="1753"/>
      <c r="P703" s="1758"/>
      <c r="Q703" s="1758"/>
      <c r="R703" s="1758"/>
      <c r="S703" s="1758"/>
      <c r="T703" s="1762"/>
      <c r="U703" s="1762"/>
      <c r="V703" s="1762"/>
      <c r="W703" s="1762"/>
      <c r="X703" s="1750">
        <f t="shared" si="24"/>
        <v>0</v>
      </c>
      <c r="Y703" s="175">
        <f t="shared" si="25"/>
        <v>0</v>
      </c>
    </row>
    <row r="704" spans="1:25" ht="30" x14ac:dyDescent="0.25">
      <c r="A704" s="32"/>
      <c r="B704" s="32"/>
      <c r="C704" s="32"/>
      <c r="D704" s="32"/>
      <c r="E704" s="32"/>
      <c r="F704" s="32"/>
      <c r="G704" s="1340" t="s">
        <v>2688</v>
      </c>
      <c r="H704" s="66" t="str">
        <f>'BID II'!B2169</f>
        <v>Belanja perlengkapan Cetak</v>
      </c>
      <c r="I704" s="470">
        <f>SUM('BID II'!F2170:F2171)</f>
        <v>2200000</v>
      </c>
      <c r="J704" s="66" t="s">
        <v>1690</v>
      </c>
      <c r="K704" s="851" t="s">
        <v>3030</v>
      </c>
      <c r="L704" s="1753"/>
      <c r="M704" s="1753"/>
      <c r="N704" s="1753"/>
      <c r="O704" s="1753"/>
      <c r="P704" s="1758"/>
      <c r="Q704" s="1758"/>
      <c r="R704" s="1758"/>
      <c r="S704" s="1758"/>
      <c r="T704" s="1763">
        <v>2200000</v>
      </c>
      <c r="U704" s="1762"/>
      <c r="V704" s="1762"/>
      <c r="W704" s="1762"/>
      <c r="X704" s="1750">
        <f t="shared" si="24"/>
        <v>2200000</v>
      </c>
      <c r="Y704" s="175">
        <f t="shared" si="25"/>
        <v>0</v>
      </c>
    </row>
    <row r="705" spans="1:26" ht="30" x14ac:dyDescent="0.25">
      <c r="A705" s="32"/>
      <c r="B705" s="32"/>
      <c r="C705" s="32"/>
      <c r="D705" s="32"/>
      <c r="E705" s="32"/>
      <c r="F705" s="32"/>
      <c r="G705" s="1340" t="s">
        <v>2705</v>
      </c>
      <c r="H705" s="66" t="str">
        <f>'BID II'!B2173</f>
        <v>Belanja Perlengkapan Barang Konsumsi</v>
      </c>
      <c r="I705" s="174">
        <f>'BID II'!F2175</f>
        <v>3600000</v>
      </c>
      <c r="J705" s="66" t="s">
        <v>1690</v>
      </c>
      <c r="K705" s="851" t="s">
        <v>3030</v>
      </c>
      <c r="L705" s="1754">
        <v>300000</v>
      </c>
      <c r="M705" s="1754">
        <v>300000</v>
      </c>
      <c r="N705" s="1754">
        <v>300000</v>
      </c>
      <c r="O705" s="1754">
        <v>300000</v>
      </c>
      <c r="P705" s="1754">
        <v>300000</v>
      </c>
      <c r="Q705" s="1754">
        <v>300000</v>
      </c>
      <c r="R705" s="1754">
        <v>300000</v>
      </c>
      <c r="S705" s="1754">
        <v>300000</v>
      </c>
      <c r="T705" s="1754">
        <v>300000</v>
      </c>
      <c r="U705" s="1754">
        <v>300000</v>
      </c>
      <c r="V705" s="1754">
        <v>300000</v>
      </c>
      <c r="W705" s="1754">
        <v>300000</v>
      </c>
      <c r="X705" s="1750">
        <f t="shared" si="24"/>
        <v>3600000</v>
      </c>
      <c r="Y705" s="175">
        <f t="shared" si="25"/>
        <v>0</v>
      </c>
    </row>
    <row r="706" spans="1:26" ht="27" customHeight="1" x14ac:dyDescent="0.25">
      <c r="A706" s="32"/>
      <c r="B706" s="32"/>
      <c r="C706" s="32"/>
      <c r="D706" s="32"/>
      <c r="E706" s="32"/>
      <c r="F706" s="32"/>
      <c r="G706" s="1340" t="s">
        <v>2705</v>
      </c>
      <c r="H706" s="66" t="str">
        <f>'BID II'!B2173</f>
        <v>Belanja Perlengkapan Barang Konsumsi</v>
      </c>
      <c r="I706" s="174">
        <f>'BID II'!F2174</f>
        <v>10440000</v>
      </c>
      <c r="J706" s="66" t="s">
        <v>1682</v>
      </c>
      <c r="K706" s="851" t="s">
        <v>3030</v>
      </c>
      <c r="L706" s="1754">
        <v>870000</v>
      </c>
      <c r="M706" s="1754">
        <v>870000</v>
      </c>
      <c r="N706" s="1754">
        <v>870000</v>
      </c>
      <c r="O706" s="1754">
        <v>870000</v>
      </c>
      <c r="P706" s="1754">
        <v>870000</v>
      </c>
      <c r="Q706" s="1754">
        <v>870000</v>
      </c>
      <c r="R706" s="1754">
        <v>870000</v>
      </c>
      <c r="S706" s="1754">
        <v>870000</v>
      </c>
      <c r="T706" s="1754">
        <v>870000</v>
      </c>
      <c r="U706" s="1754">
        <v>870000</v>
      </c>
      <c r="V706" s="1754">
        <v>870000</v>
      </c>
      <c r="W706" s="1754">
        <v>870000</v>
      </c>
      <c r="X706" s="1750">
        <f t="shared" si="24"/>
        <v>10440000</v>
      </c>
      <c r="Y706" s="175">
        <f t="shared" si="25"/>
        <v>0</v>
      </c>
    </row>
    <row r="707" spans="1:26" ht="30" x14ac:dyDescent="0.25">
      <c r="A707" s="32"/>
      <c r="B707" s="32"/>
      <c r="C707" s="32"/>
      <c r="D707" s="32"/>
      <c r="E707" s="32"/>
      <c r="F707" s="32"/>
      <c r="G707" s="1340" t="s">
        <v>2708</v>
      </c>
      <c r="H707" s="32" t="str">
        <f>'BID II'!B2177</f>
        <v>Belanja Bahan Dan Alat</v>
      </c>
      <c r="I707" s="174">
        <f>SUM('BID II'!F2179:F2190)</f>
        <v>9547800</v>
      </c>
      <c r="J707" s="66" t="s">
        <v>1690</v>
      </c>
      <c r="K707" s="851" t="s">
        <v>3030</v>
      </c>
      <c r="L707" s="1753"/>
      <c r="M707" s="1753"/>
      <c r="N707" s="1753"/>
      <c r="O707" s="1753"/>
      <c r="P707" s="1758"/>
      <c r="Q707" s="1758"/>
      <c r="R707" s="1758"/>
      <c r="S707" s="1759">
        <v>9547800</v>
      </c>
      <c r="T707" s="1763"/>
      <c r="U707" s="1763"/>
      <c r="V707" s="1763"/>
      <c r="W707" s="1762"/>
      <c r="X707" s="1750">
        <f t="shared" si="24"/>
        <v>9547800</v>
      </c>
      <c r="Y707" s="175">
        <f t="shared" si="25"/>
        <v>0</v>
      </c>
    </row>
    <row r="708" spans="1:26" ht="30" x14ac:dyDescent="0.25">
      <c r="A708" s="32"/>
      <c r="B708" s="32"/>
      <c r="C708" s="32"/>
      <c r="D708" s="32"/>
      <c r="E708" s="32"/>
      <c r="F708" s="32"/>
      <c r="G708" s="1340" t="s">
        <v>2708</v>
      </c>
      <c r="H708" s="32" t="str">
        <f>'BID II'!B2177</f>
        <v>Belanja Bahan Dan Alat</v>
      </c>
      <c r="I708" s="174">
        <f>'BID II'!F2178</f>
        <v>390000</v>
      </c>
      <c r="J708" s="66" t="s">
        <v>1682</v>
      </c>
      <c r="K708" s="851" t="s">
        <v>3030</v>
      </c>
      <c r="L708" s="1753"/>
      <c r="M708" s="1753"/>
      <c r="N708" s="1753"/>
      <c r="O708" s="1753"/>
      <c r="P708" s="1758"/>
      <c r="Q708" s="1758"/>
      <c r="R708" s="1758"/>
      <c r="S708" s="1759">
        <v>195000</v>
      </c>
      <c r="T708" s="1763"/>
      <c r="U708" s="1763"/>
      <c r="V708" s="1763">
        <v>195000</v>
      </c>
      <c r="W708" s="1762"/>
      <c r="X708" s="1750">
        <f t="shared" si="24"/>
        <v>390000</v>
      </c>
      <c r="Y708" s="175">
        <f t="shared" si="25"/>
        <v>0</v>
      </c>
    </row>
    <row r="709" spans="1:26" ht="30" x14ac:dyDescent="0.25">
      <c r="A709" s="32"/>
      <c r="B709" s="32"/>
      <c r="C709" s="32"/>
      <c r="D709" s="32">
        <v>5</v>
      </c>
      <c r="E709" s="32">
        <v>2</v>
      </c>
      <c r="F709" s="32">
        <v>2</v>
      </c>
      <c r="G709" s="32"/>
      <c r="H709" s="32" t="str">
        <f>'BID II'!B2191</f>
        <v>Belanja Honorarium</v>
      </c>
      <c r="I709" s="32"/>
      <c r="J709" s="66"/>
      <c r="K709" s="851" t="s">
        <v>3030</v>
      </c>
      <c r="L709" s="1753"/>
      <c r="M709" s="1753"/>
      <c r="N709" s="1753"/>
      <c r="O709" s="1753"/>
      <c r="P709" s="1758"/>
      <c r="Q709" s="1758"/>
      <c r="R709" s="1758"/>
      <c r="S709" s="1758"/>
      <c r="T709" s="1762"/>
      <c r="U709" s="1762"/>
      <c r="V709" s="1762"/>
      <c r="W709" s="1762"/>
      <c r="X709" s="1750">
        <f t="shared" si="24"/>
        <v>0</v>
      </c>
      <c r="Y709" s="175">
        <f t="shared" si="25"/>
        <v>0</v>
      </c>
    </row>
    <row r="710" spans="1:26" ht="30" x14ac:dyDescent="0.25">
      <c r="A710" s="32"/>
      <c r="B710" s="32"/>
      <c r="C710" s="32"/>
      <c r="D710" s="32"/>
      <c r="E710" s="32"/>
      <c r="F710" s="32"/>
      <c r="G710" s="1340" t="s">
        <v>2706</v>
      </c>
      <c r="H710" s="32" t="str">
        <f>'BID II'!B2192</f>
        <v>Belanja Honor Petugas</v>
      </c>
      <c r="I710" s="174">
        <f>SUM('BID II'!F2193)</f>
        <v>12000000</v>
      </c>
      <c r="J710" s="66" t="s">
        <v>1690</v>
      </c>
      <c r="K710" s="851" t="s">
        <v>3030</v>
      </c>
      <c r="L710" s="1754">
        <v>1000000</v>
      </c>
      <c r="M710" s="1754">
        <v>1000000</v>
      </c>
      <c r="N710" s="1754">
        <v>1000000</v>
      </c>
      <c r="O710" s="1754">
        <v>1000000</v>
      </c>
      <c r="P710" s="1754">
        <v>1000000</v>
      </c>
      <c r="Q710" s="1754">
        <v>1000000</v>
      </c>
      <c r="R710" s="1754">
        <v>1000000</v>
      </c>
      <c r="S710" s="1754">
        <v>1000000</v>
      </c>
      <c r="T710" s="1754">
        <v>1000000</v>
      </c>
      <c r="U710" s="1754">
        <v>1000000</v>
      </c>
      <c r="V710" s="1754">
        <v>1000000</v>
      </c>
      <c r="W710" s="1754">
        <v>1000000</v>
      </c>
      <c r="X710" s="1750">
        <f t="shared" si="24"/>
        <v>12000000</v>
      </c>
      <c r="Y710" s="175">
        <f t="shared" si="25"/>
        <v>0</v>
      </c>
    </row>
    <row r="711" spans="1:26" ht="30" x14ac:dyDescent="0.25">
      <c r="A711" s="1344">
        <v>2</v>
      </c>
      <c r="B711" s="1344">
        <v>4</v>
      </c>
      <c r="C711" s="1346" t="s">
        <v>2708</v>
      </c>
      <c r="D711" s="1344"/>
      <c r="E711" s="1344"/>
      <c r="F711" s="1344"/>
      <c r="G711" s="1344"/>
      <c r="H711" s="1345" t="str">
        <f>'BID II'!B2209</f>
        <v>: Operasional Tim Kebersihan Lingkungan</v>
      </c>
      <c r="I711" s="1347">
        <f>SUM(I712:I720)</f>
        <v>110956000</v>
      </c>
      <c r="J711" s="1345" t="s">
        <v>2620</v>
      </c>
      <c r="K711" s="1796" t="s">
        <v>3030</v>
      </c>
      <c r="L711" s="1344"/>
      <c r="M711" s="1344"/>
      <c r="N711" s="1344"/>
      <c r="O711" s="1344"/>
      <c r="P711" s="1344"/>
      <c r="Q711" s="1344"/>
      <c r="R711" s="1344"/>
      <c r="S711" s="1344"/>
      <c r="T711" s="1344"/>
      <c r="U711" s="1344"/>
      <c r="V711" s="1344"/>
      <c r="W711" s="1344"/>
      <c r="X711" s="1353">
        <f t="shared" si="24"/>
        <v>0</v>
      </c>
      <c r="Y711" s="175">
        <f t="shared" si="25"/>
        <v>-110956000</v>
      </c>
    </row>
    <row r="712" spans="1:26" ht="30" x14ac:dyDescent="0.25">
      <c r="A712" s="32"/>
      <c r="B712" s="32"/>
      <c r="C712" s="32"/>
      <c r="D712" s="32">
        <v>5</v>
      </c>
      <c r="E712" s="32">
        <v>2</v>
      </c>
      <c r="F712" s="32"/>
      <c r="G712" s="32"/>
      <c r="H712" s="66" t="str">
        <f>'BID II'!B2214</f>
        <v>Belanja Barang dan Jasa :</v>
      </c>
      <c r="I712" s="470"/>
      <c r="J712" s="66"/>
      <c r="K712" s="851" t="s">
        <v>3030</v>
      </c>
      <c r="L712" s="1753"/>
      <c r="M712" s="1753"/>
      <c r="N712" s="1753"/>
      <c r="O712" s="1753"/>
      <c r="P712" s="1758"/>
      <c r="Q712" s="1758"/>
      <c r="R712" s="1758"/>
      <c r="S712" s="1758"/>
      <c r="T712" s="1762"/>
      <c r="U712" s="1762"/>
      <c r="V712" s="1762"/>
      <c r="W712" s="1762"/>
      <c r="X712" s="1750">
        <f t="shared" si="24"/>
        <v>0</v>
      </c>
      <c r="Y712" s="175">
        <f t="shared" si="25"/>
        <v>0</v>
      </c>
    </row>
    <row r="713" spans="1:26" ht="30" x14ac:dyDescent="0.25">
      <c r="A713" s="32"/>
      <c r="B713" s="32"/>
      <c r="C713" s="32"/>
      <c r="D713" s="32"/>
      <c r="E713" s="32"/>
      <c r="F713" s="32">
        <v>1</v>
      </c>
      <c r="G713" s="32"/>
      <c r="H713" s="66" t="str">
        <f>'BID II'!B2215</f>
        <v>Belanja Barang Perlengkapan</v>
      </c>
      <c r="I713" s="470"/>
      <c r="J713" s="66"/>
      <c r="K713" s="851" t="s">
        <v>3030</v>
      </c>
      <c r="L713" s="1753"/>
      <c r="M713" s="1753"/>
      <c r="N713" s="1753"/>
      <c r="O713" s="1753"/>
      <c r="P713" s="1758"/>
      <c r="Q713" s="1758"/>
      <c r="R713" s="1758"/>
      <c r="S713" s="1758"/>
      <c r="T713" s="1762"/>
      <c r="U713" s="1762"/>
      <c r="V713" s="1762"/>
      <c r="W713" s="1762"/>
      <c r="X713" s="1750">
        <f t="shared" si="24"/>
        <v>0</v>
      </c>
      <c r="Y713" s="175">
        <f t="shared" si="25"/>
        <v>0</v>
      </c>
    </row>
    <row r="714" spans="1:26" ht="60" x14ac:dyDescent="0.25">
      <c r="A714" s="32"/>
      <c r="B714" s="32"/>
      <c r="C714" s="32"/>
      <c r="D714" s="32"/>
      <c r="E714" s="32"/>
      <c r="F714" s="32"/>
      <c r="G714" s="1340" t="s">
        <v>2704</v>
      </c>
      <c r="H714" s="66" t="str">
        <f>'BID II'!B2216</f>
        <v>Belanja Bahan Bakar Minyak/Gas/Isi Ulang Tabung Pemadam Kebakaran</v>
      </c>
      <c r="I714" s="470">
        <f>SUM('BID II'!F2217)</f>
        <v>3600000</v>
      </c>
      <c r="J714" s="66" t="s">
        <v>2620</v>
      </c>
      <c r="K714" s="851" t="s">
        <v>3030</v>
      </c>
      <c r="L714" s="1753"/>
      <c r="M714" s="1753"/>
      <c r="N714" s="1753"/>
      <c r="O714" s="1753"/>
      <c r="P714" s="1758"/>
      <c r="Q714" s="1758"/>
      <c r="R714" s="1758"/>
      <c r="S714" s="1759">
        <v>3600000</v>
      </c>
      <c r="T714" s="1762"/>
      <c r="U714" s="1762"/>
      <c r="V714" s="1762"/>
      <c r="W714" s="1762"/>
      <c r="X714" s="1750">
        <f t="shared" si="24"/>
        <v>3600000</v>
      </c>
      <c r="Y714" s="175">
        <f t="shared" si="25"/>
        <v>0</v>
      </c>
    </row>
    <row r="715" spans="1:26" ht="30" x14ac:dyDescent="0.25">
      <c r="A715" s="32"/>
      <c r="B715" s="32"/>
      <c r="C715" s="32"/>
      <c r="D715" s="32"/>
      <c r="E715" s="32"/>
      <c r="F715" s="32"/>
      <c r="G715" s="1340" t="s">
        <v>2708</v>
      </c>
      <c r="H715" s="32" t="str">
        <f>'BID II'!B2218</f>
        <v>Belanja Bahan Dan Alat</v>
      </c>
      <c r="I715" s="470">
        <f>SUM('BID II'!F2219:F2221)</f>
        <v>8756000</v>
      </c>
      <c r="J715" s="66" t="s">
        <v>2620</v>
      </c>
      <c r="K715" s="851" t="s">
        <v>3030</v>
      </c>
      <c r="L715" s="1753"/>
      <c r="M715" s="1753"/>
      <c r="N715" s="1753"/>
      <c r="O715" s="1753"/>
      <c r="P715" s="1758"/>
      <c r="Q715" s="1758"/>
      <c r="R715" s="1758"/>
      <c r="S715" s="1759">
        <v>8756000</v>
      </c>
      <c r="T715" s="1762"/>
      <c r="U715" s="1762"/>
      <c r="V715" s="1762"/>
      <c r="W715" s="1762"/>
      <c r="X715" s="1750">
        <f t="shared" si="24"/>
        <v>8756000</v>
      </c>
      <c r="Y715" s="175">
        <f t="shared" si="25"/>
        <v>0</v>
      </c>
    </row>
    <row r="716" spans="1:26" ht="30" x14ac:dyDescent="0.25">
      <c r="A716" s="32"/>
      <c r="B716" s="32"/>
      <c r="C716" s="32"/>
      <c r="D716" s="32"/>
      <c r="E716" s="32"/>
      <c r="F716" s="32"/>
      <c r="G716" s="1340" t="s">
        <v>2709</v>
      </c>
      <c r="H716" s="32" t="str">
        <f>'BID II'!B2222</f>
        <v>Belanja atribut pakaian</v>
      </c>
      <c r="I716" s="470">
        <f>SUM('BID II'!F2223:F2227)</f>
        <v>3120000</v>
      </c>
      <c r="J716" s="66" t="s">
        <v>2620</v>
      </c>
      <c r="K716" s="851" t="s">
        <v>3030</v>
      </c>
      <c r="L716" s="1753"/>
      <c r="M716" s="1753"/>
      <c r="N716" s="1753"/>
      <c r="O716" s="1753"/>
      <c r="P716" s="1758"/>
      <c r="Q716" s="1758"/>
      <c r="R716" s="1758"/>
      <c r="S716" s="1759">
        <v>3120000</v>
      </c>
      <c r="T716" s="1762"/>
      <c r="U716" s="1762"/>
      <c r="V716" s="1762"/>
      <c r="W716" s="1762"/>
      <c r="X716" s="1750">
        <f t="shared" si="24"/>
        <v>3120000</v>
      </c>
      <c r="Y716" s="175">
        <f t="shared" si="25"/>
        <v>0</v>
      </c>
    </row>
    <row r="717" spans="1:26" ht="30" x14ac:dyDescent="0.25">
      <c r="A717" s="32"/>
      <c r="B717" s="32"/>
      <c r="C717" s="32"/>
      <c r="D717" s="32">
        <v>5</v>
      </c>
      <c r="E717" s="32">
        <v>2</v>
      </c>
      <c r="F717" s="32">
        <v>2</v>
      </c>
      <c r="G717" s="32"/>
      <c r="H717" s="32" t="str">
        <f>'BID II'!B2228</f>
        <v>Belanja Jasa Honor</v>
      </c>
      <c r="I717" s="470"/>
      <c r="J717" s="66"/>
      <c r="K717" s="851" t="s">
        <v>3030</v>
      </c>
      <c r="L717" s="1753"/>
      <c r="M717" s="1753"/>
      <c r="N717" s="1755"/>
      <c r="O717" s="1753"/>
      <c r="P717" s="1758"/>
      <c r="Q717" s="1758"/>
      <c r="R717" s="1758"/>
      <c r="S717" s="1758"/>
      <c r="T717" s="1762"/>
      <c r="U717" s="1762"/>
      <c r="V717" s="1762"/>
      <c r="W717" s="1762"/>
      <c r="X717" s="1750">
        <f t="shared" si="24"/>
        <v>0</v>
      </c>
      <c r="Y717" s="175">
        <f t="shared" si="25"/>
        <v>0</v>
      </c>
    </row>
    <row r="718" spans="1:26" ht="30" x14ac:dyDescent="0.25">
      <c r="A718" s="32"/>
      <c r="B718" s="32"/>
      <c r="C718" s="32"/>
      <c r="D718" s="32"/>
      <c r="E718" s="32"/>
      <c r="F718" s="32"/>
      <c r="G718" s="1340" t="s">
        <v>2704</v>
      </c>
      <c r="H718" s="66" t="str">
        <f>'BID II'!B2229</f>
        <v>Belanja Honorarium Petugas</v>
      </c>
      <c r="I718" s="470">
        <f>SUM('BID II'!F2230:F2235)</f>
        <v>89600000</v>
      </c>
      <c r="J718" s="66" t="s">
        <v>2620</v>
      </c>
      <c r="K718" s="851" t="s">
        <v>3030</v>
      </c>
      <c r="L718" s="1754">
        <v>4800000</v>
      </c>
      <c r="M718" s="1754">
        <v>4800000</v>
      </c>
      <c r="N718" s="1754">
        <v>20800000</v>
      </c>
      <c r="O718" s="1754">
        <v>4800000</v>
      </c>
      <c r="P718" s="1754">
        <v>4800000</v>
      </c>
      <c r="Q718" s="1754">
        <v>4800000</v>
      </c>
      <c r="R718" s="1754">
        <v>20800000</v>
      </c>
      <c r="S718" s="1754">
        <v>4800000</v>
      </c>
      <c r="T718" s="1754">
        <v>4800000</v>
      </c>
      <c r="U718" s="1754">
        <v>4800000</v>
      </c>
      <c r="V718" s="1754">
        <v>4800000</v>
      </c>
      <c r="W718" s="1754">
        <v>4800000</v>
      </c>
      <c r="X718" s="1750">
        <f t="shared" si="24"/>
        <v>89600000</v>
      </c>
      <c r="Y718" s="175">
        <f t="shared" si="25"/>
        <v>0</v>
      </c>
      <c r="Z718" s="1795">
        <v>16000000</v>
      </c>
    </row>
    <row r="719" spans="1:26" ht="30" x14ac:dyDescent="0.25">
      <c r="A719" s="32"/>
      <c r="B719" s="32"/>
      <c r="C719" s="32"/>
      <c r="D719" s="32">
        <v>5</v>
      </c>
      <c r="E719" s="32">
        <v>2</v>
      </c>
      <c r="F719" s="32">
        <v>6</v>
      </c>
      <c r="G719" s="32"/>
      <c r="H719" s="66" t="str">
        <f>'BID II'!B2237</f>
        <v>Belanja Pemeliharaan</v>
      </c>
      <c r="I719" s="470"/>
      <c r="J719" s="66"/>
      <c r="K719" s="851" t="s">
        <v>3030</v>
      </c>
      <c r="L719" s="1753"/>
      <c r="M719" s="1753"/>
      <c r="N719" s="1753"/>
      <c r="O719" s="1753"/>
      <c r="P719" s="1758"/>
      <c r="Q719" s="1758"/>
      <c r="R719" s="1758"/>
      <c r="S719" s="1758"/>
      <c r="T719" s="1762"/>
      <c r="U719" s="1762"/>
      <c r="V719" s="1762"/>
      <c r="W719" s="1762"/>
      <c r="X719" s="1750">
        <f t="shared" si="24"/>
        <v>0</v>
      </c>
      <c r="Y719" s="175">
        <f t="shared" si="25"/>
        <v>0</v>
      </c>
      <c r="Z719" s="175">
        <f>O718+Z718</f>
        <v>20800000</v>
      </c>
    </row>
    <row r="720" spans="1:26" ht="30" x14ac:dyDescent="0.25">
      <c r="A720" s="32"/>
      <c r="B720" s="32"/>
      <c r="C720" s="32"/>
      <c r="D720" s="32"/>
      <c r="E720" s="32"/>
      <c r="F720" s="32"/>
      <c r="G720" s="1340" t="s">
        <v>2688</v>
      </c>
      <c r="H720" s="66" t="str">
        <f>'BID II'!B2238</f>
        <v>Belanja Pemeliharaan Peralatan</v>
      </c>
      <c r="I720" s="470">
        <f>SUM('BID II'!F2239:F2241)</f>
        <v>5880000</v>
      </c>
      <c r="J720" s="66" t="s">
        <v>2620</v>
      </c>
      <c r="K720" s="851" t="s">
        <v>3030</v>
      </c>
      <c r="L720" s="1753"/>
      <c r="M720" s="1753"/>
      <c r="N720" s="1753"/>
      <c r="O720" s="1753"/>
      <c r="P720" s="1758"/>
      <c r="Q720" s="1758"/>
      <c r="R720" s="1758"/>
      <c r="S720" s="1759">
        <v>5880000</v>
      </c>
      <c r="T720" s="1762"/>
      <c r="U720" s="1762"/>
      <c r="V720" s="1762"/>
      <c r="W720" s="1762"/>
      <c r="X720" s="1750">
        <f t="shared" si="24"/>
        <v>5880000</v>
      </c>
      <c r="Y720" s="175">
        <f t="shared" si="25"/>
        <v>0</v>
      </c>
    </row>
    <row r="721" spans="1:25" ht="75" x14ac:dyDescent="0.25">
      <c r="A721" s="1344">
        <v>2</v>
      </c>
      <c r="B721" s="1344">
        <v>4</v>
      </c>
      <c r="C721" s="1346" t="s">
        <v>2709</v>
      </c>
      <c r="D721" s="1344"/>
      <c r="E721" s="1344"/>
      <c r="F721" s="1344"/>
      <c r="G721" s="1344"/>
      <c r="H721" s="1345" t="str">
        <f>'BID II'!B2257</f>
        <v>Pemeliharaan taman Milik Desa (Biopori dan Penataan Taman di Patung Petani, depan kertapala)</v>
      </c>
      <c r="I721" s="1347">
        <f>SUM(I722:I726)</f>
        <v>43645000</v>
      </c>
      <c r="J721" s="1345" t="s">
        <v>2626</v>
      </c>
      <c r="K721" s="1796" t="s">
        <v>3030</v>
      </c>
      <c r="L721" s="1344"/>
      <c r="M721" s="1344"/>
      <c r="N721" s="1344"/>
      <c r="O721" s="1344"/>
      <c r="P721" s="1344"/>
      <c r="Q721" s="1344"/>
      <c r="R721" s="1344"/>
      <c r="S721" s="1344"/>
      <c r="T721" s="1344"/>
      <c r="U721" s="1344"/>
      <c r="V721" s="1344"/>
      <c r="W721" s="1344"/>
      <c r="X721" s="1353">
        <f t="shared" si="24"/>
        <v>0</v>
      </c>
      <c r="Y721" s="175">
        <f t="shared" si="25"/>
        <v>-43645000</v>
      </c>
    </row>
    <row r="722" spans="1:25" ht="30" x14ac:dyDescent="0.25">
      <c r="A722" s="32"/>
      <c r="B722" s="32"/>
      <c r="C722" s="32"/>
      <c r="D722" s="32">
        <v>5</v>
      </c>
      <c r="E722" s="32">
        <v>3</v>
      </c>
      <c r="F722" s="32"/>
      <c r="G722" s="32"/>
      <c r="H722" s="66" t="str">
        <f>'BID II'!B2263</f>
        <v xml:space="preserve">Belanja Modal </v>
      </c>
      <c r="I722" s="470"/>
      <c r="J722" s="66"/>
      <c r="K722" s="851" t="s">
        <v>3030</v>
      </c>
      <c r="L722" s="1753"/>
      <c r="M722" s="1753"/>
      <c r="N722" s="1753"/>
      <c r="O722" s="1753"/>
      <c r="P722" s="1758"/>
      <c r="Q722" s="1758"/>
      <c r="R722" s="1758"/>
      <c r="S722" s="1758"/>
      <c r="T722" s="1762"/>
      <c r="U722" s="1762"/>
      <c r="V722" s="1762"/>
      <c r="W722" s="1762"/>
      <c r="X722" s="1750">
        <f t="shared" si="24"/>
        <v>0</v>
      </c>
      <c r="Y722" s="175">
        <f t="shared" si="25"/>
        <v>0</v>
      </c>
    </row>
    <row r="723" spans="1:25" ht="30" x14ac:dyDescent="0.25">
      <c r="A723" s="32"/>
      <c r="B723" s="32"/>
      <c r="C723" s="32"/>
      <c r="D723" s="32"/>
      <c r="E723" s="32"/>
      <c r="F723" s="32">
        <v>4</v>
      </c>
      <c r="G723" s="32"/>
      <c r="H723" s="66" t="str">
        <f>'BID II'!B2264</f>
        <v>Belanja Modal Gedung Bangunan dan Taman</v>
      </c>
      <c r="I723" s="470"/>
      <c r="J723" s="66"/>
      <c r="K723" s="851" t="s">
        <v>3030</v>
      </c>
      <c r="L723" s="1753"/>
      <c r="M723" s="1753"/>
      <c r="N723" s="1753"/>
      <c r="O723" s="1753"/>
      <c r="P723" s="1758"/>
      <c r="Q723" s="1758"/>
      <c r="R723" s="1758"/>
      <c r="S723" s="1758"/>
      <c r="T723" s="1762"/>
      <c r="U723" s="1762"/>
      <c r="V723" s="1762"/>
      <c r="W723" s="1762"/>
      <c r="X723" s="1750">
        <f t="shared" si="24"/>
        <v>0</v>
      </c>
      <c r="Y723" s="175">
        <f t="shared" si="25"/>
        <v>0</v>
      </c>
    </row>
    <row r="724" spans="1:25" ht="30" x14ac:dyDescent="0.25">
      <c r="A724" s="32"/>
      <c r="B724" s="32"/>
      <c r="C724" s="32"/>
      <c r="D724" s="32"/>
      <c r="E724" s="32"/>
      <c r="F724" s="32"/>
      <c r="G724" s="1340" t="s">
        <v>2688</v>
      </c>
      <c r="H724" s="66" t="str">
        <f>'BID II'!B2265</f>
        <v>Honorarium Tim Yang Melaksanakan Kegiatan</v>
      </c>
      <c r="I724" s="470">
        <f>SUM('BID II'!F2267)</f>
        <v>855000</v>
      </c>
      <c r="J724" s="66" t="s">
        <v>2626</v>
      </c>
      <c r="K724" s="851" t="s">
        <v>3030</v>
      </c>
      <c r="L724" s="1753"/>
      <c r="M724" s="1753"/>
      <c r="N724" s="1754">
        <v>855000</v>
      </c>
      <c r="O724" s="1753"/>
      <c r="P724" s="1758"/>
      <c r="Q724" s="1758"/>
      <c r="R724" s="1758"/>
      <c r="S724" s="1758"/>
      <c r="T724" s="1762"/>
      <c r="U724" s="1762"/>
      <c r="V724" s="1762"/>
      <c r="W724" s="1762"/>
      <c r="X724" s="1750">
        <f t="shared" si="24"/>
        <v>855000</v>
      </c>
      <c r="Y724" s="175">
        <f t="shared" si="25"/>
        <v>0</v>
      </c>
    </row>
    <row r="725" spans="1:25" ht="30" x14ac:dyDescent="0.25">
      <c r="A725" s="32"/>
      <c r="B725" s="32"/>
      <c r="C725" s="32"/>
      <c r="D725" s="32"/>
      <c r="E725" s="32"/>
      <c r="F725" s="32"/>
      <c r="G725" s="1340" t="s">
        <v>2702</v>
      </c>
      <c r="H725" s="32" t="str">
        <f>'BID II'!B2268</f>
        <v>Belanja Upah</v>
      </c>
      <c r="I725" s="470">
        <f>'BID II'!F2270</f>
        <v>650000</v>
      </c>
      <c r="J725" s="66" t="s">
        <v>2626</v>
      </c>
      <c r="K725" s="851" t="s">
        <v>3030</v>
      </c>
      <c r="L725" s="1753"/>
      <c r="M725" s="1753"/>
      <c r="N725" s="1754">
        <v>650000</v>
      </c>
      <c r="O725" s="1753"/>
      <c r="P725" s="1758"/>
      <c r="Q725" s="1758"/>
      <c r="R725" s="1758"/>
      <c r="S725" s="1758"/>
      <c r="T725" s="1762"/>
      <c r="U725" s="1762"/>
      <c r="V725" s="1762"/>
      <c r="W725" s="1762"/>
      <c r="X725" s="1750">
        <f t="shared" si="24"/>
        <v>650000</v>
      </c>
      <c r="Y725" s="175">
        <f t="shared" si="25"/>
        <v>0</v>
      </c>
    </row>
    <row r="726" spans="1:25" ht="30" x14ac:dyDescent="0.25">
      <c r="A726" s="32"/>
      <c r="B726" s="32"/>
      <c r="C726" s="32"/>
      <c r="D726" s="32"/>
      <c r="E726" s="32"/>
      <c r="F726" s="32"/>
      <c r="G726" s="1340" t="s">
        <v>2703</v>
      </c>
      <c r="H726" s="32" t="str">
        <f>'BID II'!B2271</f>
        <v>Bahan Baku</v>
      </c>
      <c r="I726" s="470">
        <f>'BID II'!F2279</f>
        <v>42140000</v>
      </c>
      <c r="J726" s="66" t="s">
        <v>2626</v>
      </c>
      <c r="K726" s="851" t="s">
        <v>3030</v>
      </c>
      <c r="L726" s="1753"/>
      <c r="M726" s="1753"/>
      <c r="N726" s="1754">
        <v>42140000</v>
      </c>
      <c r="O726" s="1753"/>
      <c r="P726" s="1758"/>
      <c r="Q726" s="1758"/>
      <c r="R726" s="1758"/>
      <c r="S726" s="1758"/>
      <c r="T726" s="1762"/>
      <c r="U726" s="1762"/>
      <c r="V726" s="1762"/>
      <c r="W726" s="1762"/>
      <c r="X726" s="1750">
        <f t="shared" si="24"/>
        <v>42140000</v>
      </c>
      <c r="Y726" s="175">
        <f t="shared" si="25"/>
        <v>0</v>
      </c>
    </row>
    <row r="727" spans="1:25" ht="75" x14ac:dyDescent="0.25">
      <c r="A727" s="1344">
        <v>2</v>
      </c>
      <c r="B727" s="1344">
        <v>6</v>
      </c>
      <c r="C727" s="1346" t="s">
        <v>2702</v>
      </c>
      <c r="D727" s="1344"/>
      <c r="E727" s="1344"/>
      <c r="F727" s="1344"/>
      <c r="G727" s="1344"/>
      <c r="H727" s="1345" t="str">
        <f>'BID II'!B2296</f>
        <v>: Penyelenggaraan Informasi Publik Desa ( Pembuatan dan Pemasangan Baliho APBDesa )</v>
      </c>
      <c r="I727" s="1349">
        <f>I730</f>
        <v>3000000</v>
      </c>
      <c r="J727" s="1345" t="s">
        <v>2626</v>
      </c>
      <c r="K727" s="1344" t="s">
        <v>2994</v>
      </c>
      <c r="L727" s="1344"/>
      <c r="M727" s="1344"/>
      <c r="N727" s="1344"/>
      <c r="O727" s="1344"/>
      <c r="P727" s="1344"/>
      <c r="Q727" s="1344"/>
      <c r="R727" s="1344"/>
      <c r="S727" s="1344"/>
      <c r="T727" s="1344"/>
      <c r="U727" s="1344"/>
      <c r="V727" s="1344"/>
      <c r="W727" s="1344"/>
      <c r="X727" s="1353">
        <f t="shared" si="24"/>
        <v>0</v>
      </c>
      <c r="Y727" s="175">
        <f t="shared" si="25"/>
        <v>-3000000</v>
      </c>
    </row>
    <row r="728" spans="1:25" x14ac:dyDescent="0.25">
      <c r="A728" s="32"/>
      <c r="B728" s="32"/>
      <c r="C728" s="32"/>
      <c r="D728" s="32">
        <v>5</v>
      </c>
      <c r="E728" s="32">
        <v>2</v>
      </c>
      <c r="F728" s="32"/>
      <c r="G728" s="32"/>
      <c r="H728" s="66" t="str">
        <f>'BID II'!B2302</f>
        <v>Belanja Barang Jasa</v>
      </c>
      <c r="I728" s="32"/>
      <c r="J728" s="66"/>
      <c r="K728" s="32" t="s">
        <v>2994</v>
      </c>
      <c r="L728" s="1753"/>
      <c r="M728" s="1753"/>
      <c r="N728" s="1753"/>
      <c r="O728" s="1753"/>
      <c r="P728" s="1758"/>
      <c r="Q728" s="1758"/>
      <c r="R728" s="1758"/>
      <c r="S728" s="1758"/>
      <c r="T728" s="1762"/>
      <c r="U728" s="1762"/>
      <c r="V728" s="1762"/>
      <c r="W728" s="1762"/>
      <c r="X728" s="1750">
        <f t="shared" si="24"/>
        <v>0</v>
      </c>
      <c r="Y728" s="175">
        <f t="shared" si="25"/>
        <v>0</v>
      </c>
    </row>
    <row r="729" spans="1:25" ht="30" x14ac:dyDescent="0.25">
      <c r="A729" s="32"/>
      <c r="B729" s="32"/>
      <c r="C729" s="32"/>
      <c r="D729" s="32"/>
      <c r="E729" s="32"/>
      <c r="F729" s="32">
        <v>1</v>
      </c>
      <c r="G729" s="32"/>
      <c r="H729" s="66" t="str">
        <f>'BID II'!B2303</f>
        <v>Belanaj Barang Perlengkapan</v>
      </c>
      <c r="I729" s="32"/>
      <c r="J729" s="66"/>
      <c r="K729" s="32" t="s">
        <v>2994</v>
      </c>
      <c r="L729" s="1753"/>
      <c r="M729" s="1753"/>
      <c r="N729" s="1753"/>
      <c r="O729" s="1753"/>
      <c r="P729" s="1758"/>
      <c r="Q729" s="1758"/>
      <c r="R729" s="1758"/>
      <c r="S729" s="1758"/>
      <c r="T729" s="1762"/>
      <c r="U729" s="1762"/>
      <c r="V729" s="1762"/>
      <c r="W729" s="1762"/>
      <c r="X729" s="1750">
        <f t="shared" si="24"/>
        <v>0</v>
      </c>
      <c r="Y729" s="175">
        <f t="shared" si="25"/>
        <v>0</v>
      </c>
    </row>
    <row r="730" spans="1:25" ht="45" x14ac:dyDescent="0.25">
      <c r="A730" s="32"/>
      <c r="B730" s="32"/>
      <c r="C730" s="32"/>
      <c r="D730" s="32"/>
      <c r="E730" s="32"/>
      <c r="F730" s="32"/>
      <c r="G730" s="1340" t="s">
        <v>2706</v>
      </c>
      <c r="H730" s="66" t="str">
        <f>'BID II'!B2304</f>
        <v>Belanja perlengkapan cetak/ pengadaan (Baliho APBDes)</v>
      </c>
      <c r="I730" s="174">
        <f>SUM('BID II'!F2304)</f>
        <v>3000000</v>
      </c>
      <c r="J730" s="66" t="s">
        <v>2626</v>
      </c>
      <c r="K730" s="32" t="s">
        <v>2994</v>
      </c>
      <c r="L730" s="1753"/>
      <c r="M730" s="1754">
        <v>3000000</v>
      </c>
      <c r="N730" s="1753"/>
      <c r="O730" s="1753"/>
      <c r="P730" s="1758"/>
      <c r="Q730" s="1758"/>
      <c r="R730" s="1758"/>
      <c r="S730" s="1758"/>
      <c r="T730" s="1762"/>
      <c r="U730" s="1762"/>
      <c r="V730" s="1762"/>
      <c r="W730" s="1762"/>
      <c r="X730" s="1750">
        <f t="shared" ref="X730:X793" si="26">SUM(L730:W730)</f>
        <v>3000000</v>
      </c>
      <c r="Y730" s="175">
        <f t="shared" ref="Y730:Y793" si="27">X730-I730</f>
        <v>0</v>
      </c>
    </row>
    <row r="731" spans="1:25" ht="30" x14ac:dyDescent="0.25">
      <c r="A731" s="1342">
        <v>3</v>
      </c>
      <c r="B731" s="1342"/>
      <c r="C731" s="1342"/>
      <c r="D731" s="1342"/>
      <c r="E731" s="1342"/>
      <c r="F731" s="1342"/>
      <c r="G731" s="1342"/>
      <c r="H731" s="1343" t="str">
        <f>'BID III'!B27</f>
        <v>: Pembinaan Kemasyarakatan Desa</v>
      </c>
      <c r="I731" s="1351">
        <f>I733+I741+I749+I759+I769+I779+I800+I804+I808+I813+I818+I825+I829+I833+I846+I877+I888+I892+I919+I927+I936</f>
        <v>1865337418</v>
      </c>
      <c r="J731" s="1343"/>
      <c r="K731" s="470"/>
      <c r="L731" s="1755"/>
      <c r="M731" s="1753"/>
      <c r="N731" s="1753"/>
      <c r="O731" s="1753"/>
      <c r="P731" s="1758"/>
      <c r="Q731" s="1758"/>
      <c r="R731" s="1758"/>
      <c r="S731" s="1758"/>
      <c r="T731" s="1762"/>
      <c r="U731" s="1762"/>
      <c r="V731" s="1762"/>
      <c r="W731" s="1762"/>
      <c r="X731" s="1750">
        <f t="shared" si="26"/>
        <v>0</v>
      </c>
      <c r="Y731" s="175">
        <f t="shared" si="27"/>
        <v>-1865337418</v>
      </c>
    </row>
    <row r="732" spans="1:25" ht="45" x14ac:dyDescent="0.25">
      <c r="A732" s="1344"/>
      <c r="B732" s="1344"/>
      <c r="C732" s="1344"/>
      <c r="D732" s="1344"/>
      <c r="E732" s="1344"/>
      <c r="F732" s="1344"/>
      <c r="G732" s="1344"/>
      <c r="H732" s="1345" t="str">
        <f>'BID III'!B28</f>
        <v>: Ketentraman, Ketertiban Umum, dan Perlindungan Masyarakat</v>
      </c>
      <c r="I732" s="1344"/>
      <c r="J732" s="1345"/>
      <c r="K732" s="1349"/>
      <c r="L732" s="1344"/>
      <c r="M732" s="1344"/>
      <c r="N732" s="1344"/>
      <c r="O732" s="1344"/>
      <c r="P732" s="1344"/>
      <c r="Q732" s="1344"/>
      <c r="R732" s="1344"/>
      <c r="S732" s="1344"/>
      <c r="T732" s="1344"/>
      <c r="U732" s="1344"/>
      <c r="V732" s="1344"/>
      <c r="W732" s="1344"/>
      <c r="X732" s="1353">
        <f t="shared" si="26"/>
        <v>0</v>
      </c>
      <c r="Y732" s="175">
        <f t="shared" si="27"/>
        <v>0</v>
      </c>
    </row>
    <row r="733" spans="1:25" ht="75" x14ac:dyDescent="0.25">
      <c r="A733" s="1344">
        <v>3</v>
      </c>
      <c r="B733" s="1344">
        <v>1</v>
      </c>
      <c r="C733" s="1346" t="s">
        <v>2703</v>
      </c>
      <c r="D733" s="1344"/>
      <c r="E733" s="1344"/>
      <c r="F733" s="1344"/>
      <c r="G733" s="1344"/>
      <c r="H733" s="1345" t="str">
        <f>'BID III'!B29</f>
        <v>:Koordinasi Pembinaan Ketentraman, Ketertiban, dan Perlindungan Masyarakat (Pengamanan Pengerupukan)</v>
      </c>
      <c r="I733" s="1347">
        <f>SUM(I734:I740)</f>
        <v>7040000</v>
      </c>
      <c r="J733" s="1345" t="s">
        <v>1682</v>
      </c>
      <c r="K733" s="1345" t="s">
        <v>2992</v>
      </c>
      <c r="L733" s="1344"/>
      <c r="M733" s="1344"/>
      <c r="N733" s="1344"/>
      <c r="O733" s="1344"/>
      <c r="P733" s="1344"/>
      <c r="Q733" s="1344"/>
      <c r="R733" s="1344"/>
      <c r="S733" s="1344"/>
      <c r="T733" s="1344"/>
      <c r="U733" s="1344"/>
      <c r="V733" s="1344"/>
      <c r="W733" s="1344"/>
      <c r="X733" s="1353">
        <f t="shared" si="26"/>
        <v>0</v>
      </c>
      <c r="Y733" s="175">
        <f t="shared" si="27"/>
        <v>-7040000</v>
      </c>
    </row>
    <row r="734" spans="1:25" ht="30" x14ac:dyDescent="0.25">
      <c r="A734" s="32"/>
      <c r="B734" s="32"/>
      <c r="C734" s="32"/>
      <c r="D734" s="32">
        <v>5</v>
      </c>
      <c r="E734" s="32">
        <v>2</v>
      </c>
      <c r="F734" s="32"/>
      <c r="G734" s="32"/>
      <c r="H734" s="66" t="str">
        <f>'BID III'!B35</f>
        <v>Belanja Barang dan Jasa</v>
      </c>
      <c r="I734" s="32"/>
      <c r="J734" s="66"/>
      <c r="K734" s="66" t="s">
        <v>2992</v>
      </c>
      <c r="L734" s="1753"/>
      <c r="M734" s="1753"/>
      <c r="N734" s="1753"/>
      <c r="O734" s="1753"/>
      <c r="P734" s="1758"/>
      <c r="Q734" s="1758"/>
      <c r="R734" s="1758"/>
      <c r="S734" s="1758"/>
      <c r="T734" s="1762"/>
      <c r="U734" s="1762"/>
      <c r="V734" s="1762"/>
      <c r="W734" s="1762"/>
      <c r="X734" s="1750">
        <f t="shared" si="26"/>
        <v>0</v>
      </c>
      <c r="Y734" s="175">
        <f t="shared" si="27"/>
        <v>0</v>
      </c>
    </row>
    <row r="735" spans="1:25" ht="30" x14ac:dyDescent="0.25">
      <c r="A735" s="32"/>
      <c r="B735" s="32"/>
      <c r="C735" s="32"/>
      <c r="D735" s="32"/>
      <c r="E735" s="32"/>
      <c r="F735" s="32">
        <v>1</v>
      </c>
      <c r="G735" s="32"/>
      <c r="H735" s="66" t="str">
        <f>'BID III'!B36</f>
        <v>Belanja Barang Perlengkapan</v>
      </c>
      <c r="I735" s="32"/>
      <c r="J735" s="66"/>
      <c r="K735" s="66" t="s">
        <v>2992</v>
      </c>
      <c r="L735" s="1753"/>
      <c r="M735" s="1753"/>
      <c r="N735" s="1753"/>
      <c r="O735" s="1753"/>
      <c r="P735" s="1758"/>
      <c r="Q735" s="1758"/>
      <c r="R735" s="1758"/>
      <c r="S735" s="1758"/>
      <c r="T735" s="1762"/>
      <c r="U735" s="1762"/>
      <c r="V735" s="1762"/>
      <c r="W735" s="1762"/>
      <c r="X735" s="1750">
        <f t="shared" si="26"/>
        <v>0</v>
      </c>
      <c r="Y735" s="175">
        <f t="shared" si="27"/>
        <v>0</v>
      </c>
    </row>
    <row r="736" spans="1:25" ht="30" x14ac:dyDescent="0.25">
      <c r="A736" s="32"/>
      <c r="B736" s="32"/>
      <c r="C736" s="32"/>
      <c r="D736" s="32"/>
      <c r="E736" s="32"/>
      <c r="F736" s="32"/>
      <c r="G736" s="1340" t="s">
        <v>2705</v>
      </c>
      <c r="H736" s="66" t="str">
        <f>'BID III'!B37</f>
        <v>Belanja Perlengkapan Barang Konsumsi</v>
      </c>
      <c r="I736" s="513">
        <f>SUM('BID III'!F38:F39)</f>
        <v>3375000</v>
      </c>
      <c r="J736" s="66" t="s">
        <v>1682</v>
      </c>
      <c r="K736" s="66" t="s">
        <v>2992</v>
      </c>
      <c r="L736" s="1753"/>
      <c r="M736" s="1753"/>
      <c r="N736" s="1754">
        <v>3375000</v>
      </c>
      <c r="O736" s="1753"/>
      <c r="P736" s="1758"/>
      <c r="Q736" s="1758"/>
      <c r="R736" s="1758"/>
      <c r="S736" s="1758"/>
      <c r="T736" s="1762"/>
      <c r="U736" s="1762"/>
      <c r="V736" s="1762"/>
      <c r="W736" s="1762"/>
      <c r="X736" s="1750">
        <f t="shared" si="26"/>
        <v>3375000</v>
      </c>
      <c r="Y736" s="175">
        <f t="shared" si="27"/>
        <v>0</v>
      </c>
    </row>
    <row r="737" spans="1:25" ht="30" x14ac:dyDescent="0.25">
      <c r="A737" s="32"/>
      <c r="B737" s="32"/>
      <c r="C737" s="32"/>
      <c r="D737" s="32"/>
      <c r="E737" s="32"/>
      <c r="F737" s="32"/>
      <c r="G737" s="1340" t="s">
        <v>2708</v>
      </c>
      <c r="H737" s="66" t="str">
        <f>'BID III'!B40</f>
        <v>Belanaja Bahan Meterial</v>
      </c>
      <c r="I737" s="32"/>
      <c r="J737" s="66"/>
      <c r="K737" s="66" t="s">
        <v>2992</v>
      </c>
      <c r="L737" s="1753"/>
      <c r="M737" s="1753"/>
      <c r="N737" s="1754"/>
      <c r="O737" s="1753"/>
      <c r="P737" s="1758"/>
      <c r="Q737" s="1758"/>
      <c r="R737" s="1758"/>
      <c r="S737" s="1758"/>
      <c r="T737" s="1762"/>
      <c r="U737" s="1762"/>
      <c r="V737" s="1762"/>
      <c r="W737" s="1762"/>
      <c r="X737" s="1750">
        <f t="shared" si="26"/>
        <v>0</v>
      </c>
      <c r="Y737" s="175">
        <f t="shared" si="27"/>
        <v>0</v>
      </c>
    </row>
    <row r="738" spans="1:25" ht="30" x14ac:dyDescent="0.25">
      <c r="A738" s="32"/>
      <c r="B738" s="32"/>
      <c r="C738" s="32"/>
      <c r="D738" s="32"/>
      <c r="E738" s="32"/>
      <c r="F738" s="32"/>
      <c r="G738" s="32">
        <v>90</v>
      </c>
      <c r="H738" s="66" t="str">
        <f>'BID III'!B41</f>
        <v>Belanja Upakara, Upacara Dan Aci</v>
      </c>
      <c r="I738" s="513">
        <f>SUM('BID III'!F42:F44)</f>
        <v>65000</v>
      </c>
      <c r="J738" s="66" t="s">
        <v>1682</v>
      </c>
      <c r="K738" s="66" t="s">
        <v>2992</v>
      </c>
      <c r="L738" s="1753"/>
      <c r="M738" s="1753"/>
      <c r="N738" s="1754">
        <v>65000</v>
      </c>
      <c r="O738" s="1753"/>
      <c r="P738" s="1758"/>
      <c r="Q738" s="1758"/>
      <c r="R738" s="1758"/>
      <c r="S738" s="1758"/>
      <c r="T738" s="1762"/>
      <c r="U738" s="1762"/>
      <c r="V738" s="1762"/>
      <c r="W738" s="1762"/>
      <c r="X738" s="1750">
        <f t="shared" si="26"/>
        <v>65000</v>
      </c>
      <c r="Y738" s="175">
        <f t="shared" si="27"/>
        <v>0</v>
      </c>
    </row>
    <row r="739" spans="1:25" ht="30" x14ac:dyDescent="0.25">
      <c r="A739" s="32"/>
      <c r="B739" s="32"/>
      <c r="C739" s="32"/>
      <c r="D739" s="32">
        <v>5</v>
      </c>
      <c r="E739" s="32">
        <v>2</v>
      </c>
      <c r="F739" s="32">
        <v>2</v>
      </c>
      <c r="G739" s="32"/>
      <c r="H739" s="66" t="str">
        <f>'BID III'!B45</f>
        <v>Belanja Jasa Honorarium</v>
      </c>
      <c r="I739" s="32"/>
      <c r="J739" s="66"/>
      <c r="K739" s="66" t="s">
        <v>2992</v>
      </c>
      <c r="L739" s="1753"/>
      <c r="M739" s="1753"/>
      <c r="N739" s="1754"/>
      <c r="O739" s="1753"/>
      <c r="P739" s="1758"/>
      <c r="Q739" s="1758"/>
      <c r="R739" s="1758"/>
      <c r="S739" s="1758"/>
      <c r="T739" s="1762"/>
      <c r="U739" s="1762"/>
      <c r="V739" s="1762"/>
      <c r="W739" s="1762"/>
      <c r="X739" s="1750">
        <f t="shared" si="26"/>
        <v>0</v>
      </c>
      <c r="Y739" s="175">
        <f t="shared" si="27"/>
        <v>0</v>
      </c>
    </row>
    <row r="740" spans="1:25" ht="30" x14ac:dyDescent="0.25">
      <c r="A740" s="32"/>
      <c r="B740" s="32"/>
      <c r="C740" s="32"/>
      <c r="D740" s="32"/>
      <c r="E740" s="32"/>
      <c r="F740" s="32"/>
      <c r="G740" s="1340" t="s">
        <v>2706</v>
      </c>
      <c r="H740" s="66" t="str">
        <f>'BID III'!B46</f>
        <v>Belanja Jasa Honorarium Petugas</v>
      </c>
      <c r="I740" s="513">
        <f>SUM('BID III'!F46)</f>
        <v>3600000</v>
      </c>
      <c r="J740" s="66" t="s">
        <v>1682</v>
      </c>
      <c r="K740" s="66" t="s">
        <v>2992</v>
      </c>
      <c r="L740" s="1753"/>
      <c r="M740" s="1753"/>
      <c r="N740" s="1754">
        <v>3600000</v>
      </c>
      <c r="O740" s="1753"/>
      <c r="P740" s="1758"/>
      <c r="Q740" s="1758"/>
      <c r="R740" s="1758"/>
      <c r="S740" s="1758"/>
      <c r="T740" s="1762"/>
      <c r="U740" s="1762"/>
      <c r="V740" s="1762"/>
      <c r="W740" s="1762"/>
      <c r="X740" s="1750">
        <f t="shared" si="26"/>
        <v>3600000</v>
      </c>
      <c r="Y740" s="175">
        <f t="shared" si="27"/>
        <v>0</v>
      </c>
    </row>
    <row r="741" spans="1:25" ht="75" x14ac:dyDescent="0.25">
      <c r="A741" s="1344">
        <v>3</v>
      </c>
      <c r="B741" s="1344">
        <v>1</v>
      </c>
      <c r="C741" s="1346" t="s">
        <v>2702</v>
      </c>
      <c r="D741" s="1344"/>
      <c r="E741" s="1344"/>
      <c r="F741" s="1344"/>
      <c r="G741" s="1344"/>
      <c r="H741" s="1345" t="str">
        <f>'BID III'!B62</f>
        <v>: Koordinasi Pembinaan Ketentraman, Ketertiban, dan Perlindungan Masyarakat (Pengamanan Tahun Baru)</v>
      </c>
      <c r="I741" s="1347">
        <f>SUM(I742:I748)</f>
        <v>8540000</v>
      </c>
      <c r="J741" s="1345" t="s">
        <v>2626</v>
      </c>
      <c r="K741" s="1345" t="s">
        <v>2992</v>
      </c>
      <c r="L741" s="1344"/>
      <c r="M741" s="1344"/>
      <c r="N741" s="1344"/>
      <c r="O741" s="1344"/>
      <c r="P741" s="1344"/>
      <c r="Q741" s="1344"/>
      <c r="R741" s="1344"/>
      <c r="S741" s="1344"/>
      <c r="T741" s="1344"/>
      <c r="U741" s="1344"/>
      <c r="V741" s="1344"/>
      <c r="W741" s="1344"/>
      <c r="X741" s="1353">
        <f t="shared" si="26"/>
        <v>0</v>
      </c>
      <c r="Y741" s="175">
        <f t="shared" si="27"/>
        <v>-8540000</v>
      </c>
    </row>
    <row r="742" spans="1:25" ht="30" x14ac:dyDescent="0.25">
      <c r="A742" s="32"/>
      <c r="B742" s="32"/>
      <c r="C742" s="32"/>
      <c r="D742" s="32">
        <v>5</v>
      </c>
      <c r="E742" s="32">
        <v>2</v>
      </c>
      <c r="F742" s="32"/>
      <c r="G742" s="32"/>
      <c r="H742" s="66" t="str">
        <f>'BID III'!B68</f>
        <v>Belanja Barang dan Jasa</v>
      </c>
      <c r="I742" s="32"/>
      <c r="J742" s="66"/>
      <c r="K742" s="66" t="s">
        <v>2992</v>
      </c>
      <c r="L742" s="1753"/>
      <c r="M742" s="1753"/>
      <c r="N742" s="1753"/>
      <c r="O742" s="1753"/>
      <c r="P742" s="1758"/>
      <c r="Q742" s="1758"/>
      <c r="R742" s="1758"/>
      <c r="S742" s="1758"/>
      <c r="T742" s="1762"/>
      <c r="U742" s="1762"/>
      <c r="V742" s="1762"/>
      <c r="W742" s="1762"/>
      <c r="X742" s="1750">
        <f t="shared" si="26"/>
        <v>0</v>
      </c>
      <c r="Y742" s="175">
        <f t="shared" si="27"/>
        <v>0</v>
      </c>
    </row>
    <row r="743" spans="1:25" ht="30" x14ac:dyDescent="0.25">
      <c r="A743" s="32"/>
      <c r="B743" s="32"/>
      <c r="C743" s="32"/>
      <c r="D743" s="32"/>
      <c r="E743" s="32"/>
      <c r="F743" s="32">
        <v>1</v>
      </c>
      <c r="G743" s="32"/>
      <c r="H743" s="66" t="str">
        <f>'BID III'!B69</f>
        <v>Belanja Barang Perlengkapan</v>
      </c>
      <c r="I743" s="32"/>
      <c r="J743" s="66"/>
      <c r="K743" s="66" t="s">
        <v>2992</v>
      </c>
      <c r="L743" s="1753"/>
      <c r="M743" s="1753"/>
      <c r="N743" s="1753"/>
      <c r="O743" s="1753"/>
      <c r="P743" s="1758"/>
      <c r="Q743" s="1758"/>
      <c r="R743" s="1758"/>
      <c r="S743" s="1758"/>
      <c r="T743" s="1762"/>
      <c r="U743" s="1762"/>
      <c r="V743" s="1762"/>
      <c r="W743" s="1762"/>
      <c r="X743" s="1750">
        <f t="shared" si="26"/>
        <v>0</v>
      </c>
      <c r="Y743" s="175">
        <f t="shared" si="27"/>
        <v>0</v>
      </c>
    </row>
    <row r="744" spans="1:25" ht="30" x14ac:dyDescent="0.25">
      <c r="A744" s="32"/>
      <c r="B744" s="32"/>
      <c r="C744" s="32"/>
      <c r="D744" s="32"/>
      <c r="E744" s="32"/>
      <c r="F744" s="32"/>
      <c r="G744" s="1340" t="s">
        <v>2705</v>
      </c>
      <c r="H744" s="66" t="str">
        <f>'BID III'!B70</f>
        <v>Belanja Perlengkapan Barang Konsumsi</v>
      </c>
      <c r="I744" s="513">
        <f>SUM('BID III'!F71:F72)</f>
        <v>3375000</v>
      </c>
      <c r="J744" s="66" t="s">
        <v>2626</v>
      </c>
      <c r="K744" s="66" t="s">
        <v>2992</v>
      </c>
      <c r="L744" s="1754">
        <v>3375000</v>
      </c>
      <c r="M744" s="1753"/>
      <c r="N744" s="1753"/>
      <c r="O744" s="1753"/>
      <c r="P744" s="1758"/>
      <c r="Q744" s="1758"/>
      <c r="R744" s="1758"/>
      <c r="S744" s="1758"/>
      <c r="T744" s="1762"/>
      <c r="U744" s="1762"/>
      <c r="V744" s="1762"/>
      <c r="W744" s="1762"/>
      <c r="X744" s="1750">
        <f t="shared" si="26"/>
        <v>3375000</v>
      </c>
      <c r="Y744" s="175">
        <f t="shared" si="27"/>
        <v>0</v>
      </c>
    </row>
    <row r="745" spans="1:25" ht="30" x14ac:dyDescent="0.25">
      <c r="A745" s="32"/>
      <c r="B745" s="32"/>
      <c r="C745" s="32"/>
      <c r="D745" s="32"/>
      <c r="E745" s="32"/>
      <c r="F745" s="32"/>
      <c r="G745" s="1340" t="s">
        <v>2708</v>
      </c>
      <c r="H745" s="66" t="str">
        <f>'BID III'!B73</f>
        <v>Belanaja Bahan Meterial</v>
      </c>
      <c r="I745" s="32"/>
      <c r="J745" s="66"/>
      <c r="K745" s="66" t="s">
        <v>2992</v>
      </c>
      <c r="L745" s="1754"/>
      <c r="M745" s="1753"/>
      <c r="N745" s="1753"/>
      <c r="O745" s="1753"/>
      <c r="P745" s="1758"/>
      <c r="Q745" s="1758"/>
      <c r="R745" s="1758"/>
      <c r="S745" s="1758"/>
      <c r="T745" s="1762"/>
      <c r="U745" s="1762"/>
      <c r="V745" s="1762"/>
      <c r="W745" s="1762"/>
      <c r="X745" s="1750">
        <f t="shared" si="26"/>
        <v>0</v>
      </c>
      <c r="Y745" s="175">
        <f t="shared" si="27"/>
        <v>0</v>
      </c>
    </row>
    <row r="746" spans="1:25" ht="30" x14ac:dyDescent="0.25">
      <c r="A746" s="32"/>
      <c r="B746" s="32"/>
      <c r="C746" s="32"/>
      <c r="D746" s="32"/>
      <c r="E746" s="32"/>
      <c r="F746" s="32"/>
      <c r="G746" s="32">
        <v>90</v>
      </c>
      <c r="H746" s="66" t="str">
        <f>'BID III'!B74</f>
        <v>Belanja Upakara, Upacara Dan Aci</v>
      </c>
      <c r="I746" s="513">
        <f>SUM('BID III'!F75:F77)</f>
        <v>65000</v>
      </c>
      <c r="J746" s="66" t="s">
        <v>2626</v>
      </c>
      <c r="K746" s="66" t="s">
        <v>2992</v>
      </c>
      <c r="L746" s="1754">
        <v>65000</v>
      </c>
      <c r="M746" s="1753"/>
      <c r="N746" s="1753"/>
      <c r="O746" s="1753"/>
      <c r="P746" s="1758"/>
      <c r="Q746" s="1758"/>
      <c r="R746" s="1758"/>
      <c r="S746" s="1758"/>
      <c r="T746" s="1762"/>
      <c r="U746" s="1762"/>
      <c r="V746" s="1762"/>
      <c r="W746" s="1762"/>
      <c r="X746" s="1750">
        <f t="shared" si="26"/>
        <v>65000</v>
      </c>
      <c r="Y746" s="175">
        <f t="shared" si="27"/>
        <v>0</v>
      </c>
    </row>
    <row r="747" spans="1:25" ht="30" x14ac:dyDescent="0.25">
      <c r="A747" s="32"/>
      <c r="B747" s="32"/>
      <c r="C747" s="32"/>
      <c r="D747" s="32">
        <v>5</v>
      </c>
      <c r="E747" s="32">
        <v>2</v>
      </c>
      <c r="F747" s="32">
        <v>2</v>
      </c>
      <c r="G747" s="32"/>
      <c r="H747" s="66" t="str">
        <f>'BID III'!B78</f>
        <v>Belanja Jasa Honorarium</v>
      </c>
      <c r="I747" s="32"/>
      <c r="J747" s="66"/>
      <c r="K747" s="66" t="s">
        <v>2992</v>
      </c>
      <c r="L747" s="1754"/>
      <c r="M747" s="1753"/>
      <c r="N747" s="1753"/>
      <c r="O747" s="1753"/>
      <c r="P747" s="1758"/>
      <c r="Q747" s="1758"/>
      <c r="R747" s="1758"/>
      <c r="S747" s="1758"/>
      <c r="T747" s="1762"/>
      <c r="U747" s="1762"/>
      <c r="V747" s="1762"/>
      <c r="W747" s="1762"/>
      <c r="X747" s="1750">
        <f t="shared" si="26"/>
        <v>0</v>
      </c>
      <c r="Y747" s="175">
        <f t="shared" si="27"/>
        <v>0</v>
      </c>
    </row>
    <row r="748" spans="1:25" ht="30" x14ac:dyDescent="0.25">
      <c r="A748" s="32"/>
      <c r="B748" s="32"/>
      <c r="C748" s="32"/>
      <c r="D748" s="32"/>
      <c r="E748" s="32"/>
      <c r="F748" s="32"/>
      <c r="G748" s="1340" t="s">
        <v>2704</v>
      </c>
      <c r="H748" s="66" t="str">
        <f>'BID III'!B79</f>
        <v>Belanja Jasa Honorarium Petugas</v>
      </c>
      <c r="I748" s="513">
        <f>'BID III'!F79</f>
        <v>5100000</v>
      </c>
      <c r="J748" s="66" t="s">
        <v>2626</v>
      </c>
      <c r="K748" s="66" t="s">
        <v>2992</v>
      </c>
      <c r="L748" s="1754">
        <v>5100000</v>
      </c>
      <c r="M748" s="1753"/>
      <c r="N748" s="1753"/>
      <c r="O748" s="1753"/>
      <c r="P748" s="1758"/>
      <c r="Q748" s="1758"/>
      <c r="R748" s="1758"/>
      <c r="S748" s="1758"/>
      <c r="T748" s="1762"/>
      <c r="U748" s="1762"/>
      <c r="V748" s="1762"/>
      <c r="W748" s="1762"/>
      <c r="X748" s="1750">
        <f t="shared" si="26"/>
        <v>5100000</v>
      </c>
      <c r="Y748" s="175">
        <f t="shared" si="27"/>
        <v>0</v>
      </c>
    </row>
    <row r="749" spans="1:25" ht="75" x14ac:dyDescent="0.25">
      <c r="A749" s="1344">
        <v>3</v>
      </c>
      <c r="B749" s="1344">
        <v>1</v>
      </c>
      <c r="C749" s="1346" t="s">
        <v>2703</v>
      </c>
      <c r="D749" s="1344"/>
      <c r="E749" s="1344"/>
      <c r="F749" s="1344"/>
      <c r="G749" s="1344"/>
      <c r="H749" s="1345" t="str">
        <f>'BID III'!B95</f>
        <v>:Koordinasi Pembinaan Ketentraman, Ketertiban, dan Perlindungan Masyarakat (Penjagaan Linmas Desa)</v>
      </c>
      <c r="I749" s="1347">
        <f>SUM(I750:I758)</f>
        <v>416098660</v>
      </c>
      <c r="J749" s="1345"/>
      <c r="K749" s="1345" t="s">
        <v>2992</v>
      </c>
      <c r="L749" s="1344"/>
      <c r="M749" s="1344"/>
      <c r="N749" s="1344"/>
      <c r="O749" s="1344"/>
      <c r="P749" s="1344"/>
      <c r="Q749" s="1344"/>
      <c r="R749" s="1344"/>
      <c r="S749" s="1344"/>
      <c r="T749" s="1344"/>
      <c r="U749" s="1344"/>
      <c r="V749" s="1344"/>
      <c r="W749" s="1344"/>
      <c r="X749" s="1353">
        <f t="shared" si="26"/>
        <v>0</v>
      </c>
      <c r="Y749" s="175">
        <f t="shared" si="27"/>
        <v>-416098660</v>
      </c>
    </row>
    <row r="750" spans="1:25" ht="30" x14ac:dyDescent="0.25">
      <c r="A750" s="32"/>
      <c r="B750" s="32"/>
      <c r="C750" s="32"/>
      <c r="D750" s="32">
        <v>5</v>
      </c>
      <c r="E750" s="32">
        <v>2</v>
      </c>
      <c r="F750" s="32"/>
      <c r="G750" s="32"/>
      <c r="H750" s="66" t="str">
        <f>'BID III'!B100</f>
        <v>Belanja Barang Dan Jasa</v>
      </c>
      <c r="I750" s="32"/>
      <c r="J750" s="66"/>
      <c r="K750" s="66" t="s">
        <v>2992</v>
      </c>
      <c r="L750" s="1753"/>
      <c r="M750" s="1753"/>
      <c r="N750" s="1753"/>
      <c r="O750" s="1753"/>
      <c r="P750" s="1758"/>
      <c r="Q750" s="1758"/>
      <c r="R750" s="1758"/>
      <c r="S750" s="1758"/>
      <c r="T750" s="1762"/>
      <c r="U750" s="1762"/>
      <c r="V750" s="1762"/>
      <c r="W750" s="1762"/>
      <c r="X750" s="1750">
        <f t="shared" si="26"/>
        <v>0</v>
      </c>
      <c r="Y750" s="175">
        <f t="shared" si="27"/>
        <v>0</v>
      </c>
    </row>
    <row r="751" spans="1:25" ht="30" x14ac:dyDescent="0.25">
      <c r="A751" s="32"/>
      <c r="B751" s="32"/>
      <c r="C751" s="32"/>
      <c r="D751" s="32"/>
      <c r="E751" s="32"/>
      <c r="F751" s="32">
        <v>1</v>
      </c>
      <c r="G751" s="32"/>
      <c r="H751" s="66" t="str">
        <f>'BID III'!B101</f>
        <v>Belanja Barang Perlengkapan</v>
      </c>
      <c r="I751" s="32"/>
      <c r="J751" s="66"/>
      <c r="K751" s="66" t="s">
        <v>2992</v>
      </c>
      <c r="L751" s="1753"/>
      <c r="M751" s="1753"/>
      <c r="N751" s="1753"/>
      <c r="O751" s="1753"/>
      <c r="P751" s="1758"/>
      <c r="Q751" s="1758"/>
      <c r="R751" s="1758"/>
      <c r="S751" s="1758"/>
      <c r="T751" s="1762"/>
      <c r="U751" s="1762"/>
      <c r="V751" s="1762"/>
      <c r="W751" s="1762"/>
      <c r="X751" s="1750">
        <f t="shared" si="26"/>
        <v>0</v>
      </c>
      <c r="Y751" s="175">
        <f t="shared" si="27"/>
        <v>0</v>
      </c>
    </row>
    <row r="752" spans="1:25" ht="30" x14ac:dyDescent="0.25">
      <c r="A752" s="32"/>
      <c r="B752" s="32"/>
      <c r="C752" s="32"/>
      <c r="D752" s="32"/>
      <c r="E752" s="32"/>
      <c r="F752" s="32"/>
      <c r="G752" s="1340" t="s">
        <v>2706</v>
      </c>
      <c r="H752" s="66" t="str">
        <f>'BID III'!B102</f>
        <v>Belanja perlengkapan Cetak</v>
      </c>
      <c r="I752" s="513">
        <f>SUM('BID III'!F103:F104)</f>
        <v>300000</v>
      </c>
      <c r="J752" s="66" t="s">
        <v>1682</v>
      </c>
      <c r="K752" s="66" t="s">
        <v>2992</v>
      </c>
      <c r="L752" s="1753"/>
      <c r="M752" s="1753"/>
      <c r="N752" s="1753"/>
      <c r="O752" s="1753"/>
      <c r="P752" s="1758"/>
      <c r="Q752" s="1758"/>
      <c r="R752" s="1758"/>
      <c r="S752" s="1759">
        <v>300000</v>
      </c>
      <c r="T752" s="1762"/>
      <c r="U752" s="1762"/>
      <c r="V752" s="1762"/>
      <c r="W752" s="1762"/>
      <c r="X752" s="1750">
        <f t="shared" si="26"/>
        <v>300000</v>
      </c>
      <c r="Y752" s="175">
        <f t="shared" si="27"/>
        <v>0</v>
      </c>
    </row>
    <row r="753" spans="1:26" ht="60" x14ac:dyDescent="0.25">
      <c r="A753" s="32"/>
      <c r="B753" s="32"/>
      <c r="C753" s="32"/>
      <c r="D753" s="32"/>
      <c r="E753" s="32"/>
      <c r="F753" s="32"/>
      <c r="G753" s="1340" t="s">
        <v>2704</v>
      </c>
      <c r="H753" s="66" t="str">
        <f>'BID III'!B105</f>
        <v>Belanja Bahan Bakar Minyak/ gas/ isi Ulang Tabung Pemadam Kebakaran</v>
      </c>
      <c r="I753" s="513">
        <f>SUM('BID III'!F106:F107)</f>
        <v>15000000</v>
      </c>
      <c r="J753" s="66" t="s">
        <v>1682</v>
      </c>
      <c r="K753" s="66" t="s">
        <v>2992</v>
      </c>
      <c r="L753" s="1753"/>
      <c r="M753" s="1753"/>
      <c r="N753" s="1753"/>
      <c r="O753" s="1753"/>
      <c r="P753" s="1758"/>
      <c r="Q753" s="1758"/>
      <c r="R753" s="1758"/>
      <c r="S753" s="1759">
        <v>15000000</v>
      </c>
      <c r="T753" s="1762"/>
      <c r="U753" s="1762"/>
      <c r="V753" s="1762"/>
      <c r="W753" s="1762"/>
      <c r="X753" s="1750">
        <f t="shared" si="26"/>
        <v>15000000</v>
      </c>
      <c r="Y753" s="175">
        <f t="shared" si="27"/>
        <v>0</v>
      </c>
    </row>
    <row r="754" spans="1:26" ht="30" x14ac:dyDescent="0.25">
      <c r="A754" s="32"/>
      <c r="B754" s="32"/>
      <c r="C754" s="32"/>
      <c r="D754" s="32"/>
      <c r="E754" s="32"/>
      <c r="F754" s="32"/>
      <c r="G754" s="1340" t="s">
        <v>2708</v>
      </c>
      <c r="H754" s="66" t="str">
        <f>'BID III'!B108</f>
        <v>Belanja Bahan Meterial</v>
      </c>
      <c r="I754" s="513">
        <f>SUM('BID III'!F109:F116)</f>
        <v>136498660</v>
      </c>
      <c r="J754" s="66" t="s">
        <v>1682</v>
      </c>
      <c r="K754" s="66" t="s">
        <v>2992</v>
      </c>
      <c r="L754" s="1753"/>
      <c r="M754" s="1753"/>
      <c r="N754" s="1753"/>
      <c r="O754" s="1754">
        <v>136498660</v>
      </c>
      <c r="P754" s="1758"/>
      <c r="Q754" s="1758"/>
      <c r="R754" s="1758"/>
      <c r="S754" s="1758"/>
      <c r="T754" s="1762"/>
      <c r="U754" s="1762"/>
      <c r="V754" s="1762"/>
      <c r="W754" s="1762"/>
      <c r="X754" s="1750">
        <f t="shared" si="26"/>
        <v>136498660</v>
      </c>
      <c r="Y754" s="175">
        <f t="shared" si="27"/>
        <v>0</v>
      </c>
    </row>
    <row r="755" spans="1:26" ht="30" x14ac:dyDescent="0.25">
      <c r="A755" s="32"/>
      <c r="B755" s="32"/>
      <c r="C755" s="32"/>
      <c r="D755" s="32">
        <v>5</v>
      </c>
      <c r="E755" s="32">
        <v>2</v>
      </c>
      <c r="F755" s="32">
        <v>2</v>
      </c>
      <c r="G755" s="32"/>
      <c r="H755" s="66" t="str">
        <f>'BID III'!B117</f>
        <v>Belanja Jasa Honorarium</v>
      </c>
      <c r="I755" s="32"/>
      <c r="J755" s="66"/>
      <c r="K755" s="66" t="s">
        <v>2992</v>
      </c>
      <c r="L755" s="1753"/>
      <c r="M755" s="1753"/>
      <c r="N755" s="1753"/>
      <c r="O755" s="1753"/>
      <c r="P755" s="1758"/>
      <c r="Q755" s="1758"/>
      <c r="R755" s="1758"/>
      <c r="S755" s="1758"/>
      <c r="T755" s="1762"/>
      <c r="U755" s="1762"/>
      <c r="V755" s="1762"/>
      <c r="W755" s="1762"/>
      <c r="X755" s="1750">
        <f t="shared" si="26"/>
        <v>0</v>
      </c>
      <c r="Y755" s="175">
        <f t="shared" si="27"/>
        <v>0</v>
      </c>
    </row>
    <row r="756" spans="1:26" ht="30" x14ac:dyDescent="0.25">
      <c r="A756" s="32"/>
      <c r="B756" s="32"/>
      <c r="C756" s="32"/>
      <c r="D756" s="32"/>
      <c r="E756" s="32"/>
      <c r="F756" s="32"/>
      <c r="G756" s="1340" t="s">
        <v>2706</v>
      </c>
      <c r="H756" s="66" t="str">
        <f>'BID III'!B118</f>
        <v>Belanja Jasa Honorarium Petugas</v>
      </c>
      <c r="I756" s="513">
        <f>'BID III'!F119</f>
        <v>255500000</v>
      </c>
      <c r="J756" s="66" t="s">
        <v>2626</v>
      </c>
      <c r="K756" s="66" t="s">
        <v>2992</v>
      </c>
      <c r="L756" s="1754">
        <v>21700000</v>
      </c>
      <c r="M756" s="1754">
        <v>20300000</v>
      </c>
      <c r="N756" s="1754">
        <v>21700000</v>
      </c>
      <c r="O756" s="1754">
        <v>21000000</v>
      </c>
      <c r="P756" s="1754">
        <v>21700000</v>
      </c>
      <c r="Q756" s="1754">
        <v>21000000</v>
      </c>
      <c r="R756" s="1754">
        <v>21700000</v>
      </c>
      <c r="S756" s="1754">
        <v>21700000</v>
      </c>
      <c r="T756" s="1754">
        <v>21000000</v>
      </c>
      <c r="U756" s="1754">
        <v>21700000</v>
      </c>
      <c r="V756" s="1754">
        <v>21000000</v>
      </c>
      <c r="W756" s="1754">
        <v>21000000</v>
      </c>
      <c r="X756" s="1750">
        <f t="shared" si="26"/>
        <v>255500000</v>
      </c>
      <c r="Y756" s="175">
        <f t="shared" si="27"/>
        <v>0</v>
      </c>
      <c r="Z756" s="175"/>
    </row>
    <row r="757" spans="1:26" ht="30" x14ac:dyDescent="0.25">
      <c r="A757" s="32"/>
      <c r="B757" s="32"/>
      <c r="C757" s="32"/>
      <c r="D757" s="32">
        <v>5</v>
      </c>
      <c r="E757" s="32">
        <v>2</v>
      </c>
      <c r="F757" s="32">
        <v>6</v>
      </c>
      <c r="G757" s="32"/>
      <c r="H757" s="66" t="str">
        <f>'BID III'!B120</f>
        <v>Belanja Pemeliharaan</v>
      </c>
      <c r="I757" s="32"/>
      <c r="J757" s="66"/>
      <c r="K757" s="66" t="s">
        <v>2992</v>
      </c>
      <c r="L757" s="1753"/>
      <c r="M757" s="1753"/>
      <c r="N757" s="1753"/>
      <c r="O757" s="1753"/>
      <c r="P757" s="1758"/>
      <c r="Q757" s="1758"/>
      <c r="R757" s="1758"/>
      <c r="S757" s="1758"/>
      <c r="T757" s="1762"/>
      <c r="U757" s="1762"/>
      <c r="V757" s="1762"/>
      <c r="W757" s="1762"/>
      <c r="X757" s="1750">
        <f t="shared" si="26"/>
        <v>0</v>
      </c>
      <c r="Y757" s="175">
        <f t="shared" si="27"/>
        <v>0</v>
      </c>
    </row>
    <row r="758" spans="1:26" ht="30" x14ac:dyDescent="0.25">
      <c r="A758" s="32"/>
      <c r="B758" s="32"/>
      <c r="C758" s="32"/>
      <c r="D758" s="32"/>
      <c r="E758" s="32"/>
      <c r="F758" s="32"/>
      <c r="G758" s="1340" t="s">
        <v>2702</v>
      </c>
      <c r="H758" s="66" t="str">
        <f>'BID III'!B121</f>
        <v>Belanja Pemeliharaan Kendaraan Bermotor</v>
      </c>
      <c r="I758" s="513">
        <f>SUM('BID III'!F122:F125)</f>
        <v>8800000</v>
      </c>
      <c r="J758" s="66" t="s">
        <v>1682</v>
      </c>
      <c r="K758" s="66" t="s">
        <v>2992</v>
      </c>
      <c r="L758" s="1753"/>
      <c r="M758" s="1753"/>
      <c r="N758" s="1753"/>
      <c r="O758" s="1753"/>
      <c r="P758" s="1758"/>
      <c r="Q758" s="1758"/>
      <c r="R758" s="1758"/>
      <c r="S758" s="1759">
        <v>8800000</v>
      </c>
      <c r="T758" s="1762"/>
      <c r="U758" s="1762"/>
      <c r="V758" s="1762"/>
      <c r="W758" s="1762"/>
      <c r="X758" s="1750">
        <f t="shared" si="26"/>
        <v>8800000</v>
      </c>
      <c r="Y758" s="175">
        <f t="shared" si="27"/>
        <v>0</v>
      </c>
    </row>
    <row r="759" spans="1:26" ht="75" x14ac:dyDescent="0.25">
      <c r="A759" s="1344">
        <v>3</v>
      </c>
      <c r="B759" s="1344">
        <v>1</v>
      </c>
      <c r="C759" s="1346" t="s">
        <v>2704</v>
      </c>
      <c r="D759" s="1344"/>
      <c r="E759" s="1344"/>
      <c r="F759" s="1344"/>
      <c r="G759" s="1344"/>
      <c r="H759" s="1345" t="str">
        <f>'BID III'!B141</f>
        <v>: Pelatihan Kesiapsiagaan/Tanggap Bencana Skala Lokal Desa ( Pelatihan Tanggap Darurat Bencana )</v>
      </c>
      <c r="I759" s="1347">
        <f>SUM(I760:I768)</f>
        <v>8578000</v>
      </c>
      <c r="J759" s="1345" t="s">
        <v>1682</v>
      </c>
      <c r="K759" s="1345" t="s">
        <v>2992</v>
      </c>
      <c r="L759" s="1344"/>
      <c r="M759" s="1344"/>
      <c r="N759" s="1344"/>
      <c r="O759" s="1344"/>
      <c r="P759" s="1344"/>
      <c r="Q759" s="1344"/>
      <c r="R759" s="1344"/>
      <c r="S759" s="1344"/>
      <c r="T759" s="1344"/>
      <c r="U759" s="1344"/>
      <c r="V759" s="1344"/>
      <c r="W759" s="1344"/>
      <c r="X759" s="1353">
        <f t="shared" si="26"/>
        <v>0</v>
      </c>
      <c r="Y759" s="175">
        <f t="shared" si="27"/>
        <v>-8578000</v>
      </c>
    </row>
    <row r="760" spans="1:26" ht="30" x14ac:dyDescent="0.25">
      <c r="A760" s="32"/>
      <c r="B760" s="32"/>
      <c r="C760" s="32"/>
      <c r="D760" s="32">
        <v>5</v>
      </c>
      <c r="E760" s="32">
        <v>2</v>
      </c>
      <c r="F760" s="32"/>
      <c r="G760" s="32"/>
      <c r="H760" s="66" t="str">
        <f>'BID III'!B147</f>
        <v>Belanja Barang Dan Jasa</v>
      </c>
      <c r="I760" s="32"/>
      <c r="J760" s="66"/>
      <c r="K760" s="66" t="s">
        <v>2992</v>
      </c>
      <c r="L760" s="1753"/>
      <c r="M760" s="1753"/>
      <c r="N760" s="1753"/>
      <c r="O760" s="1753"/>
      <c r="P760" s="1758"/>
      <c r="Q760" s="1758"/>
      <c r="R760" s="1758"/>
      <c r="S760" s="1758"/>
      <c r="T760" s="1762"/>
      <c r="U760" s="1762"/>
      <c r="V760" s="1762"/>
      <c r="W760" s="1762"/>
      <c r="X760" s="1750">
        <f t="shared" si="26"/>
        <v>0</v>
      </c>
      <c r="Y760" s="175">
        <f t="shared" si="27"/>
        <v>0</v>
      </c>
    </row>
    <row r="761" spans="1:26" ht="30" x14ac:dyDescent="0.25">
      <c r="A761" s="32"/>
      <c r="B761" s="32"/>
      <c r="C761" s="32"/>
      <c r="D761" s="32"/>
      <c r="E761" s="32"/>
      <c r="F761" s="32">
        <v>1</v>
      </c>
      <c r="G761" s="32"/>
      <c r="H761" s="66" t="str">
        <f>'BID III'!B148</f>
        <v>Belanja Barang Perlengkapan</v>
      </c>
      <c r="I761" s="32"/>
      <c r="J761" s="66"/>
      <c r="K761" s="66" t="s">
        <v>2992</v>
      </c>
      <c r="L761" s="1753"/>
      <c r="M761" s="1753"/>
      <c r="N761" s="1753"/>
      <c r="O761" s="1753"/>
      <c r="P761" s="1758"/>
      <c r="Q761" s="1758"/>
      <c r="R761" s="1758"/>
      <c r="S761" s="1758"/>
      <c r="T761" s="1762"/>
      <c r="U761" s="1762"/>
      <c r="V761" s="1762"/>
      <c r="W761" s="1762"/>
      <c r="X761" s="1750">
        <f t="shared" si="26"/>
        <v>0</v>
      </c>
      <c r="Y761" s="175">
        <f t="shared" si="27"/>
        <v>0</v>
      </c>
    </row>
    <row r="762" spans="1:26" ht="60" x14ac:dyDescent="0.25">
      <c r="A762" s="32"/>
      <c r="B762" s="32"/>
      <c r="C762" s="32"/>
      <c r="D762" s="32"/>
      <c r="E762" s="32"/>
      <c r="F762" s="32"/>
      <c r="G762" s="1340" t="s">
        <v>2704</v>
      </c>
      <c r="H762" s="66" t="str">
        <f>'BID III'!B149</f>
        <v>Belanja Bahan Bakar Minyak/Gas/Isi Ulang Tabung Pemadam Kebakaran</v>
      </c>
      <c r="I762" s="174">
        <f>SUM('BID III'!F150)</f>
        <v>1800000</v>
      </c>
      <c r="J762" s="66" t="s">
        <v>1682</v>
      </c>
      <c r="K762" s="66" t="s">
        <v>2992</v>
      </c>
      <c r="L762" s="1753"/>
      <c r="M762" s="1753"/>
      <c r="N762" s="1753"/>
      <c r="O762" s="1753"/>
      <c r="P762" s="1758"/>
      <c r="Q762" s="1758"/>
      <c r="R762" s="1758"/>
      <c r="S762" s="1758"/>
      <c r="T762" s="1763">
        <v>1800000</v>
      </c>
      <c r="U762" s="1762"/>
      <c r="V762" s="1762"/>
      <c r="W762" s="1762"/>
      <c r="X762" s="1750">
        <f t="shared" si="26"/>
        <v>1800000</v>
      </c>
      <c r="Y762" s="175">
        <f t="shared" si="27"/>
        <v>0</v>
      </c>
    </row>
    <row r="763" spans="1:26" ht="30" x14ac:dyDescent="0.25">
      <c r="A763" s="32"/>
      <c r="B763" s="32"/>
      <c r="C763" s="32"/>
      <c r="D763" s="32"/>
      <c r="E763" s="32"/>
      <c r="F763" s="32"/>
      <c r="G763" s="1340" t="s">
        <v>2705</v>
      </c>
      <c r="H763" s="66" t="str">
        <f>'BID III'!B151</f>
        <v>Belanja Perlengkapan Barang Konsumsi</v>
      </c>
      <c r="I763" s="174">
        <f>SUM('BID III'!F152)</f>
        <v>675000</v>
      </c>
      <c r="J763" s="66" t="s">
        <v>1682</v>
      </c>
      <c r="K763" s="66" t="s">
        <v>2992</v>
      </c>
      <c r="L763" s="1753"/>
      <c r="M763" s="1753"/>
      <c r="N763" s="1753"/>
      <c r="O763" s="1753"/>
      <c r="P763" s="1758"/>
      <c r="Q763" s="1758"/>
      <c r="R763" s="1758"/>
      <c r="S763" s="1758"/>
      <c r="T763" s="1763">
        <v>675000</v>
      </c>
      <c r="U763" s="1762"/>
      <c r="V763" s="1762"/>
      <c r="W763" s="1762"/>
      <c r="X763" s="1750">
        <f t="shared" si="26"/>
        <v>675000</v>
      </c>
      <c r="Y763" s="175">
        <f t="shared" si="27"/>
        <v>0</v>
      </c>
    </row>
    <row r="764" spans="1:26" ht="30" x14ac:dyDescent="0.25">
      <c r="A764" s="32"/>
      <c r="B764" s="32"/>
      <c r="C764" s="32"/>
      <c r="D764" s="32"/>
      <c r="E764" s="32"/>
      <c r="F764" s="32"/>
      <c r="G764" s="1340" t="s">
        <v>2708</v>
      </c>
      <c r="H764" s="66" t="str">
        <f>'BID III'!B153</f>
        <v>Belanja Bahan Material</v>
      </c>
      <c r="I764" s="174">
        <f>SUM('BID III'!F154:F156)</f>
        <v>5638000</v>
      </c>
      <c r="J764" s="66"/>
      <c r="K764" s="66" t="s">
        <v>2992</v>
      </c>
      <c r="L764" s="1753"/>
      <c r="M764" s="1753"/>
      <c r="N764" s="1753"/>
      <c r="O764" s="1753"/>
      <c r="P764" s="1758"/>
      <c r="Q764" s="1758"/>
      <c r="R764" s="1758"/>
      <c r="S764" s="1758"/>
      <c r="T764" s="1763">
        <v>5638000</v>
      </c>
      <c r="U764" s="1762"/>
      <c r="V764" s="1762"/>
      <c r="W764" s="1762"/>
      <c r="X764" s="1750">
        <f t="shared" si="26"/>
        <v>5638000</v>
      </c>
      <c r="Y764" s="175">
        <f t="shared" si="27"/>
        <v>0</v>
      </c>
    </row>
    <row r="765" spans="1:26" ht="30" x14ac:dyDescent="0.25">
      <c r="A765" s="32"/>
      <c r="B765" s="32"/>
      <c r="C765" s="32"/>
      <c r="D765" s="32"/>
      <c r="E765" s="32"/>
      <c r="F765" s="32"/>
      <c r="G765" s="1340" t="s">
        <v>2707</v>
      </c>
      <c r="H765" s="66" t="str">
        <f>'BID III'!B158</f>
        <v>Belanja Bendera/ Umbul-umbul/ Spanduk</v>
      </c>
      <c r="I765" s="174">
        <f>'BID III'!F159</f>
        <v>90000</v>
      </c>
      <c r="J765" s="66" t="s">
        <v>1682</v>
      </c>
      <c r="K765" s="66" t="s">
        <v>2992</v>
      </c>
      <c r="L765" s="1753"/>
      <c r="M765" s="1753"/>
      <c r="N765" s="1753"/>
      <c r="O765" s="1753"/>
      <c r="P765" s="1758"/>
      <c r="Q765" s="1758"/>
      <c r="R765" s="1758"/>
      <c r="S765" s="1758"/>
      <c r="T765" s="1763">
        <v>90000</v>
      </c>
      <c r="U765" s="1762"/>
      <c r="V765" s="1762"/>
      <c r="W765" s="1762"/>
      <c r="X765" s="1750">
        <f t="shared" si="26"/>
        <v>90000</v>
      </c>
      <c r="Y765" s="175">
        <f t="shared" si="27"/>
        <v>0</v>
      </c>
    </row>
    <row r="766" spans="1:26" ht="30" x14ac:dyDescent="0.25">
      <c r="A766" s="32"/>
      <c r="B766" s="32"/>
      <c r="C766" s="32"/>
      <c r="D766" s="32"/>
      <c r="E766" s="32"/>
      <c r="F766" s="32"/>
      <c r="G766" s="32">
        <v>90</v>
      </c>
      <c r="H766" s="66" t="str">
        <f>'BID III'!B160</f>
        <v>Belanja Upakara, Upacara Dan Aci</v>
      </c>
      <c r="I766" s="174">
        <f>SUM('BID III'!F161:F163)</f>
        <v>75000</v>
      </c>
      <c r="J766" s="66" t="s">
        <v>1682</v>
      </c>
      <c r="K766" s="66" t="s">
        <v>2992</v>
      </c>
      <c r="L766" s="1753"/>
      <c r="M766" s="1753"/>
      <c r="N766" s="1753"/>
      <c r="O766" s="1753"/>
      <c r="P766" s="1758"/>
      <c r="Q766" s="1758"/>
      <c r="R766" s="1758"/>
      <c r="S766" s="1758"/>
      <c r="T766" s="1763">
        <v>75000</v>
      </c>
      <c r="U766" s="1762"/>
      <c r="V766" s="1762"/>
      <c r="W766" s="1762"/>
      <c r="X766" s="1750">
        <f t="shared" si="26"/>
        <v>75000</v>
      </c>
      <c r="Y766" s="175">
        <f t="shared" si="27"/>
        <v>0</v>
      </c>
    </row>
    <row r="767" spans="1:26" ht="30" x14ac:dyDescent="0.25">
      <c r="A767" s="32"/>
      <c r="B767" s="32"/>
      <c r="C767" s="32"/>
      <c r="D767" s="32">
        <v>5</v>
      </c>
      <c r="E767" s="32">
        <v>2</v>
      </c>
      <c r="F767" s="32">
        <v>2</v>
      </c>
      <c r="G767" s="32"/>
      <c r="H767" s="66" t="str">
        <f>'BID III'!B164</f>
        <v>Belanja Jasa Honorarium</v>
      </c>
      <c r="I767" s="32"/>
      <c r="J767" s="66"/>
      <c r="K767" s="66" t="s">
        <v>2992</v>
      </c>
      <c r="L767" s="1753"/>
      <c r="M767" s="1753"/>
      <c r="N767" s="1753"/>
      <c r="O767" s="1753"/>
      <c r="P767" s="1758"/>
      <c r="Q767" s="1758"/>
      <c r="R767" s="1758"/>
      <c r="S767" s="1758"/>
      <c r="T767" s="1763"/>
      <c r="U767" s="1762"/>
      <c r="V767" s="1762"/>
      <c r="W767" s="1762"/>
      <c r="X767" s="1750">
        <f t="shared" si="26"/>
        <v>0</v>
      </c>
      <c r="Y767" s="175">
        <f t="shared" si="27"/>
        <v>0</v>
      </c>
    </row>
    <row r="768" spans="1:26" ht="45" x14ac:dyDescent="0.25">
      <c r="A768" s="32"/>
      <c r="B768" s="32"/>
      <c r="C768" s="32"/>
      <c r="D768" s="32"/>
      <c r="E768" s="32"/>
      <c r="F768" s="32"/>
      <c r="G768" s="1340" t="s">
        <v>2706</v>
      </c>
      <c r="H768" s="66" t="str">
        <f>'BID III'!B165</f>
        <v>Belanja Jasa Honorarium Ahli/Profesi/Konsultan/Narasumber</v>
      </c>
      <c r="I768" s="174">
        <f>'BID III'!F166</f>
        <v>300000</v>
      </c>
      <c r="J768" s="66" t="s">
        <v>1682</v>
      </c>
      <c r="K768" s="66" t="s">
        <v>2992</v>
      </c>
      <c r="L768" s="1753"/>
      <c r="M768" s="1753"/>
      <c r="N768" s="1753"/>
      <c r="O768" s="1753"/>
      <c r="P768" s="1758"/>
      <c r="Q768" s="1758"/>
      <c r="R768" s="1758"/>
      <c r="S768" s="1758"/>
      <c r="T768" s="1763">
        <v>300000</v>
      </c>
      <c r="U768" s="1762"/>
      <c r="V768" s="1762"/>
      <c r="W768" s="1762"/>
      <c r="X768" s="1750">
        <f t="shared" si="26"/>
        <v>300000</v>
      </c>
      <c r="Y768" s="175">
        <f t="shared" si="27"/>
        <v>0</v>
      </c>
    </row>
    <row r="769" spans="1:25" ht="60" x14ac:dyDescent="0.25">
      <c r="A769" s="1344">
        <v>3</v>
      </c>
      <c r="B769" s="1344">
        <v>2</v>
      </c>
      <c r="C769" s="1346" t="s">
        <v>2703</v>
      </c>
      <c r="D769" s="1344"/>
      <c r="E769" s="1344"/>
      <c r="F769" s="1344"/>
      <c r="G769" s="1344"/>
      <c r="H769" s="1345" t="str">
        <f>'BID III'!B183</f>
        <v>: Pembinaan Kesenian, Adat, Kebudayaan, dan Keagamaan ( Pembinaan Sekaa Seni Joged )</v>
      </c>
      <c r="I769" s="1347">
        <f>SUM(I770:I778)</f>
        <v>37765000</v>
      </c>
      <c r="J769" s="1345" t="s">
        <v>1682</v>
      </c>
      <c r="K769" s="1347" t="s">
        <v>3031</v>
      </c>
      <c r="L769" s="1344"/>
      <c r="M769" s="1344"/>
      <c r="N769" s="1344"/>
      <c r="O769" s="1344"/>
      <c r="P769" s="1344"/>
      <c r="Q769" s="1344"/>
      <c r="R769" s="1344"/>
      <c r="S769" s="1344"/>
      <c r="T769" s="1344"/>
      <c r="U769" s="1344"/>
      <c r="V769" s="1344"/>
      <c r="W769" s="1344"/>
      <c r="X769" s="1353">
        <f t="shared" si="26"/>
        <v>0</v>
      </c>
      <c r="Y769" s="175">
        <f t="shared" si="27"/>
        <v>-37765000</v>
      </c>
    </row>
    <row r="770" spans="1:25" x14ac:dyDescent="0.25">
      <c r="A770" s="32"/>
      <c r="B770" s="32"/>
      <c r="C770" s="32"/>
      <c r="D770" s="32">
        <v>5</v>
      </c>
      <c r="E770" s="32">
        <v>2</v>
      </c>
      <c r="F770" s="32"/>
      <c r="G770" s="32"/>
      <c r="H770" s="66" t="str">
        <f>'BID III'!B189</f>
        <v>Belanja Barang Jasa</v>
      </c>
      <c r="I770" s="32"/>
      <c r="J770" s="66"/>
      <c r="K770" s="470" t="s">
        <v>3031</v>
      </c>
      <c r="L770" s="1753"/>
      <c r="M770" s="1753"/>
      <c r="N770" s="1753"/>
      <c r="O770" s="1753"/>
      <c r="P770" s="1758"/>
      <c r="Q770" s="1758"/>
      <c r="R770" s="1758"/>
      <c r="S770" s="1758"/>
      <c r="T770" s="1762"/>
      <c r="U770" s="1762"/>
      <c r="V770" s="1762"/>
      <c r="W770" s="1762"/>
      <c r="X770" s="1750">
        <f t="shared" si="26"/>
        <v>0</v>
      </c>
      <c r="Y770" s="175">
        <f t="shared" si="27"/>
        <v>0</v>
      </c>
    </row>
    <row r="771" spans="1:25" ht="30" x14ac:dyDescent="0.25">
      <c r="A771" s="32"/>
      <c r="B771" s="32"/>
      <c r="C771" s="32"/>
      <c r="D771" s="32"/>
      <c r="E771" s="32"/>
      <c r="F771" s="32">
        <v>1</v>
      </c>
      <c r="G771" s="32"/>
      <c r="H771" s="66" t="str">
        <f>'BID III'!B190</f>
        <v>Belanja Barang Perlengkapan</v>
      </c>
      <c r="I771" s="32"/>
      <c r="J771" s="66"/>
      <c r="K771" s="470" t="s">
        <v>3031</v>
      </c>
      <c r="L771" s="1753"/>
      <c r="M771" s="1753"/>
      <c r="N771" s="1753"/>
      <c r="O771" s="1753"/>
      <c r="P771" s="1758"/>
      <c r="Q771" s="1758"/>
      <c r="R771" s="1758"/>
      <c r="S771" s="1758"/>
      <c r="T771" s="1762"/>
      <c r="U771" s="1762"/>
      <c r="V771" s="1762"/>
      <c r="W771" s="1762"/>
      <c r="X771" s="1750">
        <f t="shared" si="26"/>
        <v>0</v>
      </c>
      <c r="Y771" s="175">
        <f t="shared" si="27"/>
        <v>0</v>
      </c>
    </row>
    <row r="772" spans="1:25" ht="30" x14ac:dyDescent="0.25">
      <c r="A772" s="32"/>
      <c r="B772" s="32"/>
      <c r="C772" s="32"/>
      <c r="D772" s="32"/>
      <c r="E772" s="32"/>
      <c r="F772" s="32"/>
      <c r="G772" s="1340" t="s">
        <v>2705</v>
      </c>
      <c r="H772" s="66" t="str">
        <f>'BID III'!B191</f>
        <v>Belanja Perlengkapan Barang Konsumsi</v>
      </c>
      <c r="I772" s="174">
        <f>SUM('BID III'!F192)</f>
        <v>6000000</v>
      </c>
      <c r="J772" s="66" t="s">
        <v>1682</v>
      </c>
      <c r="K772" s="470" t="s">
        <v>3031</v>
      </c>
      <c r="L772" s="1753"/>
      <c r="M772" s="1753"/>
      <c r="N772" s="1754">
        <v>6000000</v>
      </c>
      <c r="O772" s="1753"/>
      <c r="P772" s="1758"/>
      <c r="Q772" s="1758"/>
      <c r="R772" s="1758"/>
      <c r="S772" s="1758"/>
      <c r="T772" s="1762"/>
      <c r="U772" s="1762"/>
      <c r="V772" s="1762"/>
      <c r="W772" s="1762"/>
      <c r="X772" s="1750">
        <f t="shared" si="26"/>
        <v>6000000</v>
      </c>
      <c r="Y772" s="175">
        <f t="shared" si="27"/>
        <v>0</v>
      </c>
    </row>
    <row r="773" spans="1:25" ht="30" x14ac:dyDescent="0.25">
      <c r="A773" s="32"/>
      <c r="B773" s="32"/>
      <c r="C773" s="32"/>
      <c r="D773" s="32"/>
      <c r="E773" s="32"/>
      <c r="F773" s="32"/>
      <c r="G773" s="1340" t="s">
        <v>2707</v>
      </c>
      <c r="H773" s="66" t="str">
        <f>'BID III'!B193</f>
        <v>Belanja Bendera/Umbul - umbul/Spanduk</v>
      </c>
      <c r="I773" s="174">
        <f>'BID III'!F194</f>
        <v>90000</v>
      </c>
      <c r="J773" s="66" t="s">
        <v>1682</v>
      </c>
      <c r="K773" s="470" t="s">
        <v>3031</v>
      </c>
      <c r="L773" s="1753"/>
      <c r="M773" s="1753"/>
      <c r="N773" s="1754">
        <v>90000</v>
      </c>
      <c r="O773" s="1753"/>
      <c r="P773" s="1758"/>
      <c r="Q773" s="1758"/>
      <c r="R773" s="1758"/>
      <c r="S773" s="1758"/>
      <c r="T773" s="1762"/>
      <c r="U773" s="1762"/>
      <c r="V773" s="1762"/>
      <c r="W773" s="1762"/>
      <c r="X773" s="1750">
        <f t="shared" si="26"/>
        <v>90000</v>
      </c>
      <c r="Y773" s="175">
        <f t="shared" si="27"/>
        <v>0</v>
      </c>
    </row>
    <row r="774" spans="1:25" ht="30" x14ac:dyDescent="0.25">
      <c r="A774" s="32"/>
      <c r="B774" s="32"/>
      <c r="C774" s="32"/>
      <c r="D774" s="32"/>
      <c r="E774" s="32"/>
      <c r="F774" s="32"/>
      <c r="G774" s="32">
        <v>90</v>
      </c>
      <c r="H774" s="66" t="str">
        <f>'BID III'!B195</f>
        <v>Belanja Upakara, Upacara Dan Aci</v>
      </c>
      <c r="I774" s="174">
        <f>'BID III'!F196+'BID III'!F197+'BID III'!F198</f>
        <v>75000</v>
      </c>
      <c r="J774" s="66" t="s">
        <v>1682</v>
      </c>
      <c r="K774" s="470" t="s">
        <v>3031</v>
      </c>
      <c r="L774" s="1753"/>
      <c r="M774" s="1753"/>
      <c r="N774" s="1754">
        <v>75000</v>
      </c>
      <c r="O774" s="1753"/>
      <c r="P774" s="1758"/>
      <c r="Q774" s="1758"/>
      <c r="R774" s="1758"/>
      <c r="S774" s="1758"/>
      <c r="T774" s="1762"/>
      <c r="U774" s="1762"/>
      <c r="V774" s="1762"/>
      <c r="W774" s="1762"/>
      <c r="X774" s="1750">
        <f t="shared" si="26"/>
        <v>75000</v>
      </c>
      <c r="Y774" s="175">
        <f t="shared" si="27"/>
        <v>0</v>
      </c>
    </row>
    <row r="775" spans="1:25" x14ac:dyDescent="0.25">
      <c r="A775" s="32"/>
      <c r="B775" s="32"/>
      <c r="C775" s="32"/>
      <c r="D775" s="32">
        <v>5</v>
      </c>
      <c r="E775" s="32">
        <v>2</v>
      </c>
      <c r="F775" s="32">
        <v>2</v>
      </c>
      <c r="G775" s="32"/>
      <c r="H775" s="66" t="str">
        <f>'BID III'!B200</f>
        <v>Belanja Jasa Honorarium</v>
      </c>
      <c r="I775" s="32"/>
      <c r="J775" s="66"/>
      <c r="K775" s="470" t="s">
        <v>3031</v>
      </c>
      <c r="L775" s="1753"/>
      <c r="M775" s="1753"/>
      <c r="N775" s="1754"/>
      <c r="O775" s="1753"/>
      <c r="P775" s="1758"/>
      <c r="Q775" s="1758"/>
      <c r="R775" s="1758"/>
      <c r="S775" s="1758"/>
      <c r="T775" s="1762"/>
      <c r="U775" s="1762"/>
      <c r="V775" s="1762"/>
      <c r="W775" s="1762"/>
      <c r="X775" s="1750">
        <f t="shared" si="26"/>
        <v>0</v>
      </c>
      <c r="Y775" s="175">
        <f t="shared" si="27"/>
        <v>0</v>
      </c>
    </row>
    <row r="776" spans="1:25" ht="60" x14ac:dyDescent="0.25">
      <c r="A776" s="32"/>
      <c r="B776" s="32"/>
      <c r="C776" s="32"/>
      <c r="D776" s="32"/>
      <c r="E776" s="32"/>
      <c r="F776" s="32"/>
      <c r="G776" s="1340" t="s">
        <v>2688</v>
      </c>
      <c r="H776" s="66" t="str">
        <f>'BID III'!B201</f>
        <v>Belanja Jasa Honorarium Ahli Profesi/Konsultan/Narasumber</v>
      </c>
      <c r="I776" s="174">
        <f>SUM('BID III'!F202:F203)</f>
        <v>4800000</v>
      </c>
      <c r="J776" s="66" t="s">
        <v>1682</v>
      </c>
      <c r="K776" s="470" t="s">
        <v>3031</v>
      </c>
      <c r="L776" s="1753"/>
      <c r="M776" s="1753"/>
      <c r="N776" s="1754">
        <v>4800000</v>
      </c>
      <c r="O776" s="1753"/>
      <c r="P776" s="1758"/>
      <c r="Q776" s="1758"/>
      <c r="R776" s="1758"/>
      <c r="S776" s="1758"/>
      <c r="T776" s="1762"/>
      <c r="U776" s="1762"/>
      <c r="V776" s="1762"/>
      <c r="W776" s="1762"/>
      <c r="X776" s="1750">
        <f t="shared" si="26"/>
        <v>4800000</v>
      </c>
      <c r="Y776" s="175">
        <f t="shared" si="27"/>
        <v>0</v>
      </c>
    </row>
    <row r="777" spans="1:25" ht="30" x14ac:dyDescent="0.25">
      <c r="A777" s="32"/>
      <c r="B777" s="32"/>
      <c r="C777" s="32"/>
      <c r="D777" s="32">
        <v>5</v>
      </c>
      <c r="E777" s="32">
        <v>2</v>
      </c>
      <c r="F777" s="32">
        <v>7</v>
      </c>
      <c r="G777" s="1340"/>
      <c r="H777" s="66" t="str">
        <f>'BID III'!B204</f>
        <v>Belanja Barang Yanf Diserhkan</v>
      </c>
      <c r="I777" s="174"/>
      <c r="J777" s="66"/>
      <c r="K777" s="470" t="s">
        <v>3031</v>
      </c>
      <c r="L777" s="1753"/>
      <c r="M777" s="1753"/>
      <c r="N777" s="1754"/>
      <c r="O777" s="1753"/>
      <c r="P777" s="1758"/>
      <c r="Q777" s="1758"/>
      <c r="R777" s="1758"/>
      <c r="S777" s="1758"/>
      <c r="T777" s="1762"/>
      <c r="U777" s="1762"/>
      <c r="V777" s="1762"/>
      <c r="W777" s="1762"/>
      <c r="X777" s="1750">
        <f t="shared" si="26"/>
        <v>0</v>
      </c>
      <c r="Y777" s="175">
        <f t="shared" si="27"/>
        <v>0</v>
      </c>
    </row>
    <row r="778" spans="1:25" ht="60" x14ac:dyDescent="0.25">
      <c r="A778" s="32"/>
      <c r="B778" s="32"/>
      <c r="C778" s="32"/>
      <c r="D778" s="32"/>
      <c r="E778" s="32"/>
      <c r="F778" s="32"/>
      <c r="G778" s="1340" t="s">
        <v>2688</v>
      </c>
      <c r="H778" s="66" t="str">
        <f>'BID III'!B205</f>
        <v>Belanja Bahan Perlengkapan yang diserahkan kepada masyarakat</v>
      </c>
      <c r="I778" s="174">
        <f>SUM('BID III'!F207:F209)</f>
        <v>26800000</v>
      </c>
      <c r="J778" s="66" t="s">
        <v>1682</v>
      </c>
      <c r="K778" s="470" t="s">
        <v>3031</v>
      </c>
      <c r="L778" s="1753"/>
      <c r="M778" s="1753"/>
      <c r="N778" s="1754">
        <v>26800000</v>
      </c>
      <c r="O778" s="1753"/>
      <c r="P778" s="1758"/>
      <c r="Q778" s="1758"/>
      <c r="R778" s="1758"/>
      <c r="S778" s="1758"/>
      <c r="T778" s="1762"/>
      <c r="U778" s="1762"/>
      <c r="V778" s="1762"/>
      <c r="W778" s="1762"/>
      <c r="X778" s="1750">
        <f t="shared" si="26"/>
        <v>26800000</v>
      </c>
      <c r="Y778" s="175">
        <f t="shared" si="27"/>
        <v>0</v>
      </c>
    </row>
    <row r="779" spans="1:25" ht="165" x14ac:dyDescent="0.25">
      <c r="A779" s="1344">
        <v>3</v>
      </c>
      <c r="B779" s="1344">
        <v>2</v>
      </c>
      <c r="C779" s="1346" t="s">
        <v>2703</v>
      </c>
      <c r="D779" s="1344"/>
      <c r="E779" s="1344"/>
      <c r="F779" s="1344"/>
      <c r="G779" s="1344"/>
      <c r="H779" s="1345" t="str">
        <f>'BID III'!B224</f>
        <v xml:space="preserve">  : Penyelenggaraan Festival Kesenian, Adat / Kebudayaan, dan Keagamaan (Pembinaan dan Lomba Nyurat Aksara Bali Anak SD, Ngwacen Lontar Anak Remaja Usia 19 s/d 23 Tahun, Nyatua Bali Krama Istri Dalam Rangka Penyelenggaraan Bulan Bahasa Bali )</v>
      </c>
      <c r="I779" s="1347">
        <f>SUM(I780:I799)</f>
        <v>35502000</v>
      </c>
      <c r="J779" s="1345" t="s">
        <v>2626</v>
      </c>
      <c r="K779" s="1347" t="s">
        <v>3031</v>
      </c>
      <c r="L779" s="1344"/>
      <c r="M779" s="1344"/>
      <c r="N779" s="1344"/>
      <c r="O779" s="1344"/>
      <c r="P779" s="1344"/>
      <c r="Q779" s="1344"/>
      <c r="R779" s="1344"/>
      <c r="S779" s="1344"/>
      <c r="T779" s="1344"/>
      <c r="U779" s="1344"/>
      <c r="V779" s="1344"/>
      <c r="W779" s="1344"/>
      <c r="X779" s="1353">
        <f t="shared" si="26"/>
        <v>0</v>
      </c>
      <c r="Y779" s="175">
        <f t="shared" si="27"/>
        <v>-35502000</v>
      </c>
    </row>
    <row r="780" spans="1:25" x14ac:dyDescent="0.25">
      <c r="A780" s="32"/>
      <c r="B780" s="32"/>
      <c r="C780" s="32"/>
      <c r="D780" s="32">
        <v>5</v>
      </c>
      <c r="E780" s="32">
        <v>2</v>
      </c>
      <c r="F780" s="32"/>
      <c r="G780" s="32"/>
      <c r="H780" s="66" t="str">
        <f>'BID III'!B229</f>
        <v>Belanja Barang Jasa</v>
      </c>
      <c r="I780" s="32"/>
      <c r="J780" s="66"/>
      <c r="K780" s="470" t="s">
        <v>3031</v>
      </c>
      <c r="L780" s="1753"/>
      <c r="M780" s="1753"/>
      <c r="N780" s="1753"/>
      <c r="O780" s="1753"/>
      <c r="P780" s="1758"/>
      <c r="Q780" s="1758"/>
      <c r="R780" s="1758"/>
      <c r="S780" s="1758"/>
      <c r="T780" s="1762"/>
      <c r="U780" s="1762"/>
      <c r="V780" s="1762"/>
      <c r="W780" s="1762"/>
      <c r="X780" s="1750">
        <f t="shared" si="26"/>
        <v>0</v>
      </c>
      <c r="Y780" s="175">
        <f t="shared" si="27"/>
        <v>0</v>
      </c>
    </row>
    <row r="781" spans="1:25" ht="30" x14ac:dyDescent="0.25">
      <c r="A781" s="32"/>
      <c r="B781" s="32"/>
      <c r="C781" s="32"/>
      <c r="D781" s="32"/>
      <c r="E781" s="32"/>
      <c r="F781" s="32">
        <v>1</v>
      </c>
      <c r="G781" s="32"/>
      <c r="H781" s="66" t="str">
        <f>'BID III'!B230</f>
        <v>Belanja Barang Perlengkapan</v>
      </c>
      <c r="I781" s="32"/>
      <c r="J781" s="66"/>
      <c r="K781" s="470" t="s">
        <v>3031</v>
      </c>
      <c r="L781" s="1753"/>
      <c r="M781" s="1753"/>
      <c r="N781" s="1753"/>
      <c r="O781" s="1753"/>
      <c r="P781" s="1758"/>
      <c r="Q781" s="1758"/>
      <c r="R781" s="1758"/>
      <c r="S781" s="1758"/>
      <c r="T781" s="1762"/>
      <c r="U781" s="1762"/>
      <c r="V781" s="1762"/>
      <c r="W781" s="1762"/>
      <c r="X781" s="1750">
        <f t="shared" si="26"/>
        <v>0</v>
      </c>
      <c r="Y781" s="175">
        <f t="shared" si="27"/>
        <v>0</v>
      </c>
    </row>
    <row r="782" spans="1:25" ht="30" x14ac:dyDescent="0.25">
      <c r="A782" s="32"/>
      <c r="B782" s="32"/>
      <c r="C782" s="32"/>
      <c r="D782" s="32"/>
      <c r="E782" s="32"/>
      <c r="F782" s="32"/>
      <c r="G782" s="1340" t="s">
        <v>2705</v>
      </c>
      <c r="H782" s="66" t="str">
        <f>'BID III'!B231</f>
        <v>Belanja Perlengkapan Barang Konsumsi</v>
      </c>
      <c r="I782" s="174">
        <f>SUM('BID III'!F233:F239)</f>
        <v>7950000</v>
      </c>
      <c r="J782" s="66" t="s">
        <v>2626</v>
      </c>
      <c r="K782" s="470" t="s">
        <v>3031</v>
      </c>
      <c r="L782" s="1753"/>
      <c r="M782" s="1754">
        <v>7950000</v>
      </c>
      <c r="N782" s="1753"/>
      <c r="O782" s="1753"/>
      <c r="P782" s="1758"/>
      <c r="Q782" s="1758"/>
      <c r="R782" s="1758"/>
      <c r="S782" s="1758"/>
      <c r="T782" s="1762"/>
      <c r="U782" s="1762"/>
      <c r="V782" s="1762"/>
      <c r="W782" s="1762"/>
      <c r="X782" s="1750">
        <f t="shared" si="26"/>
        <v>7950000</v>
      </c>
      <c r="Y782" s="175">
        <f t="shared" si="27"/>
        <v>0</v>
      </c>
    </row>
    <row r="783" spans="1:25" ht="30" x14ac:dyDescent="0.25">
      <c r="A783" s="32"/>
      <c r="B783" s="32"/>
      <c r="C783" s="32"/>
      <c r="D783" s="32"/>
      <c r="E783" s="32"/>
      <c r="F783" s="32"/>
      <c r="G783" s="1340" t="s">
        <v>2707</v>
      </c>
      <c r="H783" s="66" t="str">
        <f>'BID III'!B240</f>
        <v>Belanja Bendera/Umbul - umbul/ Spanduk</v>
      </c>
      <c r="I783" s="174">
        <f>'BID III'!F241</f>
        <v>270000</v>
      </c>
      <c r="J783" s="66" t="s">
        <v>2626</v>
      </c>
      <c r="K783" s="470" t="s">
        <v>3031</v>
      </c>
      <c r="L783" s="1753"/>
      <c r="M783" s="1754">
        <v>270000</v>
      </c>
      <c r="N783" s="1753"/>
      <c r="O783" s="1753"/>
      <c r="P783" s="1758"/>
      <c r="Q783" s="1758"/>
      <c r="R783" s="1758"/>
      <c r="S783" s="1758"/>
      <c r="T783" s="1762"/>
      <c r="U783" s="1762"/>
      <c r="V783" s="1762"/>
      <c r="W783" s="1762"/>
      <c r="X783" s="1750">
        <f t="shared" si="26"/>
        <v>270000</v>
      </c>
      <c r="Y783" s="175">
        <f t="shared" si="27"/>
        <v>0</v>
      </c>
    </row>
    <row r="784" spans="1:25" ht="30" x14ac:dyDescent="0.25">
      <c r="A784" s="32"/>
      <c r="B784" s="32"/>
      <c r="C784" s="32"/>
      <c r="D784" s="32"/>
      <c r="E784" s="32"/>
      <c r="F784" s="32"/>
      <c r="G784" s="32">
        <v>90</v>
      </c>
      <c r="H784" s="66" t="str">
        <f>'BID III'!B242</f>
        <v>Belanja Upakara, Upacara Dan Aci</v>
      </c>
      <c r="I784" s="174">
        <f>SUM('BID III'!F243:F246)</f>
        <v>165000</v>
      </c>
      <c r="J784" s="66" t="s">
        <v>2626</v>
      </c>
      <c r="K784" s="470" t="s">
        <v>3031</v>
      </c>
      <c r="L784" s="1753"/>
      <c r="M784" s="1754">
        <v>165000</v>
      </c>
      <c r="N784" s="1753"/>
      <c r="O784" s="1753"/>
      <c r="P784" s="1758"/>
      <c r="Q784" s="1758"/>
      <c r="R784" s="1758"/>
      <c r="S784" s="1758"/>
      <c r="T784" s="1762"/>
      <c r="U784" s="1762"/>
      <c r="V784" s="1762"/>
      <c r="W784" s="1762"/>
      <c r="X784" s="1750">
        <f t="shared" si="26"/>
        <v>165000</v>
      </c>
      <c r="Y784" s="175">
        <f t="shared" si="27"/>
        <v>0</v>
      </c>
    </row>
    <row r="785" spans="1:25" x14ac:dyDescent="0.25">
      <c r="A785" s="32"/>
      <c r="B785" s="32"/>
      <c r="C785" s="32"/>
      <c r="D785" s="32">
        <v>5</v>
      </c>
      <c r="E785" s="32">
        <v>2</v>
      </c>
      <c r="F785" s="32">
        <v>2</v>
      </c>
      <c r="G785" s="32"/>
      <c r="H785" s="66" t="str">
        <f>'BID III'!B247</f>
        <v>Belanja Jasa Honorarium</v>
      </c>
      <c r="I785" s="32"/>
      <c r="J785" s="66"/>
      <c r="K785" s="470" t="s">
        <v>3031</v>
      </c>
      <c r="L785" s="1753"/>
      <c r="M785" s="1754"/>
      <c r="N785" s="1753"/>
      <c r="O785" s="1753"/>
      <c r="P785" s="1758"/>
      <c r="Q785" s="1758"/>
      <c r="R785" s="1758"/>
      <c r="S785" s="1758"/>
      <c r="T785" s="1762"/>
      <c r="U785" s="1762"/>
      <c r="V785" s="1762"/>
      <c r="W785" s="1762"/>
      <c r="X785" s="1750">
        <f t="shared" si="26"/>
        <v>0</v>
      </c>
      <c r="Y785" s="175">
        <f t="shared" si="27"/>
        <v>0</v>
      </c>
    </row>
    <row r="786" spans="1:25" ht="60" x14ac:dyDescent="0.25">
      <c r="A786" s="32"/>
      <c r="B786" s="32"/>
      <c r="C786" s="32"/>
      <c r="D786" s="32"/>
      <c r="E786" s="32"/>
      <c r="F786" s="32"/>
      <c r="G786" s="1340" t="s">
        <v>2706</v>
      </c>
      <c r="H786" s="66" t="str">
        <f>'BID III'!B248</f>
        <v>Belanja Jasa Honorarium Ahli Profesi/Konsultan/Narasumber</v>
      </c>
      <c r="I786" s="174">
        <f>'BID III'!F249+'BID III'!F250+'BID III'!F251</f>
        <v>11950000</v>
      </c>
      <c r="J786" s="66" t="s">
        <v>2626</v>
      </c>
      <c r="K786" s="470" t="s">
        <v>3031</v>
      </c>
      <c r="L786" s="1753"/>
      <c r="M786" s="1754">
        <v>11950000</v>
      </c>
      <c r="N786" s="1753"/>
      <c r="O786" s="1753"/>
      <c r="P786" s="1758"/>
      <c r="Q786" s="1758"/>
      <c r="R786" s="1758"/>
      <c r="S786" s="1758"/>
      <c r="T786" s="1762"/>
      <c r="U786" s="1762"/>
      <c r="V786" s="1762"/>
      <c r="W786" s="1762"/>
      <c r="X786" s="1750">
        <f t="shared" si="26"/>
        <v>11950000</v>
      </c>
      <c r="Y786" s="175">
        <f t="shared" si="27"/>
        <v>0</v>
      </c>
    </row>
    <row r="787" spans="1:25" x14ac:dyDescent="0.25">
      <c r="A787" s="32"/>
      <c r="B787" s="32"/>
      <c r="C787" s="32"/>
      <c r="D787" s="32">
        <v>5</v>
      </c>
      <c r="E787" s="32">
        <v>2</v>
      </c>
      <c r="F787" s="32">
        <v>4</v>
      </c>
      <c r="G787" s="32"/>
      <c r="H787" s="66" t="str">
        <f>'BID III'!B252</f>
        <v>Belanja Jasa Sewa</v>
      </c>
      <c r="I787" s="32"/>
      <c r="J787" s="66"/>
      <c r="K787" s="470" t="s">
        <v>3031</v>
      </c>
      <c r="L787" s="1753"/>
      <c r="M787" s="1754"/>
      <c r="N787" s="1753"/>
      <c r="O787" s="1753"/>
      <c r="P787" s="1758"/>
      <c r="Q787" s="1758"/>
      <c r="R787" s="1758"/>
      <c r="S787" s="1758"/>
      <c r="T787" s="1762"/>
      <c r="U787" s="1762"/>
      <c r="V787" s="1762"/>
      <c r="W787" s="1762"/>
      <c r="X787" s="1750">
        <f t="shared" si="26"/>
        <v>0</v>
      </c>
      <c r="Y787" s="175">
        <f t="shared" si="27"/>
        <v>0</v>
      </c>
    </row>
    <row r="788" spans="1:25" ht="30" x14ac:dyDescent="0.25">
      <c r="A788" s="32"/>
      <c r="B788" s="32"/>
      <c r="C788" s="32"/>
      <c r="D788" s="32"/>
      <c r="E788" s="32"/>
      <c r="F788" s="32"/>
      <c r="G788" s="1340" t="s">
        <v>2702</v>
      </c>
      <c r="H788" s="66" t="str">
        <f>'BID III'!B253</f>
        <v>Belanja Jasa Sewa Perlengkapan</v>
      </c>
      <c r="I788" s="174">
        <f>'BID III'!F254</f>
        <v>1000000</v>
      </c>
      <c r="J788" s="66" t="s">
        <v>2626</v>
      </c>
      <c r="K788" s="470" t="s">
        <v>3031</v>
      </c>
      <c r="L788" s="1753"/>
      <c r="M788" s="1754">
        <v>1000000</v>
      </c>
      <c r="N788" s="1753"/>
      <c r="O788" s="1753"/>
      <c r="P788" s="1758"/>
      <c r="Q788" s="1758"/>
      <c r="R788" s="1758"/>
      <c r="S788" s="1758"/>
      <c r="T788" s="1762"/>
      <c r="U788" s="1762"/>
      <c r="V788" s="1762"/>
      <c r="W788" s="1762"/>
      <c r="X788" s="1750">
        <f t="shared" si="26"/>
        <v>1000000</v>
      </c>
      <c r="Y788" s="175">
        <f t="shared" si="27"/>
        <v>0</v>
      </c>
    </row>
    <row r="789" spans="1:25" ht="45" x14ac:dyDescent="0.25">
      <c r="A789" s="32"/>
      <c r="B789" s="32"/>
      <c r="C789" s="32"/>
      <c r="D789" s="32">
        <v>5</v>
      </c>
      <c r="E789" s="32">
        <v>2</v>
      </c>
      <c r="F789" s="32">
        <v>7</v>
      </c>
      <c r="G789" s="32"/>
      <c r="H789" s="66" t="str">
        <f>'BID III'!B255</f>
        <v>Belanja Barang dan Jasa yang Diserahkan Kepada Masyarakat</v>
      </c>
      <c r="I789" s="32"/>
      <c r="J789" s="66"/>
      <c r="K789" s="470" t="s">
        <v>3031</v>
      </c>
      <c r="L789" s="1753"/>
      <c r="M789" s="1754"/>
      <c r="N789" s="1753"/>
      <c r="O789" s="1753"/>
      <c r="P789" s="1758"/>
      <c r="Q789" s="1758"/>
      <c r="R789" s="1758"/>
      <c r="S789" s="1758"/>
      <c r="T789" s="1762"/>
      <c r="U789" s="1762"/>
      <c r="V789" s="1762"/>
      <c r="W789" s="1762"/>
      <c r="X789" s="1750">
        <f t="shared" si="26"/>
        <v>0</v>
      </c>
      <c r="Y789" s="175">
        <f t="shared" si="27"/>
        <v>0</v>
      </c>
    </row>
    <row r="790" spans="1:25" ht="30" x14ac:dyDescent="0.25">
      <c r="A790" s="32"/>
      <c r="B790" s="32"/>
      <c r="C790" s="32"/>
      <c r="D790" s="32"/>
      <c r="E790" s="32"/>
      <c r="F790" s="32"/>
      <c r="G790" s="32">
        <v>90</v>
      </c>
      <c r="H790" s="66" t="str">
        <f>'BID III'!B256</f>
        <v>Belanja Jasa Atlit dan Seniman Berprestasi</v>
      </c>
      <c r="I790" s="174">
        <f>SUM('BID III'!F259:F267)</f>
        <v>10692000</v>
      </c>
      <c r="J790" s="66" t="s">
        <v>2626</v>
      </c>
      <c r="K790" s="470" t="s">
        <v>3031</v>
      </c>
      <c r="L790" s="1753"/>
      <c r="M790" s="1754">
        <v>10692000</v>
      </c>
      <c r="N790" s="1753"/>
      <c r="O790" s="1753"/>
      <c r="P790" s="1758"/>
      <c r="Q790" s="1758"/>
      <c r="R790" s="1758"/>
      <c r="S790" s="1758"/>
      <c r="T790" s="1762"/>
      <c r="U790" s="1762"/>
      <c r="V790" s="1762"/>
      <c r="W790" s="1762"/>
      <c r="X790" s="1750">
        <f t="shared" si="26"/>
        <v>10692000</v>
      </c>
      <c r="Y790" s="175">
        <f t="shared" si="27"/>
        <v>0</v>
      </c>
    </row>
    <row r="791" spans="1:25" ht="30" x14ac:dyDescent="0.25">
      <c r="A791" s="32"/>
      <c r="B791" s="32"/>
      <c r="C791" s="32"/>
      <c r="D791" s="32"/>
      <c r="E791" s="32"/>
      <c r="F791" s="32"/>
      <c r="G791" s="32"/>
      <c r="H791" s="66" t="str">
        <f>'BID III'!B268</f>
        <v>Pengiriman Peserta Bulan Bahasa Bali Ke Kota</v>
      </c>
      <c r="I791" s="32"/>
      <c r="J791" s="66"/>
      <c r="K791" s="470" t="s">
        <v>3031</v>
      </c>
      <c r="L791" s="1753"/>
      <c r="M791" s="1754"/>
      <c r="N791" s="1753"/>
      <c r="O791" s="1753"/>
      <c r="P791" s="1758"/>
      <c r="Q791" s="1758"/>
      <c r="R791" s="1758"/>
      <c r="S791" s="1758"/>
      <c r="T791" s="1762"/>
      <c r="U791" s="1762"/>
      <c r="V791" s="1762"/>
      <c r="W791" s="1762"/>
      <c r="X791" s="1750">
        <f t="shared" si="26"/>
        <v>0</v>
      </c>
      <c r="Y791" s="175">
        <f t="shared" si="27"/>
        <v>0</v>
      </c>
    </row>
    <row r="792" spans="1:25" x14ac:dyDescent="0.25">
      <c r="A792" s="32"/>
      <c r="B792" s="32"/>
      <c r="C792" s="32"/>
      <c r="D792" s="32">
        <v>5</v>
      </c>
      <c r="E792" s="32">
        <v>2</v>
      </c>
      <c r="F792" s="32"/>
      <c r="G792" s="32"/>
      <c r="H792" s="66" t="str">
        <f>'BID III'!B269</f>
        <v>Belanja Barang Jasa</v>
      </c>
      <c r="I792" s="32"/>
      <c r="J792" s="66"/>
      <c r="K792" s="470" t="s">
        <v>3031</v>
      </c>
      <c r="L792" s="1753"/>
      <c r="M792" s="1754"/>
      <c r="N792" s="1753"/>
      <c r="O792" s="1753"/>
      <c r="P792" s="1758"/>
      <c r="Q792" s="1758"/>
      <c r="R792" s="1758"/>
      <c r="S792" s="1758"/>
      <c r="T792" s="1762"/>
      <c r="U792" s="1762"/>
      <c r="V792" s="1762"/>
      <c r="W792" s="1762"/>
      <c r="X792" s="1750">
        <f t="shared" si="26"/>
        <v>0</v>
      </c>
      <c r="Y792" s="175">
        <f t="shared" si="27"/>
        <v>0</v>
      </c>
    </row>
    <row r="793" spans="1:25" ht="30" x14ac:dyDescent="0.25">
      <c r="A793" s="32"/>
      <c r="B793" s="32"/>
      <c r="C793" s="32"/>
      <c r="D793" s="32"/>
      <c r="E793" s="32"/>
      <c r="F793" s="32">
        <v>1</v>
      </c>
      <c r="G793" s="32"/>
      <c r="H793" s="66" t="str">
        <f>'BID III'!B270</f>
        <v>Belanja Barang Perlengkapan</v>
      </c>
      <c r="I793" s="32"/>
      <c r="J793" s="66"/>
      <c r="K793" s="470" t="s">
        <v>3031</v>
      </c>
      <c r="L793" s="1753"/>
      <c r="M793" s="1754"/>
      <c r="N793" s="1753"/>
      <c r="O793" s="1753"/>
      <c r="P793" s="1758"/>
      <c r="Q793" s="1758"/>
      <c r="R793" s="1758"/>
      <c r="S793" s="1758"/>
      <c r="T793" s="1762"/>
      <c r="U793" s="1762"/>
      <c r="V793" s="1762"/>
      <c r="W793" s="1762"/>
      <c r="X793" s="1750">
        <f t="shared" si="26"/>
        <v>0</v>
      </c>
      <c r="Y793" s="175">
        <f t="shared" si="27"/>
        <v>0</v>
      </c>
    </row>
    <row r="794" spans="1:25" ht="45" x14ac:dyDescent="0.25">
      <c r="A794" s="32"/>
      <c r="B794" s="32"/>
      <c r="C794" s="32"/>
      <c r="D794" s="32"/>
      <c r="E794" s="32"/>
      <c r="F794" s="32"/>
      <c r="G794" s="1340" t="s">
        <v>2705</v>
      </c>
      <c r="H794" s="66" t="str">
        <f>'BID III'!B271</f>
        <v>Belanja Barang Perlengkapan Barang Konsumsi</v>
      </c>
      <c r="I794" s="174">
        <f>SUM('BID III'!F272:F273)</f>
        <v>525000</v>
      </c>
      <c r="J794" s="66" t="s">
        <v>2626</v>
      </c>
      <c r="K794" s="470" t="s">
        <v>3031</v>
      </c>
      <c r="L794" s="1753"/>
      <c r="M794" s="1754">
        <v>525000</v>
      </c>
      <c r="N794" s="1753"/>
      <c r="O794" s="1753"/>
      <c r="P794" s="1758"/>
      <c r="Q794" s="1758"/>
      <c r="R794" s="1758"/>
      <c r="S794" s="1758"/>
      <c r="T794" s="1762"/>
      <c r="U794" s="1762"/>
      <c r="V794" s="1762"/>
      <c r="W794" s="1762"/>
      <c r="X794" s="1750">
        <f t="shared" ref="X794:X857" si="28">SUM(L794:W794)</f>
        <v>525000</v>
      </c>
      <c r="Y794" s="175">
        <f t="shared" ref="Y794:Y857" si="29">X794-I794</f>
        <v>0</v>
      </c>
    </row>
    <row r="795" spans="1:25" ht="30" x14ac:dyDescent="0.25">
      <c r="A795" s="32"/>
      <c r="B795" s="32"/>
      <c r="C795" s="32"/>
      <c r="D795" s="32"/>
      <c r="E795" s="32"/>
      <c r="F795" s="32"/>
      <c r="G795" s="1340" t="s">
        <v>2708</v>
      </c>
      <c r="H795" s="66" t="str">
        <f>'BID III'!B274</f>
        <v>Belanja Bahan Material</v>
      </c>
      <c r="I795" s="174">
        <f>'BID III'!F275+'BID III'!F276</f>
        <v>1800000</v>
      </c>
      <c r="J795" s="66" t="s">
        <v>2626</v>
      </c>
      <c r="K795" s="470" t="s">
        <v>3031</v>
      </c>
      <c r="L795" s="1753"/>
      <c r="M795" s="1754">
        <v>1800000</v>
      </c>
      <c r="N795" s="1753"/>
      <c r="O795" s="1753"/>
      <c r="P795" s="1758"/>
      <c r="Q795" s="1758"/>
      <c r="R795" s="1758"/>
      <c r="S795" s="1758"/>
      <c r="T795" s="1762"/>
      <c r="U795" s="1762"/>
      <c r="V795" s="1762"/>
      <c r="W795" s="1762"/>
      <c r="X795" s="1750">
        <f t="shared" si="28"/>
        <v>1800000</v>
      </c>
      <c r="Y795" s="175">
        <f t="shared" si="29"/>
        <v>0</v>
      </c>
    </row>
    <row r="796" spans="1:25" x14ac:dyDescent="0.25">
      <c r="A796" s="32"/>
      <c r="B796" s="32"/>
      <c r="C796" s="32"/>
      <c r="D796" s="32">
        <v>5</v>
      </c>
      <c r="E796" s="32">
        <v>2</v>
      </c>
      <c r="F796" s="32">
        <v>2</v>
      </c>
      <c r="G796" s="32"/>
      <c r="H796" s="66" t="str">
        <f>'BID III'!B277</f>
        <v>Belanja Jasa Honorarium</v>
      </c>
      <c r="I796" s="32"/>
      <c r="J796" s="66"/>
      <c r="K796" s="470" t="s">
        <v>3031</v>
      </c>
      <c r="L796" s="1753"/>
      <c r="M796" s="1754"/>
      <c r="N796" s="1753"/>
      <c r="O796" s="1753"/>
      <c r="P796" s="1758"/>
      <c r="Q796" s="1758"/>
      <c r="R796" s="1758"/>
      <c r="S796" s="1758"/>
      <c r="T796" s="1762"/>
      <c r="U796" s="1762"/>
      <c r="V796" s="1762"/>
      <c r="W796" s="1762"/>
      <c r="X796" s="1750">
        <f t="shared" si="28"/>
        <v>0</v>
      </c>
      <c r="Y796" s="175">
        <f t="shared" si="29"/>
        <v>0</v>
      </c>
    </row>
    <row r="797" spans="1:25" ht="30" x14ac:dyDescent="0.25">
      <c r="A797" s="32"/>
      <c r="B797" s="32"/>
      <c r="C797" s="32"/>
      <c r="D797" s="32"/>
      <c r="E797" s="32"/>
      <c r="F797" s="32"/>
      <c r="G797" s="1340" t="s">
        <v>2688</v>
      </c>
      <c r="H797" s="66" t="str">
        <f>'BID III'!B278</f>
        <v>Honor Tim Pelaksana Kegiatan</v>
      </c>
      <c r="I797" s="174">
        <f>SUM('BID III'!F279:F280)</f>
        <v>700000</v>
      </c>
      <c r="J797" s="66" t="s">
        <v>2626</v>
      </c>
      <c r="K797" s="470" t="s">
        <v>3031</v>
      </c>
      <c r="L797" s="1753"/>
      <c r="M797" s="1754">
        <v>700000</v>
      </c>
      <c r="N797" s="1753"/>
      <c r="O797" s="1753"/>
      <c r="P797" s="1758"/>
      <c r="Q797" s="1758"/>
      <c r="R797" s="1758"/>
      <c r="S797" s="1758"/>
      <c r="T797" s="1762"/>
      <c r="U797" s="1762"/>
      <c r="V797" s="1762"/>
      <c r="W797" s="1762"/>
      <c r="X797" s="1750">
        <f t="shared" si="28"/>
        <v>700000</v>
      </c>
      <c r="Y797" s="175">
        <f t="shared" si="29"/>
        <v>0</v>
      </c>
    </row>
    <row r="798" spans="1:25" ht="60" x14ac:dyDescent="0.25">
      <c r="A798" s="32"/>
      <c r="B798" s="32"/>
      <c r="C798" s="32"/>
      <c r="D798" s="32"/>
      <c r="E798" s="32"/>
      <c r="F798" s="32"/>
      <c r="G798" s="1340" t="s">
        <v>2704</v>
      </c>
      <c r="H798" s="66" t="str">
        <f>'BID III'!B281</f>
        <v>Belanja Jasa Honorarium Ahli/ Profesi/Konsultan/Narasumber</v>
      </c>
      <c r="I798" s="174">
        <f>'BID III'!F282</f>
        <v>300000</v>
      </c>
      <c r="J798" s="66" t="s">
        <v>2626</v>
      </c>
      <c r="K798" s="470" t="s">
        <v>3031</v>
      </c>
      <c r="L798" s="1753"/>
      <c r="M798" s="1754">
        <v>300000</v>
      </c>
      <c r="N798" s="1753"/>
      <c r="O798" s="1753"/>
      <c r="P798" s="1758"/>
      <c r="Q798" s="1758"/>
      <c r="R798" s="1758"/>
      <c r="S798" s="1758"/>
      <c r="T798" s="1762"/>
      <c r="U798" s="1762"/>
      <c r="V798" s="1762"/>
      <c r="W798" s="1762"/>
      <c r="X798" s="1750">
        <f t="shared" si="28"/>
        <v>300000</v>
      </c>
      <c r="Y798" s="175">
        <f t="shared" si="29"/>
        <v>0</v>
      </c>
    </row>
    <row r="799" spans="1:25" ht="45" x14ac:dyDescent="0.25">
      <c r="A799" s="32"/>
      <c r="B799" s="32"/>
      <c r="C799" s="32"/>
      <c r="D799" s="32">
        <v>5</v>
      </c>
      <c r="E799" s="32">
        <v>2</v>
      </c>
      <c r="F799" s="32">
        <v>1</v>
      </c>
      <c r="G799" s="32">
        <v>90</v>
      </c>
      <c r="H799" s="66" t="str">
        <f>'BID III'!B283</f>
        <v>Belanja Barang dan Jasa yang Diserahkan Kepada Masyarakat</v>
      </c>
      <c r="I799" s="174">
        <f>'BID III'!F284</f>
        <v>150000</v>
      </c>
      <c r="J799" s="66" t="s">
        <v>2626</v>
      </c>
      <c r="K799" s="470" t="s">
        <v>3031</v>
      </c>
      <c r="L799" s="1753"/>
      <c r="M799" s="1754">
        <v>150000</v>
      </c>
      <c r="N799" s="1753"/>
      <c r="O799" s="1753"/>
      <c r="P799" s="1758"/>
      <c r="Q799" s="1758"/>
      <c r="R799" s="1758"/>
      <c r="S799" s="1758"/>
      <c r="T799" s="1762"/>
      <c r="U799" s="1762"/>
      <c r="V799" s="1762"/>
      <c r="W799" s="1762"/>
      <c r="X799" s="1750">
        <f t="shared" si="28"/>
        <v>150000</v>
      </c>
      <c r="Y799" s="175">
        <f t="shared" si="29"/>
        <v>0</v>
      </c>
    </row>
    <row r="800" spans="1:25" ht="75" x14ac:dyDescent="0.25">
      <c r="A800" s="1344">
        <v>3</v>
      </c>
      <c r="B800" s="1344">
        <v>2</v>
      </c>
      <c r="C800" s="1346" t="s">
        <v>2704</v>
      </c>
      <c r="D800" s="1344"/>
      <c r="E800" s="1344"/>
      <c r="F800" s="1344"/>
      <c r="G800" s="1344"/>
      <c r="H800" s="1345" t="str">
        <f>'BID III'!B299</f>
        <v>Pemeliharaan sarana prasarana keagamaan milik desa (Pavingnisasi Area Pura Dalem Taman Pohmanis)</v>
      </c>
      <c r="I800" s="1349">
        <f>SUM(I802:I803)</f>
        <v>94693000</v>
      </c>
      <c r="J800" s="1345" t="s">
        <v>2620</v>
      </c>
      <c r="K800" s="1796" t="s">
        <v>3030</v>
      </c>
      <c r="L800" s="1344"/>
      <c r="M800" s="1344"/>
      <c r="N800" s="1344"/>
      <c r="O800" s="1344"/>
      <c r="P800" s="1344"/>
      <c r="Q800" s="1344"/>
      <c r="R800" s="1344"/>
      <c r="S800" s="1344"/>
      <c r="T800" s="1344"/>
      <c r="U800" s="1344"/>
      <c r="V800" s="1344"/>
      <c r="W800" s="1344"/>
      <c r="X800" s="1353">
        <f t="shared" si="28"/>
        <v>0</v>
      </c>
      <c r="Y800" s="175">
        <f t="shared" si="29"/>
        <v>-94693000</v>
      </c>
    </row>
    <row r="801" spans="1:25" ht="30" x14ac:dyDescent="0.25">
      <c r="A801" s="32"/>
      <c r="B801" s="32"/>
      <c r="C801" s="1340"/>
      <c r="D801" s="32">
        <v>5</v>
      </c>
      <c r="E801" s="32">
        <v>2</v>
      </c>
      <c r="F801" s="32"/>
      <c r="G801" s="32"/>
      <c r="H801" s="66" t="s">
        <v>323</v>
      </c>
      <c r="I801" s="174"/>
      <c r="J801" s="66"/>
      <c r="K801" s="851" t="s">
        <v>3030</v>
      </c>
      <c r="L801" s="1753"/>
      <c r="M801" s="1753"/>
      <c r="N801" s="1753"/>
      <c r="O801" s="1753"/>
      <c r="P801" s="1758"/>
      <c r="Q801" s="1758"/>
      <c r="R801" s="1758"/>
      <c r="S801" s="1758"/>
      <c r="T801" s="1762"/>
      <c r="U801" s="1762"/>
      <c r="V801" s="1762"/>
      <c r="W801" s="1762"/>
      <c r="X801" s="1750">
        <f t="shared" si="28"/>
        <v>0</v>
      </c>
      <c r="Y801" s="175">
        <f t="shared" si="29"/>
        <v>0</v>
      </c>
    </row>
    <row r="802" spans="1:25" ht="45" x14ac:dyDescent="0.25">
      <c r="A802" s="32"/>
      <c r="B802" s="32"/>
      <c r="C802" s="32"/>
      <c r="D802" s="32">
        <v>5</v>
      </c>
      <c r="E802" s="32">
        <v>2</v>
      </c>
      <c r="F802" s="32">
        <v>7</v>
      </c>
      <c r="G802" s="32"/>
      <c r="H802" s="66" t="str">
        <f>'BID III'!B306</f>
        <v>Belanja Barang dan Jasa yang Diserahkan Kepada Masyarakat</v>
      </c>
      <c r="I802" s="174"/>
      <c r="J802" s="66"/>
      <c r="K802" s="851" t="s">
        <v>3030</v>
      </c>
      <c r="L802" s="1753"/>
      <c r="M802" s="1753"/>
      <c r="N802" s="1753"/>
      <c r="O802" s="1753"/>
      <c r="P802" s="1758"/>
      <c r="Q802" s="1758"/>
      <c r="R802" s="1758"/>
      <c r="S802" s="1758"/>
      <c r="T802" s="1762"/>
      <c r="U802" s="1762"/>
      <c r="V802" s="1762"/>
      <c r="W802" s="1762"/>
      <c r="X802" s="1750">
        <f t="shared" si="28"/>
        <v>0</v>
      </c>
      <c r="Y802" s="175">
        <f t="shared" si="29"/>
        <v>0</v>
      </c>
    </row>
    <row r="803" spans="1:25" ht="60" x14ac:dyDescent="0.25">
      <c r="A803" s="32"/>
      <c r="B803" s="32"/>
      <c r="C803" s="32"/>
      <c r="D803" s="32"/>
      <c r="E803" s="32"/>
      <c r="F803" s="32"/>
      <c r="G803" s="1340" t="s">
        <v>2703</v>
      </c>
      <c r="H803" s="66" t="str">
        <f>'BID III'!B307</f>
        <v>Belanja Bantuan Bangunan Yang Diserahkan Kepada Masyarakat</v>
      </c>
      <c r="I803" s="174">
        <f>'BID III'!F324</f>
        <v>94693000</v>
      </c>
      <c r="J803" s="66" t="s">
        <v>2620</v>
      </c>
      <c r="K803" s="851" t="s">
        <v>3030</v>
      </c>
      <c r="L803" s="1753"/>
      <c r="M803" s="1753"/>
      <c r="N803" s="1753"/>
      <c r="O803" s="1753"/>
      <c r="P803" s="1758"/>
      <c r="Q803" s="1758"/>
      <c r="R803" s="1758"/>
      <c r="S803" s="1759">
        <v>94693000</v>
      </c>
      <c r="T803" s="1762"/>
      <c r="U803" s="1762"/>
      <c r="V803" s="1762"/>
      <c r="W803" s="1762"/>
      <c r="X803" s="1750">
        <f t="shared" si="28"/>
        <v>94693000</v>
      </c>
      <c r="Y803" s="175">
        <f t="shared" si="29"/>
        <v>0</v>
      </c>
    </row>
    <row r="804" spans="1:25" ht="60" x14ac:dyDescent="0.25">
      <c r="A804" s="1344">
        <v>3</v>
      </c>
      <c r="B804" s="1344">
        <v>2</v>
      </c>
      <c r="C804" s="1346" t="s">
        <v>2704</v>
      </c>
      <c r="D804" s="1344"/>
      <c r="E804" s="1344"/>
      <c r="F804" s="1344"/>
      <c r="G804" s="1344"/>
      <c r="H804" s="1345" t="str">
        <f>'BID III'!B338</f>
        <v>: Pemeliharaan Sarana dan Prasarana kebudayaan/Rumah adat (Candi Banjar Mertasari)</v>
      </c>
      <c r="I804" s="1349">
        <f>I807</f>
        <v>77163000</v>
      </c>
      <c r="J804" s="1345" t="s">
        <v>2620</v>
      </c>
      <c r="K804" s="1796" t="s">
        <v>3030</v>
      </c>
      <c r="L804" s="1344"/>
      <c r="M804" s="1344"/>
      <c r="N804" s="1344"/>
      <c r="O804" s="1344"/>
      <c r="P804" s="1344"/>
      <c r="Q804" s="1344"/>
      <c r="R804" s="1344"/>
      <c r="S804" s="1344"/>
      <c r="T804" s="1344"/>
      <c r="U804" s="1344"/>
      <c r="V804" s="1344"/>
      <c r="W804" s="1344"/>
      <c r="X804" s="1353">
        <f t="shared" si="28"/>
        <v>0</v>
      </c>
      <c r="Y804" s="175">
        <f t="shared" si="29"/>
        <v>-77163000</v>
      </c>
    </row>
    <row r="805" spans="1:25" ht="30" x14ac:dyDescent="0.25">
      <c r="A805" s="32"/>
      <c r="B805" s="32"/>
      <c r="C805" s="32"/>
      <c r="D805" s="32">
        <v>5</v>
      </c>
      <c r="E805" s="32">
        <v>2</v>
      </c>
      <c r="F805" s="32"/>
      <c r="G805" s="32"/>
      <c r="H805" s="66" t="str">
        <f>'BID III'!B345</f>
        <v>Belanja Barang Jasa</v>
      </c>
      <c r="I805" s="32"/>
      <c r="J805" s="66"/>
      <c r="K805" s="851" t="s">
        <v>3030</v>
      </c>
      <c r="L805" s="1753"/>
      <c r="M805" s="1753"/>
      <c r="N805" s="1753"/>
      <c r="O805" s="1753"/>
      <c r="P805" s="1758"/>
      <c r="Q805" s="1758"/>
      <c r="R805" s="1758"/>
      <c r="S805" s="1758"/>
      <c r="T805" s="1762"/>
      <c r="U805" s="1762"/>
      <c r="V805" s="1762"/>
      <c r="W805" s="1762"/>
      <c r="X805" s="1750">
        <f t="shared" si="28"/>
        <v>0</v>
      </c>
      <c r="Y805" s="175">
        <f t="shared" si="29"/>
        <v>0</v>
      </c>
    </row>
    <row r="806" spans="1:25" ht="45" x14ac:dyDescent="0.25">
      <c r="A806" s="32"/>
      <c r="B806" s="32"/>
      <c r="C806" s="32"/>
      <c r="D806" s="32"/>
      <c r="E806" s="32"/>
      <c r="F806" s="32">
        <v>7</v>
      </c>
      <c r="G806" s="1340"/>
      <c r="H806" s="66" t="str">
        <f>'BID III'!B346</f>
        <v>Belanja Barang Jasa Yang Diserahkan Kepada Masyarakat</v>
      </c>
      <c r="I806" s="32"/>
      <c r="J806" s="66"/>
      <c r="K806" s="851" t="s">
        <v>3030</v>
      </c>
      <c r="L806" s="1753"/>
      <c r="M806" s="1753"/>
      <c r="N806" s="1753"/>
      <c r="O806" s="1753"/>
      <c r="P806" s="1758"/>
      <c r="Q806" s="1758"/>
      <c r="R806" s="1758"/>
      <c r="S806" s="1758"/>
      <c r="T806" s="1762"/>
      <c r="U806" s="1762"/>
      <c r="V806" s="1762"/>
      <c r="W806" s="1762"/>
      <c r="X806" s="1750">
        <f t="shared" si="28"/>
        <v>0</v>
      </c>
      <c r="Y806" s="175">
        <f t="shared" si="29"/>
        <v>0</v>
      </c>
    </row>
    <row r="807" spans="1:25" ht="60" x14ac:dyDescent="0.25">
      <c r="A807" s="32"/>
      <c r="B807" s="32"/>
      <c r="C807" s="32"/>
      <c r="D807" s="32"/>
      <c r="E807" s="32"/>
      <c r="F807" s="32"/>
      <c r="G807" s="1340" t="s">
        <v>2703</v>
      </c>
      <c r="H807" s="66" t="str">
        <f>'BID III'!B347</f>
        <v>Belanja Bantuan Bangunan Yang di serahkan Kepanda Masyarakat</v>
      </c>
      <c r="I807" s="470">
        <f>'BID III'!F368</f>
        <v>77163000</v>
      </c>
      <c r="J807" s="66" t="s">
        <v>2620</v>
      </c>
      <c r="K807" s="851" t="s">
        <v>3030</v>
      </c>
      <c r="L807" s="1753"/>
      <c r="M807" s="1753"/>
      <c r="N807" s="1753"/>
      <c r="O807" s="1753"/>
      <c r="P807" s="1758"/>
      <c r="Q807" s="1758"/>
      <c r="R807" s="1758"/>
      <c r="S807" s="1758"/>
      <c r="T807" s="1762"/>
      <c r="U807" s="1763">
        <v>77163000</v>
      </c>
      <c r="V807" s="1762"/>
      <c r="W807" s="1762"/>
      <c r="X807" s="1750">
        <f t="shared" si="28"/>
        <v>77163000</v>
      </c>
      <c r="Y807" s="175">
        <f t="shared" si="29"/>
        <v>0</v>
      </c>
    </row>
    <row r="808" spans="1:25" ht="45" x14ac:dyDescent="0.25">
      <c r="A808" s="1344">
        <v>3</v>
      </c>
      <c r="B808" s="1344">
        <v>2</v>
      </c>
      <c r="C808" s="1344">
        <v>90</v>
      </c>
      <c r="D808" s="1344"/>
      <c r="E808" s="1344"/>
      <c r="F808" s="1344"/>
      <c r="G808" s="1344"/>
      <c r="H808" s="1345" t="str">
        <f>'BID III'!B382</f>
        <v xml:space="preserve"> : Pembinaan Adat dan Keagamaan (Piodalan Padmasana)</v>
      </c>
      <c r="I808" s="1347">
        <f>SUM(I809:I812)</f>
        <v>15474698</v>
      </c>
      <c r="J808" s="1345" t="s">
        <v>2621</v>
      </c>
      <c r="K808" s="1347" t="s">
        <v>3031</v>
      </c>
      <c r="L808" s="1344"/>
      <c r="M808" s="1344"/>
      <c r="N808" s="1344"/>
      <c r="O808" s="1344"/>
      <c r="P808" s="1344"/>
      <c r="Q808" s="1344"/>
      <c r="R808" s="1344"/>
      <c r="S808" s="1344"/>
      <c r="T808" s="1344"/>
      <c r="U808" s="1344"/>
      <c r="V808" s="1344"/>
      <c r="W808" s="1344"/>
      <c r="X808" s="1353">
        <f t="shared" si="28"/>
        <v>0</v>
      </c>
      <c r="Y808" s="175">
        <f t="shared" si="29"/>
        <v>-15474698</v>
      </c>
    </row>
    <row r="809" spans="1:25" x14ac:dyDescent="0.25">
      <c r="A809" s="32"/>
      <c r="B809" s="32"/>
      <c r="C809" s="32"/>
      <c r="D809" s="32">
        <v>5</v>
      </c>
      <c r="E809" s="32">
        <v>2</v>
      </c>
      <c r="F809" s="32"/>
      <c r="G809" s="32"/>
      <c r="H809" s="66" t="str">
        <f>'BID III'!B388</f>
        <v xml:space="preserve">Belanja Barang dan Jasa </v>
      </c>
      <c r="I809" s="470"/>
      <c r="J809" s="66"/>
      <c r="K809" s="470" t="s">
        <v>3031</v>
      </c>
      <c r="L809" s="1753"/>
      <c r="M809" s="1753"/>
      <c r="N809" s="1753"/>
      <c r="O809" s="1753"/>
      <c r="P809" s="1758"/>
      <c r="Q809" s="1758"/>
      <c r="R809" s="1758"/>
      <c r="S809" s="1758"/>
      <c r="T809" s="1762"/>
      <c r="U809" s="1762"/>
      <c r="V809" s="1762"/>
      <c r="W809" s="1762"/>
      <c r="X809" s="1750">
        <f t="shared" si="28"/>
        <v>0</v>
      </c>
      <c r="Y809" s="175">
        <f t="shared" si="29"/>
        <v>0</v>
      </c>
    </row>
    <row r="810" spans="1:25" ht="30" x14ac:dyDescent="0.25">
      <c r="A810" s="32"/>
      <c r="B810" s="32"/>
      <c r="C810" s="32"/>
      <c r="D810" s="32"/>
      <c r="E810" s="32"/>
      <c r="F810" s="32">
        <v>1</v>
      </c>
      <c r="G810" s="32"/>
      <c r="H810" s="66" t="str">
        <f>'BID III'!B389</f>
        <v>Belanja Barang Perlengkapan</v>
      </c>
      <c r="I810" s="470"/>
      <c r="J810" s="66"/>
      <c r="K810" s="470" t="s">
        <v>3031</v>
      </c>
      <c r="L810" s="1753"/>
      <c r="M810" s="1753"/>
      <c r="N810" s="1753"/>
      <c r="O810" s="1753"/>
      <c r="P810" s="1758"/>
      <c r="Q810" s="1758"/>
      <c r="R810" s="1758"/>
      <c r="S810" s="1758"/>
      <c r="T810" s="1762"/>
      <c r="U810" s="1762"/>
      <c r="V810" s="1762"/>
      <c r="W810" s="1762"/>
      <c r="X810" s="1750">
        <f t="shared" si="28"/>
        <v>0</v>
      </c>
      <c r="Y810" s="175">
        <f t="shared" si="29"/>
        <v>0</v>
      </c>
    </row>
    <row r="811" spans="1:25" ht="30" x14ac:dyDescent="0.25">
      <c r="A811" s="32"/>
      <c r="B811" s="32"/>
      <c r="C811" s="32"/>
      <c r="D811" s="32"/>
      <c r="E811" s="32"/>
      <c r="F811" s="32"/>
      <c r="G811" s="1340" t="s">
        <v>2705</v>
      </c>
      <c r="H811" s="66" t="str">
        <f>'BID III'!B390</f>
        <v>Belanja Perlengkapan Barang Konsumsi</v>
      </c>
      <c r="I811" s="470">
        <f>SUM('BID III'!F391)</f>
        <v>7500000</v>
      </c>
      <c r="J811" s="66" t="s">
        <v>2621</v>
      </c>
      <c r="K811" s="470" t="s">
        <v>3031</v>
      </c>
      <c r="L811" s="1753"/>
      <c r="M811" s="1753"/>
      <c r="N811" s="1754">
        <v>3750000</v>
      </c>
      <c r="O811" s="1753"/>
      <c r="P811" s="1758"/>
      <c r="Q811" s="1758"/>
      <c r="R811" s="1758"/>
      <c r="S811" s="1758"/>
      <c r="T811" s="1762"/>
      <c r="U811" s="1754">
        <v>3750000</v>
      </c>
      <c r="V811" s="1762"/>
      <c r="W811" s="1762"/>
      <c r="X811" s="1750">
        <f t="shared" si="28"/>
        <v>7500000</v>
      </c>
      <c r="Y811" s="175">
        <f t="shared" si="29"/>
        <v>0</v>
      </c>
    </row>
    <row r="812" spans="1:25" x14ac:dyDescent="0.25">
      <c r="A812" s="32"/>
      <c r="B812" s="32"/>
      <c r="C812" s="32"/>
      <c r="D812" s="32"/>
      <c r="E812" s="32"/>
      <c r="F812" s="32"/>
      <c r="G812" s="32">
        <v>90</v>
      </c>
      <c r="H812" s="32" t="str">
        <f>'BID III'!B392</f>
        <v>Belanja Upakara dan Upacara</v>
      </c>
      <c r="I812" s="470">
        <f>SUM('BID III'!F393:F406)</f>
        <v>7974698</v>
      </c>
      <c r="J812" s="66" t="s">
        <v>2621</v>
      </c>
      <c r="K812" s="470" t="s">
        <v>3031</v>
      </c>
      <c r="L812" s="1753"/>
      <c r="M812" s="1753"/>
      <c r="N812" s="1754">
        <v>3987349</v>
      </c>
      <c r="O812" s="1753"/>
      <c r="P812" s="1758"/>
      <c r="Q812" s="1758"/>
      <c r="R812" s="1758"/>
      <c r="S812" s="1758"/>
      <c r="T812" s="1762"/>
      <c r="U812" s="1754">
        <v>3987349</v>
      </c>
      <c r="V812" s="1762"/>
      <c r="W812" s="1762"/>
      <c r="X812" s="1750">
        <f t="shared" si="28"/>
        <v>7974698</v>
      </c>
      <c r="Y812" s="175">
        <f t="shared" si="29"/>
        <v>0</v>
      </c>
    </row>
    <row r="813" spans="1:25" ht="45" x14ac:dyDescent="0.25">
      <c r="A813" s="1344">
        <v>3</v>
      </c>
      <c r="B813" s="1344">
        <v>2</v>
      </c>
      <c r="C813" s="1344">
        <v>90</v>
      </c>
      <c r="D813" s="1344"/>
      <c r="E813" s="1344"/>
      <c r="F813" s="1344"/>
      <c r="G813" s="1344"/>
      <c r="H813" s="1345" t="str">
        <f>'BID III'!B421</f>
        <v>: Pembinaan Adat dan Keagamaan (Upakara dan Upacara)</v>
      </c>
      <c r="I813" s="1349">
        <f>I817</f>
        <v>8480000</v>
      </c>
      <c r="J813" s="1345" t="s">
        <v>2621</v>
      </c>
      <c r="K813" s="1347" t="s">
        <v>3031</v>
      </c>
      <c r="L813" s="1344"/>
      <c r="M813" s="1344"/>
      <c r="N813" s="1344"/>
      <c r="O813" s="1344"/>
      <c r="P813" s="1344"/>
      <c r="Q813" s="1344"/>
      <c r="R813" s="1344"/>
      <c r="S813" s="1344"/>
      <c r="T813" s="1344"/>
      <c r="U813" s="1344"/>
      <c r="V813" s="1344"/>
      <c r="W813" s="1344"/>
      <c r="X813" s="1353">
        <f t="shared" si="28"/>
        <v>0</v>
      </c>
      <c r="Y813" s="175">
        <f t="shared" si="29"/>
        <v>-8480000</v>
      </c>
    </row>
    <row r="814" spans="1:25" ht="30" x14ac:dyDescent="0.25">
      <c r="A814" s="32"/>
      <c r="B814" s="32"/>
      <c r="C814" s="32"/>
      <c r="D814" s="32"/>
      <c r="E814" s="32"/>
      <c r="F814" s="32"/>
      <c r="G814" s="32"/>
      <c r="H814" s="66" t="str">
        <f>'BID III'!B427</f>
        <v>Hari Raya Suci Keagamaan)</v>
      </c>
      <c r="I814" s="32"/>
      <c r="J814" s="66"/>
      <c r="K814" s="470" t="s">
        <v>3031</v>
      </c>
      <c r="L814" s="1753"/>
      <c r="M814" s="1753"/>
      <c r="N814" s="1753"/>
      <c r="O814" s="1753"/>
      <c r="P814" s="1758"/>
      <c r="Q814" s="1758"/>
      <c r="R814" s="1758"/>
      <c r="S814" s="1758"/>
      <c r="T814" s="1762"/>
      <c r="U814" s="1762"/>
      <c r="V814" s="1762"/>
      <c r="W814" s="1762"/>
      <c r="X814" s="1750">
        <f t="shared" si="28"/>
        <v>0</v>
      </c>
      <c r="Y814" s="175">
        <f t="shared" si="29"/>
        <v>0</v>
      </c>
    </row>
    <row r="815" spans="1:25" x14ac:dyDescent="0.25">
      <c r="A815" s="32"/>
      <c r="B815" s="32"/>
      <c r="C815" s="32"/>
      <c r="D815" s="32">
        <v>5</v>
      </c>
      <c r="E815" s="32">
        <v>2</v>
      </c>
      <c r="F815" s="32"/>
      <c r="G815" s="32"/>
      <c r="H815" s="66" t="str">
        <f>'BID III'!B428</f>
        <v xml:space="preserve">Belanja Barang dan Jasa </v>
      </c>
      <c r="I815" s="32"/>
      <c r="J815" s="66"/>
      <c r="K815" s="470" t="s">
        <v>3031</v>
      </c>
      <c r="L815" s="1753"/>
      <c r="M815" s="1753"/>
      <c r="N815" s="1753"/>
      <c r="O815" s="1753"/>
      <c r="P815" s="1758"/>
      <c r="Q815" s="1758"/>
      <c r="R815" s="1758"/>
      <c r="S815" s="1758"/>
      <c r="T815" s="1762"/>
      <c r="U815" s="1762"/>
      <c r="V815" s="1762"/>
      <c r="W815" s="1762"/>
      <c r="X815" s="1750">
        <f t="shared" si="28"/>
        <v>0</v>
      </c>
      <c r="Y815" s="175">
        <f t="shared" si="29"/>
        <v>0</v>
      </c>
    </row>
    <row r="816" spans="1:25" ht="30" x14ac:dyDescent="0.25">
      <c r="A816" s="32"/>
      <c r="B816" s="32"/>
      <c r="C816" s="32"/>
      <c r="D816" s="32"/>
      <c r="E816" s="32"/>
      <c r="F816" s="32">
        <v>1</v>
      </c>
      <c r="G816" s="32"/>
      <c r="H816" s="66" t="str">
        <f>'BID III'!B429</f>
        <v>Belanja Barang Perlengkapan</v>
      </c>
      <c r="I816" s="32"/>
      <c r="J816" s="66"/>
      <c r="K816" s="470" t="s">
        <v>3031</v>
      </c>
      <c r="L816" s="1753"/>
      <c r="M816" s="1753"/>
      <c r="N816" s="1753"/>
      <c r="O816" s="1753"/>
      <c r="P816" s="1758"/>
      <c r="Q816" s="1758"/>
      <c r="R816" s="1758"/>
      <c r="S816" s="1758"/>
      <c r="T816" s="1762"/>
      <c r="U816" s="1762"/>
      <c r="V816" s="1762"/>
      <c r="W816" s="1762"/>
      <c r="X816" s="1750">
        <f t="shared" si="28"/>
        <v>0</v>
      </c>
      <c r="Y816" s="175">
        <f t="shared" si="29"/>
        <v>0</v>
      </c>
    </row>
    <row r="817" spans="1:25" ht="30" x14ac:dyDescent="0.25">
      <c r="A817" s="32"/>
      <c r="B817" s="32"/>
      <c r="C817" s="32"/>
      <c r="D817" s="32"/>
      <c r="E817" s="32"/>
      <c r="F817" s="32"/>
      <c r="G817" s="32">
        <v>90</v>
      </c>
      <c r="H817" s="66" t="str">
        <f>'BID III'!B430</f>
        <v>Belanja Upakara dan Upacara</v>
      </c>
      <c r="I817" s="174">
        <f>SUM('BID III'!F431:F440)</f>
        <v>8480000</v>
      </c>
      <c r="J817" s="66" t="s">
        <v>2621</v>
      </c>
      <c r="K817" s="470" t="s">
        <v>3031</v>
      </c>
      <c r="L817" s="1753"/>
      <c r="M817" s="1753"/>
      <c r="N817" s="1754">
        <v>2609749</v>
      </c>
      <c r="O817" s="1753"/>
      <c r="P817" s="1758"/>
      <c r="Q817" s="1758"/>
      <c r="R817" s="1758"/>
      <c r="S817" s="1759">
        <v>4101098</v>
      </c>
      <c r="T817" s="1762"/>
      <c r="U817" s="1763">
        <v>1769153</v>
      </c>
      <c r="V817" s="1762"/>
      <c r="W817" s="1762"/>
      <c r="X817" s="1750">
        <f t="shared" si="28"/>
        <v>8480000</v>
      </c>
      <c r="Y817" s="175">
        <f t="shared" si="29"/>
        <v>0</v>
      </c>
    </row>
    <row r="818" spans="1:25" ht="34.5" customHeight="1" x14ac:dyDescent="0.25">
      <c r="A818" s="1344">
        <v>3</v>
      </c>
      <c r="B818" s="1344">
        <v>2</v>
      </c>
      <c r="C818" s="1344">
        <v>90</v>
      </c>
      <c r="D818" s="1344"/>
      <c r="E818" s="1344"/>
      <c r="F818" s="1344"/>
      <c r="G818" s="1344"/>
      <c r="H818" s="1345" t="str">
        <f>'BID III'!B455</f>
        <v>: Pembinaan Adat dan Keagamaan (Tumpek Landep)</v>
      </c>
      <c r="I818" s="1349">
        <f>SUM(I819:I824)</f>
        <v>26400000</v>
      </c>
      <c r="J818" s="1345" t="s">
        <v>2620</v>
      </c>
      <c r="K818" s="1347" t="s">
        <v>3031</v>
      </c>
      <c r="L818" s="1344"/>
      <c r="M818" s="1344"/>
      <c r="N818" s="1344"/>
      <c r="O818" s="1344"/>
      <c r="P818" s="1344"/>
      <c r="Q818" s="1344"/>
      <c r="R818" s="1344"/>
      <c r="S818" s="1344"/>
      <c r="T818" s="1344"/>
      <c r="U818" s="1344"/>
      <c r="V818" s="1344"/>
      <c r="W818" s="1344"/>
      <c r="X818" s="1353">
        <f t="shared" si="28"/>
        <v>0</v>
      </c>
      <c r="Y818" s="175">
        <f t="shared" si="29"/>
        <v>-26400000</v>
      </c>
    </row>
    <row r="819" spans="1:25" x14ac:dyDescent="0.25">
      <c r="A819" s="32"/>
      <c r="B819" s="32"/>
      <c r="C819" s="32"/>
      <c r="D819" s="32">
        <v>5</v>
      </c>
      <c r="E819" s="32">
        <v>2</v>
      </c>
      <c r="F819" s="32"/>
      <c r="G819" s="32"/>
      <c r="H819" s="66" t="str">
        <f>'BID III'!B462</f>
        <v xml:space="preserve">Belanja Barang dan Jasa </v>
      </c>
      <c r="I819" s="174"/>
      <c r="J819" s="66"/>
      <c r="K819" s="470" t="s">
        <v>3031</v>
      </c>
      <c r="L819" s="1753"/>
      <c r="M819" s="1753"/>
      <c r="N819" s="1753"/>
      <c r="O819" s="1753"/>
      <c r="P819" s="1758"/>
      <c r="Q819" s="1758"/>
      <c r="R819" s="1758"/>
      <c r="S819" s="1758"/>
      <c r="T819" s="1762"/>
      <c r="U819" s="1762"/>
      <c r="V819" s="1762"/>
      <c r="W819" s="1762"/>
      <c r="X819" s="1750">
        <f t="shared" si="28"/>
        <v>0</v>
      </c>
      <c r="Y819" s="175">
        <f t="shared" si="29"/>
        <v>0</v>
      </c>
    </row>
    <row r="820" spans="1:25" ht="30" x14ac:dyDescent="0.25">
      <c r="A820" s="32"/>
      <c r="B820" s="32"/>
      <c r="C820" s="32"/>
      <c r="D820" s="32"/>
      <c r="E820" s="32"/>
      <c r="F820" s="32">
        <v>1</v>
      </c>
      <c r="G820" s="32"/>
      <c r="H820" s="66" t="str">
        <f>'BID III'!B463</f>
        <v>Belanja Barang Perlengkapan</v>
      </c>
      <c r="I820" s="174"/>
      <c r="J820" s="66"/>
      <c r="K820" s="470" t="s">
        <v>3031</v>
      </c>
      <c r="L820" s="1753"/>
      <c r="M820" s="1753"/>
      <c r="N820" s="1753"/>
      <c r="O820" s="1753"/>
      <c r="P820" s="1758"/>
      <c r="Q820" s="1758"/>
      <c r="R820" s="1758"/>
      <c r="S820" s="1758"/>
      <c r="T820" s="1762"/>
      <c r="U820" s="1762"/>
      <c r="V820" s="1762"/>
      <c r="W820" s="1762"/>
      <c r="X820" s="1750">
        <f t="shared" si="28"/>
        <v>0</v>
      </c>
      <c r="Y820" s="175">
        <f t="shared" si="29"/>
        <v>0</v>
      </c>
    </row>
    <row r="821" spans="1:25" x14ac:dyDescent="0.25">
      <c r="A821" s="32"/>
      <c r="B821" s="32"/>
      <c r="C821" s="32"/>
      <c r="D821" s="32"/>
      <c r="E821" s="32"/>
      <c r="F821" s="32"/>
      <c r="G821" s="1340" t="s">
        <v>2705</v>
      </c>
      <c r="H821" s="66" t="str">
        <f>'BID III'!B464</f>
        <v>Belanja Barang Konsumsi</v>
      </c>
      <c r="I821" s="174">
        <f>SUM('BID III'!F465)</f>
        <v>15000000</v>
      </c>
      <c r="J821" s="66" t="s">
        <v>2620</v>
      </c>
      <c r="K821" s="470" t="s">
        <v>3031</v>
      </c>
      <c r="L821" s="1753"/>
      <c r="M821" s="1753"/>
      <c r="N821" s="1753"/>
      <c r="O821" s="1753"/>
      <c r="P821" s="1758"/>
      <c r="Q821" s="1758"/>
      <c r="R821" s="1759">
        <v>15000000</v>
      </c>
      <c r="S821" s="1758"/>
      <c r="T821" s="1762"/>
      <c r="U821" s="1762"/>
      <c r="V821" s="1762"/>
      <c r="W821" s="1762"/>
      <c r="X821" s="1750">
        <f t="shared" si="28"/>
        <v>15000000</v>
      </c>
      <c r="Y821" s="175">
        <f t="shared" si="29"/>
        <v>0</v>
      </c>
    </row>
    <row r="822" spans="1:25" ht="30" x14ac:dyDescent="0.25">
      <c r="A822" s="32"/>
      <c r="B822" s="32"/>
      <c r="C822" s="32"/>
      <c r="D822" s="32"/>
      <c r="E822" s="32"/>
      <c r="F822" s="32"/>
      <c r="G822" s="32">
        <v>90</v>
      </c>
      <c r="H822" s="66" t="str">
        <f>'BID III'!B466</f>
        <v>Belanja Upakara dan Upacara</v>
      </c>
      <c r="I822" s="174">
        <f>'BID III'!F467</f>
        <v>10000000</v>
      </c>
      <c r="J822" s="66" t="s">
        <v>2620</v>
      </c>
      <c r="K822" s="470" t="s">
        <v>3031</v>
      </c>
      <c r="L822" s="1753"/>
      <c r="M822" s="1753"/>
      <c r="N822" s="1753"/>
      <c r="O822" s="1753"/>
      <c r="P822" s="1758"/>
      <c r="Q822" s="1758"/>
      <c r="R822" s="1759">
        <v>10000000</v>
      </c>
      <c r="S822" s="1758"/>
      <c r="T822" s="1762"/>
      <c r="U822" s="1762"/>
      <c r="V822" s="1762"/>
      <c r="W822" s="1762"/>
      <c r="X822" s="1750">
        <f t="shared" si="28"/>
        <v>10000000</v>
      </c>
      <c r="Y822" s="175">
        <f t="shared" si="29"/>
        <v>0</v>
      </c>
    </row>
    <row r="823" spans="1:25" x14ac:dyDescent="0.25">
      <c r="A823" s="32"/>
      <c r="B823" s="32"/>
      <c r="C823" s="32"/>
      <c r="D823" s="32">
        <v>5</v>
      </c>
      <c r="E823" s="32">
        <v>2</v>
      </c>
      <c r="F823" s="32">
        <v>4</v>
      </c>
      <c r="G823" s="32"/>
      <c r="H823" s="66" t="str">
        <f>'BID III'!B468</f>
        <v>Belanja Jasa Sewa</v>
      </c>
      <c r="I823" s="174"/>
      <c r="J823" s="66"/>
      <c r="K823" s="470" t="s">
        <v>3031</v>
      </c>
      <c r="L823" s="1753"/>
      <c r="M823" s="1753"/>
      <c r="N823" s="1753"/>
      <c r="O823" s="1753"/>
      <c r="P823" s="1758"/>
      <c r="Q823" s="1758"/>
      <c r="R823" s="1759"/>
      <c r="S823" s="1758"/>
      <c r="T823" s="1762"/>
      <c r="U823" s="1762"/>
      <c r="V823" s="1762"/>
      <c r="W823" s="1762"/>
      <c r="X823" s="1750">
        <f t="shared" si="28"/>
        <v>0</v>
      </c>
      <c r="Y823" s="175">
        <f t="shared" si="29"/>
        <v>0</v>
      </c>
    </row>
    <row r="824" spans="1:25" ht="30" x14ac:dyDescent="0.25">
      <c r="A824" s="32"/>
      <c r="B824" s="32"/>
      <c r="C824" s="32"/>
      <c r="D824" s="32"/>
      <c r="E824" s="32"/>
      <c r="F824" s="32"/>
      <c r="G824" s="1340" t="s">
        <v>2702</v>
      </c>
      <c r="H824" s="66" t="str">
        <f>'BID III'!B469</f>
        <v>Belanja Jasa Sewa Peralatan/Perlengkapan</v>
      </c>
      <c r="I824" s="174">
        <f>SUM('BID III'!F470:F471)</f>
        <v>1400000</v>
      </c>
      <c r="J824" s="66" t="s">
        <v>2620</v>
      </c>
      <c r="K824" s="470" t="s">
        <v>3031</v>
      </c>
      <c r="L824" s="1753"/>
      <c r="M824" s="1753"/>
      <c r="N824" s="1753"/>
      <c r="O824" s="1753"/>
      <c r="P824" s="1758"/>
      <c r="Q824" s="1758"/>
      <c r="R824" s="1759">
        <v>1400000</v>
      </c>
      <c r="S824" s="1758"/>
      <c r="T824" s="1762"/>
      <c r="U824" s="1762"/>
      <c r="V824" s="1762"/>
      <c r="W824" s="1762"/>
      <c r="X824" s="1750">
        <f t="shared" si="28"/>
        <v>1400000</v>
      </c>
      <c r="Y824" s="175">
        <f t="shared" si="29"/>
        <v>0</v>
      </c>
    </row>
    <row r="825" spans="1:25" ht="45" x14ac:dyDescent="0.25">
      <c r="A825" s="1344">
        <v>3</v>
      </c>
      <c r="B825" s="1344">
        <v>2</v>
      </c>
      <c r="C825" s="1344">
        <v>91</v>
      </c>
      <c r="D825" s="1344"/>
      <c r="E825" s="1344"/>
      <c r="F825" s="1344"/>
      <c r="G825" s="1344"/>
      <c r="H825" s="1345" t="str">
        <f>'BID III'!B485</f>
        <v xml:space="preserve"> : Penunjang Oprasional Subak/Subak Abian (BKKProvinsi)</v>
      </c>
      <c r="I825" s="1349">
        <f>I828</f>
        <v>30000000</v>
      </c>
      <c r="J825" s="1345" t="s">
        <v>2717</v>
      </c>
      <c r="K825" s="1347" t="s">
        <v>3031</v>
      </c>
      <c r="L825" s="1344"/>
      <c r="M825" s="1344"/>
      <c r="N825" s="1344"/>
      <c r="O825" s="1344"/>
      <c r="P825" s="1344"/>
      <c r="Q825" s="1344"/>
      <c r="R825" s="1344"/>
      <c r="S825" s="1344"/>
      <c r="T825" s="1344"/>
      <c r="U825" s="1344"/>
      <c r="V825" s="1344"/>
      <c r="W825" s="1344"/>
      <c r="X825" s="1353">
        <f t="shared" si="28"/>
        <v>0</v>
      </c>
      <c r="Y825" s="175">
        <f t="shared" si="29"/>
        <v>-30000000</v>
      </c>
    </row>
    <row r="826" spans="1:25" x14ac:dyDescent="0.25">
      <c r="A826" s="32"/>
      <c r="B826" s="32"/>
      <c r="C826" s="32"/>
      <c r="D826" s="32">
        <v>5</v>
      </c>
      <c r="E826" s="32">
        <v>2</v>
      </c>
      <c r="F826" s="32"/>
      <c r="G826" s="32"/>
      <c r="H826" s="66" t="str">
        <f>'BID III'!B490</f>
        <v>Belanja Barang Jasa</v>
      </c>
      <c r="I826" s="32"/>
      <c r="J826" s="66"/>
      <c r="K826" s="470" t="s">
        <v>3031</v>
      </c>
      <c r="L826" s="1753"/>
      <c r="M826" s="1753"/>
      <c r="N826" s="1753"/>
      <c r="O826" s="1753"/>
      <c r="P826" s="1758"/>
      <c r="Q826" s="1758"/>
      <c r="R826" s="1758"/>
      <c r="S826" s="1758"/>
      <c r="T826" s="1762"/>
      <c r="U826" s="1762"/>
      <c r="V826" s="1762"/>
      <c r="W826" s="1762"/>
      <c r="X826" s="1750">
        <f t="shared" si="28"/>
        <v>0</v>
      </c>
      <c r="Y826" s="175">
        <f t="shared" si="29"/>
        <v>0</v>
      </c>
    </row>
    <row r="827" spans="1:25" ht="45" x14ac:dyDescent="0.25">
      <c r="A827" s="32"/>
      <c r="B827" s="32"/>
      <c r="C827" s="32"/>
      <c r="D827" s="32"/>
      <c r="E827" s="32"/>
      <c r="F827" s="32">
        <v>7</v>
      </c>
      <c r="G827" s="32"/>
      <c r="H827" s="66" t="str">
        <f>'BID III'!B491</f>
        <v>Belanja Barang dan Jasa yang Diserahkan Kepada Masyarakat</v>
      </c>
      <c r="I827" s="32"/>
      <c r="J827" s="66"/>
      <c r="K827" s="470" t="s">
        <v>3031</v>
      </c>
      <c r="L827" s="1753"/>
      <c r="M827" s="1753"/>
      <c r="N827" s="1753"/>
      <c r="O827" s="1753"/>
      <c r="P827" s="1758"/>
      <c r="Q827" s="1758"/>
      <c r="R827" s="1758"/>
      <c r="S827" s="1758"/>
      <c r="T827" s="1762"/>
      <c r="U827" s="1762"/>
      <c r="V827" s="1762"/>
      <c r="W827" s="1762"/>
      <c r="X827" s="1750">
        <f t="shared" si="28"/>
        <v>0</v>
      </c>
      <c r="Y827" s="175">
        <f t="shared" si="29"/>
        <v>0</v>
      </c>
    </row>
    <row r="828" spans="1:25" ht="30" x14ac:dyDescent="0.25">
      <c r="A828" s="32"/>
      <c r="B828" s="32"/>
      <c r="C828" s="32"/>
      <c r="D828" s="32"/>
      <c r="E828" s="32"/>
      <c r="F828" s="32"/>
      <c r="G828" s="1340" t="s">
        <v>2688</v>
      </c>
      <c r="H828" s="66" t="str">
        <f>'BID III'!B492</f>
        <v>Belanaja Barang  Yang Diserahkan</v>
      </c>
      <c r="I828" s="174">
        <f>'BID III'!F493</f>
        <v>30000000</v>
      </c>
      <c r="J828" s="66" t="s">
        <v>2717</v>
      </c>
      <c r="K828" s="470" t="s">
        <v>3031</v>
      </c>
      <c r="L828" s="1753"/>
      <c r="M828" s="1753"/>
      <c r="N828" s="1753"/>
      <c r="O828" s="1753"/>
      <c r="P828" s="1758"/>
      <c r="Q828" s="1758"/>
      <c r="R828" s="1758"/>
      <c r="S828" s="1759">
        <v>30000000</v>
      </c>
      <c r="T828" s="1762"/>
      <c r="U828" s="1762"/>
      <c r="V828" s="1762"/>
      <c r="W828" s="1762"/>
      <c r="X828" s="1750">
        <f t="shared" si="28"/>
        <v>30000000</v>
      </c>
      <c r="Y828" s="175">
        <f t="shared" si="29"/>
        <v>0</v>
      </c>
    </row>
    <row r="829" spans="1:25" ht="30" x14ac:dyDescent="0.25">
      <c r="A829" s="1344">
        <v>3</v>
      </c>
      <c r="B829" s="1344">
        <v>2</v>
      </c>
      <c r="C829" s="1344">
        <v>94</v>
      </c>
      <c r="D829" s="1344"/>
      <c r="E829" s="1344"/>
      <c r="F829" s="1344"/>
      <c r="G829" s="1344"/>
      <c r="H829" s="1345" t="str">
        <f>'BID III'!B508</f>
        <v xml:space="preserve"> : Penunjang Oprasional Desa Pakraman(BKK Kota)</v>
      </c>
      <c r="I829" s="1349">
        <f>I832</f>
        <v>560000000</v>
      </c>
      <c r="J829" s="1345" t="s">
        <v>2159</v>
      </c>
      <c r="K829" s="1347" t="s">
        <v>3031</v>
      </c>
      <c r="L829" s="1344"/>
      <c r="M829" s="1344"/>
      <c r="N829" s="1344"/>
      <c r="O829" s="1344"/>
      <c r="P829" s="1344"/>
      <c r="Q829" s="1344"/>
      <c r="R829" s="1344"/>
      <c r="S829" s="1344"/>
      <c r="T829" s="1344"/>
      <c r="U829" s="1344"/>
      <c r="V829" s="1344"/>
      <c r="W829" s="1344"/>
      <c r="X829" s="1353">
        <f t="shared" si="28"/>
        <v>0</v>
      </c>
      <c r="Y829" s="175">
        <f t="shared" si="29"/>
        <v>-560000000</v>
      </c>
    </row>
    <row r="830" spans="1:25" x14ac:dyDescent="0.25">
      <c r="A830" s="32"/>
      <c r="B830" s="32"/>
      <c r="C830" s="32"/>
      <c r="D830" s="32">
        <v>5</v>
      </c>
      <c r="E830" s="32">
        <v>2</v>
      </c>
      <c r="F830" s="32"/>
      <c r="G830" s="32"/>
      <c r="H830" s="66" t="s">
        <v>323</v>
      </c>
      <c r="I830" s="174"/>
      <c r="J830" s="66"/>
      <c r="K830" s="470" t="s">
        <v>3031</v>
      </c>
      <c r="L830" s="1753"/>
      <c r="M830" s="1753"/>
      <c r="N830" s="1753"/>
      <c r="O830" s="1753"/>
      <c r="P830" s="1758"/>
      <c r="Q830" s="1758"/>
      <c r="R830" s="1758"/>
      <c r="S830" s="1758"/>
      <c r="T830" s="1762"/>
      <c r="U830" s="1762"/>
      <c r="V830" s="1762"/>
      <c r="W830" s="1762"/>
      <c r="X830" s="1750">
        <f t="shared" si="28"/>
        <v>0</v>
      </c>
      <c r="Y830" s="175">
        <f t="shared" si="29"/>
        <v>0</v>
      </c>
    </row>
    <row r="831" spans="1:25" ht="45" x14ac:dyDescent="0.25">
      <c r="A831" s="32"/>
      <c r="B831" s="32"/>
      <c r="C831" s="32"/>
      <c r="D831" s="32"/>
      <c r="E831" s="32"/>
      <c r="F831" s="32">
        <v>7</v>
      </c>
      <c r="G831" s="32"/>
      <c r="H831" s="66" t="str">
        <f>'BID III'!B513</f>
        <v>Belanja Barang dan Jasa yang Diserahkan Kepada Masyarakat</v>
      </c>
      <c r="I831" s="32"/>
      <c r="J831" s="66"/>
      <c r="K831" s="470" t="s">
        <v>3031</v>
      </c>
      <c r="L831" s="1753"/>
      <c r="M831" s="1753"/>
      <c r="N831" s="1753"/>
      <c r="O831" s="1753"/>
      <c r="P831" s="1758"/>
      <c r="Q831" s="1758"/>
      <c r="R831" s="1758"/>
      <c r="S831" s="1758"/>
      <c r="T831" s="1762"/>
      <c r="U831" s="1762"/>
      <c r="V831" s="1762"/>
      <c r="W831" s="1762"/>
      <c r="X831" s="1750">
        <f t="shared" si="28"/>
        <v>0</v>
      </c>
      <c r="Y831" s="175">
        <f t="shared" si="29"/>
        <v>0</v>
      </c>
    </row>
    <row r="832" spans="1:25" ht="30" x14ac:dyDescent="0.25">
      <c r="A832" s="32"/>
      <c r="B832" s="32"/>
      <c r="C832" s="32"/>
      <c r="D832" s="32"/>
      <c r="E832" s="32"/>
      <c r="F832" s="32"/>
      <c r="G832" s="1340" t="s">
        <v>2688</v>
      </c>
      <c r="H832" s="66" t="str">
        <f>'BID III'!B514</f>
        <v>Belanaja Barang  Yang Diserahkan</v>
      </c>
      <c r="I832" s="174">
        <f>'BID III'!F515+'BID III'!F516</f>
        <v>560000000</v>
      </c>
      <c r="J832" s="66" t="s">
        <v>2159</v>
      </c>
      <c r="K832" s="470" t="s">
        <v>3031</v>
      </c>
      <c r="L832" s="1753"/>
      <c r="M832" s="1753"/>
      <c r="N832" s="1754">
        <v>560000000</v>
      </c>
      <c r="O832" s="1754"/>
      <c r="P832" s="1758"/>
      <c r="Q832" s="1758"/>
      <c r="R832" s="1758"/>
      <c r="S832" s="1758"/>
      <c r="T832" s="1762"/>
      <c r="U832" s="1762"/>
      <c r="V832" s="1762"/>
      <c r="W832" s="1762"/>
      <c r="X832" s="1750">
        <f t="shared" si="28"/>
        <v>560000000</v>
      </c>
      <c r="Y832" s="175">
        <f t="shared" si="29"/>
        <v>0</v>
      </c>
    </row>
    <row r="833" spans="1:25" ht="30" x14ac:dyDescent="0.25">
      <c r="A833" s="1344">
        <v>3</v>
      </c>
      <c r="B833" s="1344">
        <v>2</v>
      </c>
      <c r="C833" s="1344">
        <v>95</v>
      </c>
      <c r="D833" s="1344"/>
      <c r="E833" s="1344"/>
      <c r="F833" s="1344"/>
      <c r="G833" s="1344"/>
      <c r="H833" s="1345" t="str">
        <f>'BID III'!B530</f>
        <v>: Kegiatan Bakti Penganyaran</v>
      </c>
      <c r="I833" s="1347">
        <f>SUM(I834:I845)</f>
        <v>171000000</v>
      </c>
      <c r="J833" s="1345" t="s">
        <v>1682</v>
      </c>
      <c r="K833" s="1347" t="s">
        <v>3031</v>
      </c>
      <c r="L833" s="1344"/>
      <c r="M833" s="1344"/>
      <c r="N833" s="1344"/>
      <c r="O833" s="1344"/>
      <c r="P833" s="1344"/>
      <c r="Q833" s="1344"/>
      <c r="R833" s="1344"/>
      <c r="S833" s="1344"/>
      <c r="T833" s="1344"/>
      <c r="U833" s="1344"/>
      <c r="V833" s="1344"/>
      <c r="W833" s="1344"/>
      <c r="X833" s="1353">
        <f t="shared" si="28"/>
        <v>0</v>
      </c>
      <c r="Y833" s="175">
        <f t="shared" si="29"/>
        <v>-171000000</v>
      </c>
    </row>
    <row r="834" spans="1:25" ht="30" x14ac:dyDescent="0.25">
      <c r="A834" s="32"/>
      <c r="B834" s="32"/>
      <c r="C834" s="32"/>
      <c r="D834" s="32"/>
      <c r="E834" s="32"/>
      <c r="F834" s="32"/>
      <c r="G834" s="32"/>
      <c r="H834" s="66" t="str">
        <f>'BID III'!B537</f>
        <v xml:space="preserve">Nganyarin ke Pura Batur lan Besakih </v>
      </c>
      <c r="I834" s="32"/>
      <c r="J834" s="66"/>
      <c r="K834" s="470" t="s">
        <v>3031</v>
      </c>
      <c r="L834" s="1753"/>
      <c r="M834" s="1753"/>
      <c r="N834" s="1753"/>
      <c r="O834" s="1753"/>
      <c r="P834" s="1758"/>
      <c r="Q834" s="1758"/>
      <c r="R834" s="1758"/>
      <c r="S834" s="1758"/>
      <c r="T834" s="1762"/>
      <c r="U834" s="1762"/>
      <c r="V834" s="1762"/>
      <c r="W834" s="1762"/>
      <c r="X834" s="1750">
        <f t="shared" si="28"/>
        <v>0</v>
      </c>
      <c r="Y834" s="175">
        <f t="shared" si="29"/>
        <v>0</v>
      </c>
    </row>
    <row r="835" spans="1:25" x14ac:dyDescent="0.25">
      <c r="A835" s="32"/>
      <c r="B835" s="32"/>
      <c r="C835" s="32"/>
      <c r="D835" s="32">
        <v>5</v>
      </c>
      <c r="E835" s="32">
        <v>2</v>
      </c>
      <c r="F835" s="32"/>
      <c r="G835" s="32"/>
      <c r="H835" s="66" t="str">
        <f>'BID III'!B538</f>
        <v xml:space="preserve">Belanja Barang dan Jasa </v>
      </c>
      <c r="I835" s="32"/>
      <c r="J835" s="66"/>
      <c r="K835" s="470" t="s">
        <v>3031</v>
      </c>
      <c r="L835" s="1753"/>
      <c r="M835" s="1753"/>
      <c r="N835" s="1753"/>
      <c r="O835" s="1753"/>
      <c r="P835" s="1758"/>
      <c r="Q835" s="1758"/>
      <c r="R835" s="1758"/>
      <c r="S835" s="1758"/>
      <c r="T835" s="1762"/>
      <c r="U835" s="1762"/>
      <c r="V835" s="1762"/>
      <c r="W835" s="1762"/>
      <c r="X835" s="1750">
        <f t="shared" si="28"/>
        <v>0</v>
      </c>
      <c r="Y835" s="175">
        <f t="shared" si="29"/>
        <v>0</v>
      </c>
    </row>
    <row r="836" spans="1:25" x14ac:dyDescent="0.25">
      <c r="A836" s="32"/>
      <c r="B836" s="32"/>
      <c r="C836" s="32"/>
      <c r="D836" s="32"/>
      <c r="E836" s="32"/>
      <c r="F836" s="32">
        <v>4</v>
      </c>
      <c r="G836" s="32"/>
      <c r="H836" s="66" t="str">
        <f>'BID III'!B539</f>
        <v xml:space="preserve">Belanja Jasa Sewa </v>
      </c>
      <c r="I836" s="32"/>
      <c r="J836" s="66"/>
      <c r="K836" s="470" t="s">
        <v>3031</v>
      </c>
      <c r="L836" s="1753"/>
      <c r="M836" s="1753"/>
      <c r="N836" s="1753"/>
      <c r="O836" s="1753"/>
      <c r="P836" s="1758"/>
      <c r="Q836" s="1758"/>
      <c r="R836" s="1758"/>
      <c r="S836" s="1758"/>
      <c r="T836" s="1762"/>
      <c r="U836" s="1762"/>
      <c r="V836" s="1762"/>
      <c r="W836" s="1762"/>
      <c r="X836" s="1750">
        <f t="shared" si="28"/>
        <v>0</v>
      </c>
      <c r="Y836" s="175">
        <f t="shared" si="29"/>
        <v>0</v>
      </c>
    </row>
    <row r="837" spans="1:25" ht="30" x14ac:dyDescent="0.25">
      <c r="A837" s="32"/>
      <c r="B837" s="32"/>
      <c r="C837" s="32"/>
      <c r="D837" s="32"/>
      <c r="E837" s="32"/>
      <c r="F837" s="32"/>
      <c r="G837" s="1340" t="s">
        <v>2703</v>
      </c>
      <c r="H837" s="66" t="str">
        <f>'BID III'!B540</f>
        <v>Belanja Jasa Sewa Sarana Mobilitas</v>
      </c>
      <c r="I837" s="470">
        <f>'BID III'!F541</f>
        <v>22500000</v>
      </c>
      <c r="J837" s="66" t="s">
        <v>1682</v>
      </c>
      <c r="K837" s="470" t="s">
        <v>3031</v>
      </c>
      <c r="L837" s="1753"/>
      <c r="M837" s="1753"/>
      <c r="N837" s="1754"/>
      <c r="O837" s="1754">
        <v>22500000</v>
      </c>
      <c r="P837" s="1758"/>
      <c r="Q837" s="1758"/>
      <c r="R837" s="1758"/>
      <c r="S837" s="1758"/>
      <c r="T837" s="1762"/>
      <c r="U837" s="1762"/>
      <c r="V837" s="1762"/>
      <c r="W837" s="1762"/>
      <c r="X837" s="1750">
        <f t="shared" si="28"/>
        <v>22500000</v>
      </c>
      <c r="Y837" s="175">
        <f t="shared" si="29"/>
        <v>0</v>
      </c>
    </row>
    <row r="838" spans="1:25" ht="30" x14ac:dyDescent="0.25">
      <c r="A838" s="32"/>
      <c r="B838" s="32"/>
      <c r="C838" s="32"/>
      <c r="D838" s="32"/>
      <c r="E838" s="32"/>
      <c r="F838" s="32"/>
      <c r="G838" s="32"/>
      <c r="H838" s="66" t="str">
        <f>'BID III'!B542</f>
        <v>Nganyarin ke Pura Mandara Giri Lumajang</v>
      </c>
      <c r="I838" s="32"/>
      <c r="J838" s="66"/>
      <c r="K838" s="470" t="s">
        <v>3031</v>
      </c>
      <c r="L838" s="1753"/>
      <c r="M838" s="1753"/>
      <c r="N838" s="1753"/>
      <c r="O838" s="1753"/>
      <c r="P838" s="1758"/>
      <c r="Q838" s="1758"/>
      <c r="R838" s="1758"/>
      <c r="S838" s="1758"/>
      <c r="T838" s="1762"/>
      <c r="U838" s="1762"/>
      <c r="V838" s="1762"/>
      <c r="W838" s="1762"/>
      <c r="X838" s="1750">
        <f t="shared" si="28"/>
        <v>0</v>
      </c>
      <c r="Y838" s="175">
        <f t="shared" si="29"/>
        <v>0</v>
      </c>
    </row>
    <row r="839" spans="1:25" x14ac:dyDescent="0.25">
      <c r="A839" s="32"/>
      <c r="B839" s="32"/>
      <c r="C839" s="32"/>
      <c r="D839" s="32">
        <v>5</v>
      </c>
      <c r="E839" s="32">
        <v>2</v>
      </c>
      <c r="F839" s="32"/>
      <c r="G839" s="32"/>
      <c r="H839" s="66" t="str">
        <f>'BID III'!B543</f>
        <v xml:space="preserve">Belanja Barang dan Jasa </v>
      </c>
      <c r="I839" s="32"/>
      <c r="J839" s="66"/>
      <c r="K839" s="470" t="s">
        <v>3031</v>
      </c>
      <c r="L839" s="1753"/>
      <c r="M839" s="1753"/>
      <c r="N839" s="1753"/>
      <c r="O839" s="1753"/>
      <c r="P839" s="1758"/>
      <c r="Q839" s="1758"/>
      <c r="R839" s="1758"/>
      <c r="S839" s="1758"/>
      <c r="T839" s="1762"/>
      <c r="U839" s="1762"/>
      <c r="V839" s="1762"/>
      <c r="W839" s="1762"/>
      <c r="X839" s="1750">
        <f t="shared" si="28"/>
        <v>0</v>
      </c>
      <c r="Y839" s="175">
        <f t="shared" si="29"/>
        <v>0</v>
      </c>
    </row>
    <row r="840" spans="1:25" x14ac:dyDescent="0.25">
      <c r="A840" s="32"/>
      <c r="B840" s="32"/>
      <c r="C840" s="32"/>
      <c r="D840" s="32"/>
      <c r="E840" s="32"/>
      <c r="F840" s="32">
        <v>4</v>
      </c>
      <c r="G840" s="32"/>
      <c r="H840" s="66" t="str">
        <f>'BID III'!B544</f>
        <v xml:space="preserve">Belanja Jasa Sewa </v>
      </c>
      <c r="I840" s="32"/>
      <c r="J840" s="66"/>
      <c r="K840" s="470" t="s">
        <v>3031</v>
      </c>
      <c r="L840" s="1753"/>
      <c r="M840" s="1753"/>
      <c r="N840" s="1753"/>
      <c r="O840" s="1753"/>
      <c r="P840" s="1758"/>
      <c r="Q840" s="1758"/>
      <c r="R840" s="1758"/>
      <c r="S840" s="1758"/>
      <c r="T840" s="1762"/>
      <c r="U840" s="1762"/>
      <c r="V840" s="1762"/>
      <c r="W840" s="1762"/>
      <c r="X840" s="1750">
        <f t="shared" si="28"/>
        <v>0</v>
      </c>
      <c r="Y840" s="175">
        <f t="shared" si="29"/>
        <v>0</v>
      </c>
    </row>
    <row r="841" spans="1:25" ht="30" x14ac:dyDescent="0.25">
      <c r="A841" s="32"/>
      <c r="B841" s="32"/>
      <c r="C841" s="32"/>
      <c r="D841" s="32"/>
      <c r="E841" s="32"/>
      <c r="F841" s="32"/>
      <c r="G841" s="1340" t="s">
        <v>2703</v>
      </c>
      <c r="H841" s="66" t="str">
        <f>'BID III'!B545</f>
        <v>Belanja Jasa Sewa Sarana Mobilitas</v>
      </c>
      <c r="I841" s="470">
        <f>'BID III'!F546</f>
        <v>67500000</v>
      </c>
      <c r="J841" s="66" t="s">
        <v>1682</v>
      </c>
      <c r="K841" s="470" t="s">
        <v>3031</v>
      </c>
      <c r="L841" s="1753"/>
      <c r="M841" s="1753"/>
      <c r="N841" s="1753"/>
      <c r="O841" s="1753"/>
      <c r="P841" s="1758"/>
      <c r="Q841" s="1758"/>
      <c r="R841" s="1759">
        <v>67500000</v>
      </c>
      <c r="S841" s="1758"/>
      <c r="T841" s="1762"/>
      <c r="U841" s="1762"/>
      <c r="V841" s="1762"/>
      <c r="W841" s="1762"/>
      <c r="X841" s="1750">
        <f t="shared" si="28"/>
        <v>67500000</v>
      </c>
      <c r="Y841" s="175">
        <f t="shared" si="29"/>
        <v>0</v>
      </c>
    </row>
    <row r="842" spans="1:25" ht="30" x14ac:dyDescent="0.25">
      <c r="A842" s="32"/>
      <c r="B842" s="32"/>
      <c r="C842" s="32"/>
      <c r="D842" s="32">
        <v>5</v>
      </c>
      <c r="E842" s="32">
        <v>2</v>
      </c>
      <c r="F842" s="32"/>
      <c r="G842" s="32"/>
      <c r="H842" s="66" t="str">
        <f>'BID III'!B547</f>
        <v>Nganyarin ke Pura Penataran Agung Rinjani</v>
      </c>
      <c r="I842" s="32"/>
      <c r="J842" s="66"/>
      <c r="K842" s="470" t="s">
        <v>3031</v>
      </c>
      <c r="L842" s="1753"/>
      <c r="M842" s="1753"/>
      <c r="N842" s="1753"/>
      <c r="O842" s="1753"/>
      <c r="P842" s="1758"/>
      <c r="Q842" s="1758"/>
      <c r="R842" s="1758"/>
      <c r="S842" s="1758"/>
      <c r="T842" s="1762"/>
      <c r="U842" s="1762"/>
      <c r="V842" s="1762"/>
      <c r="W842" s="1762"/>
      <c r="X842" s="1750">
        <f t="shared" si="28"/>
        <v>0</v>
      </c>
      <c r="Y842" s="175">
        <f t="shared" si="29"/>
        <v>0</v>
      </c>
    </row>
    <row r="843" spans="1:25" x14ac:dyDescent="0.25">
      <c r="A843" s="32"/>
      <c r="B843" s="32"/>
      <c r="C843" s="32"/>
      <c r="D843" s="32"/>
      <c r="E843" s="32"/>
      <c r="F843" s="32">
        <v>4</v>
      </c>
      <c r="G843" s="32"/>
      <c r="H843" s="32" t="str">
        <f>'BID III'!B548:B548</f>
        <v xml:space="preserve">Belanja Barang dan Jasa </v>
      </c>
      <c r="I843" s="32"/>
      <c r="J843" s="66"/>
      <c r="K843" s="470" t="s">
        <v>3031</v>
      </c>
      <c r="L843" s="1753"/>
      <c r="M843" s="1753"/>
      <c r="N843" s="1753"/>
      <c r="O843" s="1753"/>
      <c r="P843" s="1758"/>
      <c r="Q843" s="1758"/>
      <c r="R843" s="1758"/>
      <c r="S843" s="1758"/>
      <c r="T843" s="1762"/>
      <c r="U843" s="1762"/>
      <c r="V843" s="1762"/>
      <c r="W843" s="1762"/>
      <c r="X843" s="1750">
        <f t="shared" si="28"/>
        <v>0</v>
      </c>
      <c r="Y843" s="175">
        <f t="shared" si="29"/>
        <v>0</v>
      </c>
    </row>
    <row r="844" spans="1:25" x14ac:dyDescent="0.25">
      <c r="A844" s="32"/>
      <c r="B844" s="32"/>
      <c r="C844" s="32"/>
      <c r="D844" s="32"/>
      <c r="E844" s="32"/>
      <c r="F844" s="32"/>
      <c r="G844" s="1340" t="s">
        <v>2703</v>
      </c>
      <c r="H844" s="32" t="str">
        <f>'BID III'!B549:B549</f>
        <v xml:space="preserve">Belanja Jasa Sewa </v>
      </c>
      <c r="I844" s="32"/>
      <c r="J844" s="66"/>
      <c r="K844" s="470" t="s">
        <v>3031</v>
      </c>
      <c r="L844" s="1753"/>
      <c r="M844" s="1753"/>
      <c r="N844" s="1753"/>
      <c r="O844" s="1753"/>
      <c r="P844" s="1758"/>
      <c r="Q844" s="1758"/>
      <c r="R844" s="1758"/>
      <c r="S844" s="1758"/>
      <c r="T844" s="1762"/>
      <c r="U844" s="1762"/>
      <c r="V844" s="1762"/>
      <c r="W844" s="1762"/>
      <c r="X844" s="1750">
        <f t="shared" si="28"/>
        <v>0</v>
      </c>
      <c r="Y844" s="175">
        <f t="shared" si="29"/>
        <v>0</v>
      </c>
    </row>
    <row r="845" spans="1:25" x14ac:dyDescent="0.25">
      <c r="A845" s="32"/>
      <c r="B845" s="32"/>
      <c r="C845" s="32"/>
      <c r="D845" s="32"/>
      <c r="E845" s="32"/>
      <c r="F845" s="32"/>
      <c r="G845" s="32"/>
      <c r="H845" s="32" t="str">
        <f>'BID III'!B550:B550</f>
        <v>Belanja Jasa Sewa Sarana Mobilitas</v>
      </c>
      <c r="I845" s="470">
        <f>'BID III'!F551</f>
        <v>81000000</v>
      </c>
      <c r="J845" s="66" t="s">
        <v>1682</v>
      </c>
      <c r="K845" s="470" t="s">
        <v>3031</v>
      </c>
      <c r="L845" s="1753"/>
      <c r="M845" s="1753"/>
      <c r="N845" s="1753"/>
      <c r="O845" s="1753"/>
      <c r="P845" s="1758"/>
      <c r="Q845" s="1758"/>
      <c r="R845" s="1758"/>
      <c r="S845" s="1759">
        <v>81000000</v>
      </c>
      <c r="T845" s="1762"/>
      <c r="U845" s="1762"/>
      <c r="V845" s="1762"/>
      <c r="W845" s="1762"/>
      <c r="X845" s="1750">
        <f t="shared" si="28"/>
        <v>81000000</v>
      </c>
      <c r="Y845" s="175">
        <f t="shared" si="29"/>
        <v>0</v>
      </c>
    </row>
    <row r="846" spans="1:25" ht="240" x14ac:dyDescent="0.25">
      <c r="A846" s="1344">
        <v>3</v>
      </c>
      <c r="B846" s="1344">
        <v>3</v>
      </c>
      <c r="C846" s="1346" t="s">
        <v>2702</v>
      </c>
      <c r="D846" s="1344"/>
      <c r="E846" s="1344"/>
      <c r="F846" s="1344"/>
      <c r="G846" s="1344"/>
      <c r="H846" s="1345" t="str">
        <f>'BID III'!B634</f>
        <v>: Penyelenggaraan Pelatihan Kepemudaan  ( Pelatihan dan Lomba Lagu Wajib dan Lagu Perjuangan Tingkat SD dari Umur 7 s/d 13 Tahun dan SMP dari Umur 14 s/d 16 Tahun , Lomba Menggambar Tokoh Bungkarno Tingkat SMP dari Umur 14 s/d 16 Tahun, Lomba Mewarnai Tingkat TK / Umur 4 sampai 6 Tahun Dalan Rangka Bulan Bung Karno )</v>
      </c>
      <c r="I846" s="1347">
        <f>SUM(I847:I876)</f>
        <v>50681940</v>
      </c>
      <c r="J846" s="1345" t="s">
        <v>2627</v>
      </c>
      <c r="K846" s="1347" t="s">
        <v>3031</v>
      </c>
      <c r="L846" s="1344"/>
      <c r="M846" s="1344"/>
      <c r="N846" s="1344"/>
      <c r="O846" s="1344"/>
      <c r="P846" s="1344"/>
      <c r="Q846" s="1344"/>
      <c r="R846" s="1344"/>
      <c r="S846" s="1344"/>
      <c r="T846" s="1344"/>
      <c r="U846" s="1344"/>
      <c r="V846" s="1344"/>
      <c r="W846" s="1344"/>
      <c r="X846" s="1353">
        <f t="shared" si="28"/>
        <v>0</v>
      </c>
      <c r="Y846" s="175">
        <f t="shared" si="29"/>
        <v>-50681940</v>
      </c>
    </row>
    <row r="847" spans="1:25" x14ac:dyDescent="0.25">
      <c r="A847" s="32"/>
      <c r="B847" s="32"/>
      <c r="C847" s="32"/>
      <c r="D847" s="32">
        <v>5</v>
      </c>
      <c r="E847" s="32">
        <v>2</v>
      </c>
      <c r="F847" s="32"/>
      <c r="G847" s="32"/>
      <c r="H847" s="66" t="str">
        <f>'BID III'!B639</f>
        <v>Belanja Barang Jasa</v>
      </c>
      <c r="I847" s="32"/>
      <c r="J847" s="66"/>
      <c r="K847" s="470" t="s">
        <v>3031</v>
      </c>
      <c r="L847" s="1753"/>
      <c r="M847" s="1753"/>
      <c r="N847" s="1753"/>
      <c r="O847" s="1753"/>
      <c r="P847" s="1758"/>
      <c r="Q847" s="1758"/>
      <c r="R847" s="1758"/>
      <c r="S847" s="1758"/>
      <c r="T847" s="1762"/>
      <c r="U847" s="1762"/>
      <c r="V847" s="1762"/>
      <c r="W847" s="1762"/>
      <c r="X847" s="1750">
        <f t="shared" si="28"/>
        <v>0</v>
      </c>
      <c r="Y847" s="175">
        <f t="shared" si="29"/>
        <v>0</v>
      </c>
    </row>
    <row r="848" spans="1:25" ht="30" x14ac:dyDescent="0.25">
      <c r="A848" s="32"/>
      <c r="B848" s="32"/>
      <c r="C848" s="32"/>
      <c r="D848" s="32"/>
      <c r="E848" s="32"/>
      <c r="F848" s="32">
        <v>1</v>
      </c>
      <c r="G848" s="32"/>
      <c r="H848" s="66" t="str">
        <f>'BID III'!B640</f>
        <v>Belanja Barang Perlengkapan</v>
      </c>
      <c r="I848" s="32"/>
      <c r="J848" s="66"/>
      <c r="K848" s="470" t="s">
        <v>3031</v>
      </c>
      <c r="L848" s="1753"/>
      <c r="M848" s="1753"/>
      <c r="N848" s="1753"/>
      <c r="O848" s="1753"/>
      <c r="P848" s="1758"/>
      <c r="Q848" s="1758"/>
      <c r="R848" s="1758"/>
      <c r="S848" s="1758"/>
      <c r="T848" s="1762"/>
      <c r="U848" s="1762"/>
      <c r="V848" s="1762"/>
      <c r="W848" s="1762"/>
      <c r="X848" s="1750">
        <f t="shared" si="28"/>
        <v>0</v>
      </c>
      <c r="Y848" s="175">
        <f t="shared" si="29"/>
        <v>0</v>
      </c>
    </row>
    <row r="849" spans="1:25" ht="30" x14ac:dyDescent="0.25">
      <c r="A849" s="32"/>
      <c r="B849" s="32"/>
      <c r="C849" s="32"/>
      <c r="D849" s="32"/>
      <c r="E849" s="32"/>
      <c r="F849" s="32"/>
      <c r="G849" s="1340" t="s">
        <v>2705</v>
      </c>
      <c r="H849" s="66" t="str">
        <f>'BID III'!B641</f>
        <v>Belanja Perlengkapan Barang Konsumsi</v>
      </c>
      <c r="I849" s="470">
        <f>SUM('BID III'!F642:F645)</f>
        <v>4185000</v>
      </c>
      <c r="J849" s="66" t="s">
        <v>2627</v>
      </c>
      <c r="K849" s="470" t="s">
        <v>3031</v>
      </c>
      <c r="L849" s="1753"/>
      <c r="M849" s="1754">
        <v>4185000</v>
      </c>
      <c r="N849" s="1753"/>
      <c r="O849" s="1753"/>
      <c r="P849" s="1758"/>
      <c r="Q849" s="1758"/>
      <c r="R849" s="1758"/>
      <c r="S849" s="1758"/>
      <c r="T849" s="1762"/>
      <c r="U849" s="1762"/>
      <c r="V849" s="1762"/>
      <c r="W849" s="1762"/>
      <c r="X849" s="1750">
        <f t="shared" si="28"/>
        <v>4185000</v>
      </c>
      <c r="Y849" s="175">
        <f t="shared" si="29"/>
        <v>0</v>
      </c>
    </row>
    <row r="850" spans="1:25" ht="30" x14ac:dyDescent="0.25">
      <c r="A850" s="32"/>
      <c r="B850" s="32"/>
      <c r="C850" s="32"/>
      <c r="D850" s="32"/>
      <c r="E850" s="32"/>
      <c r="F850" s="32"/>
      <c r="G850" s="1340" t="s">
        <v>2707</v>
      </c>
      <c r="H850" s="66" t="str">
        <f>'BID III'!B646</f>
        <v>Belanja Bendera/Umbul - umbul/Spanduk</v>
      </c>
      <c r="I850" s="470">
        <f>'BID III'!F647</f>
        <v>270000</v>
      </c>
      <c r="J850" s="66" t="s">
        <v>2627</v>
      </c>
      <c r="K850" s="470" t="s">
        <v>3031</v>
      </c>
      <c r="L850" s="1753"/>
      <c r="M850" s="1754">
        <v>270000</v>
      </c>
      <c r="N850" s="1753"/>
      <c r="O850" s="1753"/>
      <c r="P850" s="1758"/>
      <c r="Q850" s="1758"/>
      <c r="R850" s="1758"/>
      <c r="S850" s="1758"/>
      <c r="T850" s="1762"/>
      <c r="U850" s="1762"/>
      <c r="V850" s="1762"/>
      <c r="W850" s="1762"/>
      <c r="X850" s="1750">
        <f t="shared" si="28"/>
        <v>270000</v>
      </c>
      <c r="Y850" s="175">
        <f t="shared" si="29"/>
        <v>0</v>
      </c>
    </row>
    <row r="851" spans="1:25" ht="30" x14ac:dyDescent="0.25">
      <c r="A851" s="32"/>
      <c r="B851" s="32"/>
      <c r="C851" s="32"/>
      <c r="D851" s="32"/>
      <c r="E851" s="32"/>
      <c r="F851" s="32"/>
      <c r="G851" s="32">
        <v>90</v>
      </c>
      <c r="H851" s="66" t="str">
        <f>'BID III'!B648</f>
        <v>Belanja Upakara, Upacara Dan Aci</v>
      </c>
      <c r="I851" s="470">
        <f>'BID III'!F649+'BID III'!F650+'BID III'!F651+'BID III'!F652</f>
        <v>250000</v>
      </c>
      <c r="J851" s="66" t="s">
        <v>2627</v>
      </c>
      <c r="K851" s="470" t="s">
        <v>3031</v>
      </c>
      <c r="L851" s="1753"/>
      <c r="M851" s="1754">
        <v>250000</v>
      </c>
      <c r="N851" s="1753"/>
      <c r="O851" s="1753"/>
      <c r="P851" s="1758"/>
      <c r="Q851" s="1758"/>
      <c r="R851" s="1758"/>
      <c r="S851" s="1758"/>
      <c r="T851" s="1762"/>
      <c r="U851" s="1762"/>
      <c r="V851" s="1762"/>
      <c r="W851" s="1762"/>
      <c r="X851" s="1750">
        <f t="shared" si="28"/>
        <v>250000</v>
      </c>
      <c r="Y851" s="175">
        <f t="shared" si="29"/>
        <v>0</v>
      </c>
    </row>
    <row r="852" spans="1:25" x14ac:dyDescent="0.25">
      <c r="A852" s="32"/>
      <c r="B852" s="32"/>
      <c r="C852" s="32"/>
      <c r="D852" s="32">
        <v>5</v>
      </c>
      <c r="E852" s="32">
        <v>2</v>
      </c>
      <c r="F852" s="32">
        <v>2</v>
      </c>
      <c r="G852" s="32"/>
      <c r="H852" s="66" t="str">
        <f>'BID III'!B653</f>
        <v>Belanja Jasa Honorarium</v>
      </c>
      <c r="I852" s="470"/>
      <c r="J852" s="66"/>
      <c r="K852" s="470" t="s">
        <v>3031</v>
      </c>
      <c r="L852" s="1753"/>
      <c r="M852" s="1754"/>
      <c r="N852" s="1753"/>
      <c r="O852" s="1753"/>
      <c r="P852" s="1758"/>
      <c r="Q852" s="1758"/>
      <c r="R852" s="1758"/>
      <c r="S852" s="1758"/>
      <c r="T852" s="1762"/>
      <c r="U852" s="1762"/>
      <c r="V852" s="1762"/>
      <c r="W852" s="1762"/>
      <c r="X852" s="1750">
        <f t="shared" si="28"/>
        <v>0</v>
      </c>
      <c r="Y852" s="175">
        <f t="shared" si="29"/>
        <v>0</v>
      </c>
    </row>
    <row r="853" spans="1:25" ht="60" x14ac:dyDescent="0.25">
      <c r="A853" s="32"/>
      <c r="B853" s="32"/>
      <c r="C853" s="32"/>
      <c r="D853" s="32"/>
      <c r="E853" s="32"/>
      <c r="F853" s="32"/>
      <c r="G853" s="1340" t="s">
        <v>2704</v>
      </c>
      <c r="H853" s="66" t="str">
        <f>'BID III'!B654</f>
        <v>Belanja Jasa Honorarium Ahli Profesi/Konsultan/Narasumber</v>
      </c>
      <c r="I853" s="470">
        <f>SUM('BID III'!F655:F656)</f>
        <v>5100000</v>
      </c>
      <c r="J853" s="66" t="s">
        <v>2627</v>
      </c>
      <c r="K853" s="470" t="s">
        <v>3031</v>
      </c>
      <c r="L853" s="1753"/>
      <c r="M853" s="1754">
        <v>5100000</v>
      </c>
      <c r="N853" s="1753"/>
      <c r="O853" s="1753"/>
      <c r="P853" s="1758"/>
      <c r="Q853" s="1758"/>
      <c r="R853" s="1758"/>
      <c r="S853" s="1758"/>
      <c r="T853" s="1762"/>
      <c r="U853" s="1762"/>
      <c r="V853" s="1762"/>
      <c r="W853" s="1762"/>
      <c r="X853" s="1750">
        <f t="shared" si="28"/>
        <v>5100000</v>
      </c>
      <c r="Y853" s="175">
        <f t="shared" si="29"/>
        <v>0</v>
      </c>
    </row>
    <row r="854" spans="1:25" ht="45" x14ac:dyDescent="0.25">
      <c r="A854" s="32"/>
      <c r="B854" s="32"/>
      <c r="C854" s="32"/>
      <c r="D854" s="32">
        <v>5</v>
      </c>
      <c r="E854" s="32">
        <v>2</v>
      </c>
      <c r="F854" s="32">
        <v>7</v>
      </c>
      <c r="G854" s="32"/>
      <c r="H854" s="66" t="str">
        <f>'BID III'!B657</f>
        <v>Belanja Barang dan Jasa yang Diserahkan Kepada Masyarakat</v>
      </c>
      <c r="I854" s="470"/>
      <c r="J854" s="66"/>
      <c r="K854" s="470" t="s">
        <v>3031</v>
      </c>
      <c r="L854" s="1753"/>
      <c r="M854" s="1754"/>
      <c r="N854" s="1753"/>
      <c r="O854" s="1753"/>
      <c r="P854" s="1758"/>
      <c r="Q854" s="1758"/>
      <c r="R854" s="1758"/>
      <c r="S854" s="1758"/>
      <c r="T854" s="1762"/>
      <c r="U854" s="1762"/>
      <c r="V854" s="1762"/>
      <c r="W854" s="1762"/>
      <c r="X854" s="1750">
        <f t="shared" si="28"/>
        <v>0</v>
      </c>
      <c r="Y854" s="175">
        <f t="shared" si="29"/>
        <v>0</v>
      </c>
    </row>
    <row r="855" spans="1:25" ht="30" x14ac:dyDescent="0.25">
      <c r="A855" s="32"/>
      <c r="B855" s="32"/>
      <c r="C855" s="32"/>
      <c r="D855" s="32"/>
      <c r="E855" s="32"/>
      <c r="F855" s="32"/>
      <c r="G855" s="32">
        <v>90</v>
      </c>
      <c r="H855" s="66" t="str">
        <f>'BID III'!B658</f>
        <v>Belanja Jasa Atlit dan Seniman Berprestasi</v>
      </c>
      <c r="I855" s="470">
        <f>SUM('BID III'!F659:F668)</f>
        <v>14112000</v>
      </c>
      <c r="J855" s="66" t="s">
        <v>2627</v>
      </c>
      <c r="K855" s="470" t="s">
        <v>3031</v>
      </c>
      <c r="L855" s="1753"/>
      <c r="M855" s="1754">
        <v>14112000</v>
      </c>
      <c r="N855" s="1753"/>
      <c r="O855" s="1753"/>
      <c r="P855" s="1758"/>
      <c r="Q855" s="1758"/>
      <c r="R855" s="1758"/>
      <c r="S855" s="1758"/>
      <c r="T855" s="1762"/>
      <c r="U855" s="1762"/>
      <c r="V855" s="1762"/>
      <c r="W855" s="1762"/>
      <c r="X855" s="1750">
        <f t="shared" si="28"/>
        <v>14112000</v>
      </c>
      <c r="Y855" s="175">
        <f t="shared" si="29"/>
        <v>0</v>
      </c>
    </row>
    <row r="856" spans="1:25" x14ac:dyDescent="0.25">
      <c r="A856" s="32"/>
      <c r="B856" s="32"/>
      <c r="C856" s="32"/>
      <c r="D856" s="32">
        <v>5</v>
      </c>
      <c r="E856" s="32">
        <v>2</v>
      </c>
      <c r="F856" s="32">
        <v>4</v>
      </c>
      <c r="G856" s="32"/>
      <c r="H856" s="66" t="str">
        <f>'BID III'!B669</f>
        <v>Belanja Jasa Sewa</v>
      </c>
      <c r="I856" s="470"/>
      <c r="J856" s="66"/>
      <c r="K856" s="470" t="s">
        <v>3031</v>
      </c>
      <c r="L856" s="1753"/>
      <c r="M856" s="1754"/>
      <c r="N856" s="1753"/>
      <c r="O856" s="1753"/>
      <c r="P856" s="1758"/>
      <c r="Q856" s="1758"/>
      <c r="R856" s="1758"/>
      <c r="S856" s="1758"/>
      <c r="T856" s="1762"/>
      <c r="U856" s="1762"/>
      <c r="V856" s="1762"/>
      <c r="W856" s="1762"/>
      <c r="X856" s="1750">
        <f t="shared" si="28"/>
        <v>0</v>
      </c>
      <c r="Y856" s="175">
        <f t="shared" si="29"/>
        <v>0</v>
      </c>
    </row>
    <row r="857" spans="1:25" ht="30" x14ac:dyDescent="0.25">
      <c r="A857" s="32"/>
      <c r="B857" s="32"/>
      <c r="C857" s="32"/>
      <c r="D857" s="32"/>
      <c r="E857" s="32"/>
      <c r="F857" s="32"/>
      <c r="G857" s="1340" t="s">
        <v>2688</v>
      </c>
      <c r="H857" s="66" t="str">
        <f>'BID III'!B670</f>
        <v>Belanja Jasa Sewa Peralatan perlengkapan</v>
      </c>
      <c r="I857" s="470">
        <f>SUM('BID III'!F671)</f>
        <v>1000000</v>
      </c>
      <c r="J857" s="66" t="s">
        <v>2627</v>
      </c>
      <c r="K857" s="470" t="s">
        <v>3031</v>
      </c>
      <c r="L857" s="1753"/>
      <c r="M857" s="1754">
        <v>1000000</v>
      </c>
      <c r="N857" s="1753"/>
      <c r="O857" s="1753"/>
      <c r="P857" s="1758"/>
      <c r="Q857" s="1758"/>
      <c r="R857" s="1758"/>
      <c r="S857" s="1758"/>
      <c r="T857" s="1762"/>
      <c r="U857" s="1762"/>
      <c r="V857" s="1762"/>
      <c r="W857" s="1762"/>
      <c r="X857" s="1750">
        <f t="shared" si="28"/>
        <v>1000000</v>
      </c>
      <c r="Y857" s="175">
        <f t="shared" si="29"/>
        <v>0</v>
      </c>
    </row>
    <row r="858" spans="1:25" ht="150" x14ac:dyDescent="0.25">
      <c r="A858" s="32"/>
      <c r="B858" s="32"/>
      <c r="C858" s="32"/>
      <c r="D858" s="32"/>
      <c r="E858" s="32"/>
      <c r="F858" s="32"/>
      <c r="G858" s="32"/>
      <c r="H858" s="66" t="str">
        <f>'BID III'!B672</f>
        <v>Pengiriman Peserta Lomba Lagu Wajib dan Lagu Perjuangan Tingkat SD dan SMP, Lomba Menggambar Tokoh Bung Karno dan Lomba Lari Karung Sekaa Teruna Dalan Rangka Bulan Bung Karno ) Ke Camat Denpasar Timur</v>
      </c>
      <c r="I858" s="470"/>
      <c r="J858" s="66"/>
      <c r="K858" s="470" t="s">
        <v>3031</v>
      </c>
      <c r="L858" s="1753"/>
      <c r="M858" s="1754"/>
      <c r="N858" s="1753"/>
      <c r="O858" s="1753"/>
      <c r="P858" s="1758"/>
      <c r="Q858" s="1758"/>
      <c r="R858" s="1758"/>
      <c r="S858" s="1758"/>
      <c r="T858" s="1762"/>
      <c r="U858" s="1762"/>
      <c r="V858" s="1762"/>
      <c r="W858" s="1762"/>
      <c r="X858" s="1750">
        <f t="shared" ref="X858:X921" si="30">SUM(L858:W858)</f>
        <v>0</v>
      </c>
      <c r="Y858" s="175">
        <f t="shared" ref="Y858:Y921" si="31">X858-I858</f>
        <v>0</v>
      </c>
    </row>
    <row r="859" spans="1:25" x14ac:dyDescent="0.25">
      <c r="A859" s="32"/>
      <c r="B859" s="32"/>
      <c r="C859" s="32"/>
      <c r="D859" s="32">
        <v>2</v>
      </c>
      <c r="E859" s="32">
        <v>5</v>
      </c>
      <c r="F859" s="32"/>
      <c r="G859" s="32"/>
      <c r="H859" s="66" t="str">
        <f>'BID III'!B673</f>
        <v>Belanja Barang Jasa</v>
      </c>
      <c r="I859" s="470"/>
      <c r="J859" s="66"/>
      <c r="K859" s="470" t="s">
        <v>3031</v>
      </c>
      <c r="L859" s="1753"/>
      <c r="M859" s="1754"/>
      <c r="N859" s="1753"/>
      <c r="O859" s="1753"/>
      <c r="P859" s="1758"/>
      <c r="Q859" s="1758"/>
      <c r="R859" s="1758"/>
      <c r="S859" s="1758"/>
      <c r="T859" s="1762"/>
      <c r="U859" s="1762"/>
      <c r="V859" s="1762"/>
      <c r="W859" s="1762"/>
      <c r="X859" s="1750">
        <f t="shared" si="30"/>
        <v>0</v>
      </c>
      <c r="Y859" s="175">
        <f t="shared" si="31"/>
        <v>0</v>
      </c>
    </row>
    <row r="860" spans="1:25" ht="30" x14ac:dyDescent="0.25">
      <c r="A860" s="32"/>
      <c r="B860" s="32"/>
      <c r="C860" s="32"/>
      <c r="D860" s="32"/>
      <c r="E860" s="32"/>
      <c r="F860" s="32">
        <v>1</v>
      </c>
      <c r="G860" s="32"/>
      <c r="H860" s="66" t="str">
        <f>'BID III'!B674</f>
        <v>Belanja Barang Perlengkapan</v>
      </c>
      <c r="I860" s="470"/>
      <c r="J860" s="66"/>
      <c r="K860" s="470" t="s">
        <v>3031</v>
      </c>
      <c r="L860" s="1753"/>
      <c r="M860" s="1754"/>
      <c r="N860" s="1753"/>
      <c r="O860" s="1753"/>
      <c r="P860" s="1758"/>
      <c r="Q860" s="1758"/>
      <c r="R860" s="1758"/>
      <c r="S860" s="1758"/>
      <c r="T860" s="1762"/>
      <c r="U860" s="1762"/>
      <c r="V860" s="1762"/>
      <c r="W860" s="1762"/>
      <c r="X860" s="1750">
        <f t="shared" si="30"/>
        <v>0</v>
      </c>
      <c r="Y860" s="175">
        <f t="shared" si="31"/>
        <v>0</v>
      </c>
    </row>
    <row r="861" spans="1:25" ht="45" x14ac:dyDescent="0.25">
      <c r="A861" s="32"/>
      <c r="B861" s="32"/>
      <c r="C861" s="32"/>
      <c r="D861" s="32"/>
      <c r="E861" s="32"/>
      <c r="F861" s="32"/>
      <c r="G861" s="1340" t="s">
        <v>2705</v>
      </c>
      <c r="H861" s="66" t="str">
        <f>'BID III'!B675</f>
        <v>Belanja Barang Perlengkapan Barang Konsumsi</v>
      </c>
      <c r="I861" s="470">
        <f>SUM('BID III'!F676:F677)</f>
        <v>525000</v>
      </c>
      <c r="J861" s="66" t="s">
        <v>2627</v>
      </c>
      <c r="K861" s="470" t="s">
        <v>3031</v>
      </c>
      <c r="L861" s="1753"/>
      <c r="M861" s="1754">
        <v>525000</v>
      </c>
      <c r="N861" s="1753"/>
      <c r="O861" s="1753"/>
      <c r="P861" s="1758"/>
      <c r="Q861" s="1758"/>
      <c r="R861" s="1758"/>
      <c r="S861" s="1758"/>
      <c r="T861" s="1762"/>
      <c r="U861" s="1762"/>
      <c r="V861" s="1762"/>
      <c r="W861" s="1762"/>
      <c r="X861" s="1750">
        <f t="shared" si="30"/>
        <v>525000</v>
      </c>
      <c r="Y861" s="175">
        <f t="shared" si="31"/>
        <v>0</v>
      </c>
    </row>
    <row r="862" spans="1:25" ht="30" x14ac:dyDescent="0.25">
      <c r="A862" s="32"/>
      <c r="B862" s="32"/>
      <c r="C862" s="32"/>
      <c r="D862" s="32"/>
      <c r="E862" s="32"/>
      <c r="F862" s="32"/>
      <c r="G862" s="1340" t="s">
        <v>2708</v>
      </c>
      <c r="H862" s="66" t="str">
        <f>'BID III'!B678</f>
        <v>Belanja Bahan Material</v>
      </c>
      <c r="I862" s="470">
        <f>SUM('BID III'!F679:F688)</f>
        <v>3339940</v>
      </c>
      <c r="J862" s="66" t="s">
        <v>2627</v>
      </c>
      <c r="K862" s="470" t="s">
        <v>3031</v>
      </c>
      <c r="L862" s="1753"/>
      <c r="M862" s="1754">
        <v>3339940</v>
      </c>
      <c r="N862" s="1753"/>
      <c r="O862" s="1753"/>
      <c r="P862" s="1758"/>
      <c r="Q862" s="1758"/>
      <c r="R862" s="1758"/>
      <c r="S862" s="1758"/>
      <c r="T862" s="1762"/>
      <c r="U862" s="1762"/>
      <c r="V862" s="1762"/>
      <c r="W862" s="1762"/>
      <c r="X862" s="1750">
        <f t="shared" si="30"/>
        <v>3339940</v>
      </c>
      <c r="Y862" s="175">
        <f t="shared" si="31"/>
        <v>0</v>
      </c>
    </row>
    <row r="863" spans="1:25" x14ac:dyDescent="0.25">
      <c r="A863" s="32"/>
      <c r="B863" s="32"/>
      <c r="C863" s="32"/>
      <c r="D863" s="32">
        <v>5</v>
      </c>
      <c r="E863" s="32">
        <v>2</v>
      </c>
      <c r="F863" s="32">
        <v>2</v>
      </c>
      <c r="G863" s="32"/>
      <c r="H863" s="66" t="str">
        <f>'BID III'!B689</f>
        <v>Belanja Honorarium</v>
      </c>
      <c r="I863" s="470"/>
      <c r="J863" s="66"/>
      <c r="K863" s="470" t="s">
        <v>3031</v>
      </c>
      <c r="L863" s="1753"/>
      <c r="M863" s="1754"/>
      <c r="N863" s="1753"/>
      <c r="O863" s="1753"/>
      <c r="P863" s="1758"/>
      <c r="Q863" s="1758"/>
      <c r="R863" s="1758"/>
      <c r="S863" s="1758"/>
      <c r="T863" s="1762"/>
      <c r="U863" s="1762"/>
      <c r="V863" s="1762"/>
      <c r="W863" s="1762"/>
      <c r="X863" s="1750">
        <f t="shared" si="30"/>
        <v>0</v>
      </c>
      <c r="Y863" s="175">
        <f t="shared" si="31"/>
        <v>0</v>
      </c>
    </row>
    <row r="864" spans="1:25" ht="30" x14ac:dyDescent="0.25">
      <c r="A864" s="32"/>
      <c r="B864" s="32"/>
      <c r="C864" s="32"/>
      <c r="D864" s="32"/>
      <c r="E864" s="32"/>
      <c r="F864" s="32"/>
      <c r="G864" s="1340" t="s">
        <v>2704</v>
      </c>
      <c r="H864" s="66" t="str">
        <f>'BID III'!B690</f>
        <v>Belanja Honorarium Pelatih</v>
      </c>
      <c r="I864" s="470">
        <f>'BID III'!F691</f>
        <v>300000</v>
      </c>
      <c r="J864" s="66" t="s">
        <v>2627</v>
      </c>
      <c r="K864" s="470" t="s">
        <v>3031</v>
      </c>
      <c r="L864" s="1753"/>
      <c r="M864" s="1754">
        <v>300000</v>
      </c>
      <c r="N864" s="1753"/>
      <c r="O864" s="1753"/>
      <c r="P864" s="1758"/>
      <c r="Q864" s="1758"/>
      <c r="R864" s="1758"/>
      <c r="S864" s="1758"/>
      <c r="T864" s="1762"/>
      <c r="U864" s="1762"/>
      <c r="V864" s="1762"/>
      <c r="W864" s="1762"/>
      <c r="X864" s="1750">
        <f t="shared" si="30"/>
        <v>300000</v>
      </c>
      <c r="Y864" s="175">
        <f t="shared" si="31"/>
        <v>0</v>
      </c>
    </row>
    <row r="865" spans="1:25" ht="45" x14ac:dyDescent="0.25">
      <c r="A865" s="32"/>
      <c r="B865" s="32"/>
      <c r="C865" s="32"/>
      <c r="D865" s="32"/>
      <c r="E865" s="32"/>
      <c r="F865" s="32"/>
      <c r="G865" s="1340" t="s">
        <v>2706</v>
      </c>
      <c r="H865" s="66" t="str">
        <f>'BID III'!B692</f>
        <v>Belanja Jasa Honor Tim yang Melaksanakan Kegiatan</v>
      </c>
      <c r="I865" s="470">
        <f>SUM('BID III'!F693:F694)</f>
        <v>700000</v>
      </c>
      <c r="J865" s="66" t="s">
        <v>2627</v>
      </c>
      <c r="K865" s="470" t="s">
        <v>3031</v>
      </c>
      <c r="L865" s="1753"/>
      <c r="M865" s="1754">
        <v>700000</v>
      </c>
      <c r="N865" s="1753"/>
      <c r="O865" s="1753"/>
      <c r="P865" s="1758"/>
      <c r="Q865" s="1758"/>
      <c r="R865" s="1758"/>
      <c r="S865" s="1758"/>
      <c r="T865" s="1762"/>
      <c r="U865" s="1762"/>
      <c r="V865" s="1762"/>
      <c r="W865" s="1762"/>
      <c r="X865" s="1750">
        <f t="shared" si="30"/>
        <v>700000</v>
      </c>
      <c r="Y865" s="175">
        <f t="shared" si="31"/>
        <v>0</v>
      </c>
    </row>
    <row r="866" spans="1:25" ht="45" x14ac:dyDescent="0.25">
      <c r="A866" s="32"/>
      <c r="B866" s="32"/>
      <c r="C866" s="32"/>
      <c r="D866" s="32">
        <v>5</v>
      </c>
      <c r="E866" s="32">
        <v>2</v>
      </c>
      <c r="F866" s="32">
        <v>7</v>
      </c>
      <c r="G866" s="32"/>
      <c r="H866" s="66" t="str">
        <f>'BID III'!B695</f>
        <v>Belanja Barang dan Jasa yang Diserahkan Kepada Masyarakat</v>
      </c>
      <c r="I866" s="470"/>
      <c r="J866" s="66"/>
      <c r="K866" s="470" t="s">
        <v>3031</v>
      </c>
      <c r="L866" s="1753"/>
      <c r="M866" s="1754"/>
      <c r="N866" s="1753"/>
      <c r="O866" s="1753"/>
      <c r="P866" s="1758"/>
      <c r="Q866" s="1758"/>
      <c r="R866" s="1758"/>
      <c r="S866" s="1758"/>
      <c r="T866" s="1762"/>
      <c r="U866" s="1762"/>
      <c r="V866" s="1762"/>
      <c r="W866" s="1762"/>
      <c r="X866" s="1750">
        <f t="shared" si="30"/>
        <v>0</v>
      </c>
      <c r="Y866" s="175">
        <f t="shared" si="31"/>
        <v>0</v>
      </c>
    </row>
    <row r="867" spans="1:25" ht="30" x14ac:dyDescent="0.25">
      <c r="A867" s="32"/>
      <c r="B867" s="32"/>
      <c r="C867" s="32"/>
      <c r="D867" s="32"/>
      <c r="E867" s="32"/>
      <c r="F867" s="32"/>
      <c r="G867" s="32">
        <v>90</v>
      </c>
      <c r="H867" s="66" t="str">
        <f>'BID III'!B696</f>
        <v>Belanja Uang Saku ( 4 or x 1 Kl )</v>
      </c>
      <c r="I867" s="470">
        <f>'BID III'!F696</f>
        <v>200000</v>
      </c>
      <c r="J867" s="66" t="s">
        <v>2627</v>
      </c>
      <c r="K867" s="470" t="s">
        <v>3031</v>
      </c>
      <c r="L867" s="1753"/>
      <c r="M867" s="1754">
        <v>200000</v>
      </c>
      <c r="N867" s="1753"/>
      <c r="O867" s="1753"/>
      <c r="P867" s="1758"/>
      <c r="Q867" s="1758"/>
      <c r="R867" s="1758"/>
      <c r="S867" s="1758"/>
      <c r="T867" s="1762"/>
      <c r="U867" s="1762"/>
      <c r="V867" s="1762"/>
      <c r="W867" s="1762"/>
      <c r="X867" s="1750">
        <f t="shared" si="30"/>
        <v>200000</v>
      </c>
      <c r="Y867" s="175">
        <f t="shared" si="31"/>
        <v>0</v>
      </c>
    </row>
    <row r="868" spans="1:25" ht="150" x14ac:dyDescent="0.25">
      <c r="A868" s="32"/>
      <c r="B868" s="32"/>
      <c r="C868" s="32"/>
      <c r="D868" s="32"/>
      <c r="E868" s="32"/>
      <c r="F868" s="32"/>
      <c r="G868" s="32"/>
      <c r="H868" s="66" t="str">
        <f>'BID III'!B697</f>
        <v>Pengiriman Peserta Lomba Simulasi PKK ( 25 Orang), Lomba Menyanyikan Lagu Tembang Kenangan dan Kebangsaan Lansia  ( 1 Orang ), Lomba Pidato STT ( 1 Orang ) Ke Kota Denpasar Dalam Rangka Bulan Bung Karno</v>
      </c>
      <c r="I868" s="470"/>
      <c r="J868" s="66"/>
      <c r="K868" s="470" t="s">
        <v>3031</v>
      </c>
      <c r="L868" s="1753"/>
      <c r="M868" s="1754"/>
      <c r="N868" s="1753"/>
      <c r="O868" s="1753"/>
      <c r="P868" s="1758"/>
      <c r="Q868" s="1758"/>
      <c r="R868" s="1758"/>
      <c r="S868" s="1758"/>
      <c r="T868" s="1762"/>
      <c r="U868" s="1762"/>
      <c r="V868" s="1762"/>
      <c r="W868" s="1762"/>
      <c r="X868" s="1750">
        <f t="shared" si="30"/>
        <v>0</v>
      </c>
      <c r="Y868" s="175">
        <f t="shared" si="31"/>
        <v>0</v>
      </c>
    </row>
    <row r="869" spans="1:25" x14ac:dyDescent="0.25">
      <c r="A869" s="32"/>
      <c r="B869" s="32"/>
      <c r="C869" s="32"/>
      <c r="D869" s="32">
        <v>5</v>
      </c>
      <c r="E869" s="32">
        <v>2</v>
      </c>
      <c r="F869" s="32"/>
      <c r="G869" s="32"/>
      <c r="H869" s="66" t="str">
        <f>'BID III'!B698</f>
        <v>Belanja Barang Jasa</v>
      </c>
      <c r="I869" s="470"/>
      <c r="J869" s="66"/>
      <c r="K869" s="470" t="s">
        <v>3031</v>
      </c>
      <c r="L869" s="1753"/>
      <c r="M869" s="1754"/>
      <c r="N869" s="1753"/>
      <c r="O869" s="1753"/>
      <c r="P869" s="1758"/>
      <c r="Q869" s="1758"/>
      <c r="R869" s="1758"/>
      <c r="S869" s="1758"/>
      <c r="T869" s="1762"/>
      <c r="U869" s="1762"/>
      <c r="V869" s="1762"/>
      <c r="W869" s="1762"/>
      <c r="X869" s="1750">
        <f t="shared" si="30"/>
        <v>0</v>
      </c>
      <c r="Y869" s="175">
        <f t="shared" si="31"/>
        <v>0</v>
      </c>
    </row>
    <row r="870" spans="1:25" ht="30" x14ac:dyDescent="0.25">
      <c r="A870" s="32"/>
      <c r="B870" s="32"/>
      <c r="C870" s="32"/>
      <c r="D870" s="32"/>
      <c r="E870" s="32"/>
      <c r="F870" s="32">
        <v>1</v>
      </c>
      <c r="G870" s="32"/>
      <c r="H870" s="66" t="str">
        <f>'BID III'!B699</f>
        <v>Belanja Barang Perlengkapan</v>
      </c>
      <c r="I870" s="470"/>
      <c r="J870" s="66"/>
      <c r="K870" s="470" t="s">
        <v>3031</v>
      </c>
      <c r="L870" s="1753"/>
      <c r="M870" s="1754"/>
      <c r="N870" s="1753"/>
      <c r="O870" s="1753"/>
      <c r="P870" s="1758"/>
      <c r="Q870" s="1758"/>
      <c r="R870" s="1758"/>
      <c r="S870" s="1758"/>
      <c r="T870" s="1762"/>
      <c r="U870" s="1762"/>
      <c r="V870" s="1762"/>
      <c r="W870" s="1762"/>
      <c r="X870" s="1750">
        <f t="shared" si="30"/>
        <v>0</v>
      </c>
      <c r="Y870" s="175">
        <f t="shared" si="31"/>
        <v>0</v>
      </c>
    </row>
    <row r="871" spans="1:25" ht="45" x14ac:dyDescent="0.25">
      <c r="A871" s="32"/>
      <c r="B871" s="32"/>
      <c r="C871" s="32"/>
      <c r="D871" s="32"/>
      <c r="E871" s="32"/>
      <c r="F871" s="32"/>
      <c r="G871" s="1340" t="s">
        <v>2705</v>
      </c>
      <c r="H871" s="66" t="str">
        <f>'BID III'!B700</f>
        <v>Belanja Barang Perlengkapan Barang Konsumsi</v>
      </c>
      <c r="I871" s="470">
        <f>SUM('BID III'!F701:F702)</f>
        <v>2250000</v>
      </c>
      <c r="J871" s="66" t="s">
        <v>2627</v>
      </c>
      <c r="K871" s="470" t="s">
        <v>3031</v>
      </c>
      <c r="L871" s="1753"/>
      <c r="M871" s="1754">
        <v>2250000</v>
      </c>
      <c r="N871" s="1753"/>
      <c r="O871" s="1753"/>
      <c r="P871" s="1758"/>
      <c r="Q871" s="1758"/>
      <c r="R871" s="1758"/>
      <c r="S871" s="1758"/>
      <c r="T871" s="1762"/>
      <c r="U871" s="1762"/>
      <c r="V871" s="1762"/>
      <c r="W871" s="1762"/>
      <c r="X871" s="1750">
        <f t="shared" si="30"/>
        <v>2250000</v>
      </c>
      <c r="Y871" s="175">
        <f t="shared" si="31"/>
        <v>0</v>
      </c>
    </row>
    <row r="872" spans="1:25" ht="30" x14ac:dyDescent="0.25">
      <c r="A872" s="32"/>
      <c r="B872" s="32"/>
      <c r="C872" s="32"/>
      <c r="D872" s="32"/>
      <c r="E872" s="32"/>
      <c r="F872" s="32"/>
      <c r="G872" s="1340" t="s">
        <v>2708</v>
      </c>
      <c r="H872" s="66" t="str">
        <f>'BID III'!B703</f>
        <v>Belanja Bahan Material</v>
      </c>
      <c r="I872" s="470">
        <f>SUM('BID III'!F704:F705)</f>
        <v>12150000</v>
      </c>
      <c r="J872" s="66" t="s">
        <v>2627</v>
      </c>
      <c r="K872" s="470" t="s">
        <v>3031</v>
      </c>
      <c r="L872" s="1753"/>
      <c r="M872" s="1754">
        <v>12150000</v>
      </c>
      <c r="N872" s="1753"/>
      <c r="O872" s="1753"/>
      <c r="P872" s="1758"/>
      <c r="Q872" s="1758"/>
      <c r="R872" s="1758"/>
      <c r="S872" s="1758"/>
      <c r="T872" s="1762"/>
      <c r="U872" s="1762"/>
      <c r="V872" s="1762"/>
      <c r="W872" s="1762"/>
      <c r="X872" s="1750">
        <f t="shared" si="30"/>
        <v>12150000</v>
      </c>
      <c r="Y872" s="175">
        <f t="shared" si="31"/>
        <v>0</v>
      </c>
    </row>
    <row r="873" spans="1:25" x14ac:dyDescent="0.25">
      <c r="A873" s="32"/>
      <c r="B873" s="32"/>
      <c r="C873" s="32"/>
      <c r="D873" s="32">
        <v>5</v>
      </c>
      <c r="E873" s="32">
        <v>2</v>
      </c>
      <c r="F873" s="32">
        <v>2</v>
      </c>
      <c r="G873" s="32"/>
      <c r="H873" s="66" t="str">
        <f>'BID III'!B706</f>
        <v>Belanja Honorarium</v>
      </c>
      <c r="I873" s="470"/>
      <c r="J873" s="66"/>
      <c r="K873" s="470" t="s">
        <v>3031</v>
      </c>
      <c r="L873" s="1753"/>
      <c r="M873" s="1754"/>
      <c r="N873" s="1753"/>
      <c r="O873" s="1753"/>
      <c r="P873" s="1758"/>
      <c r="Q873" s="1758"/>
      <c r="R873" s="1758"/>
      <c r="S873" s="1758"/>
      <c r="T873" s="1762"/>
      <c r="U873" s="1762"/>
      <c r="V873" s="1762"/>
      <c r="W873" s="1762"/>
      <c r="X873" s="1750">
        <f t="shared" si="30"/>
        <v>0</v>
      </c>
      <c r="Y873" s="175">
        <f t="shared" si="31"/>
        <v>0</v>
      </c>
    </row>
    <row r="874" spans="1:25" ht="60" x14ac:dyDescent="0.25">
      <c r="A874" s="32"/>
      <c r="B874" s="32"/>
      <c r="C874" s="32"/>
      <c r="D874" s="32"/>
      <c r="E874" s="32"/>
      <c r="F874" s="32"/>
      <c r="G874" s="1340" t="s">
        <v>2704</v>
      </c>
      <c r="H874" s="66" t="str">
        <f>'BID III'!B707</f>
        <v>Belanja Jasa Honorarium Ahli Profesi/Konsultan/Narasumber</v>
      </c>
      <c r="I874" s="470">
        <f>SUM('BID III'!F708:F709)</f>
        <v>4950000</v>
      </c>
      <c r="J874" s="66" t="s">
        <v>2627</v>
      </c>
      <c r="K874" s="470" t="s">
        <v>3031</v>
      </c>
      <c r="L874" s="1753"/>
      <c r="M874" s="1754">
        <v>4950000</v>
      </c>
      <c r="N874" s="1753"/>
      <c r="O874" s="1753"/>
      <c r="P874" s="1758"/>
      <c r="Q874" s="1758"/>
      <c r="R874" s="1758"/>
      <c r="S874" s="1758"/>
      <c r="T874" s="1762"/>
      <c r="U874" s="1762"/>
      <c r="V874" s="1762"/>
      <c r="W874" s="1762"/>
      <c r="X874" s="1750">
        <f t="shared" si="30"/>
        <v>4950000</v>
      </c>
      <c r="Y874" s="175">
        <f t="shared" si="31"/>
        <v>0</v>
      </c>
    </row>
    <row r="875" spans="1:25" ht="45" x14ac:dyDescent="0.25">
      <c r="A875" s="32"/>
      <c r="B875" s="32"/>
      <c r="C875" s="32"/>
      <c r="D875" s="32">
        <v>5</v>
      </c>
      <c r="E875" s="32">
        <v>2</v>
      </c>
      <c r="F875" s="32">
        <v>7</v>
      </c>
      <c r="G875" s="32"/>
      <c r="H875" s="66" t="str">
        <f>'BID III'!B710</f>
        <v>Belanja Barang dan Jasa yang Diserahkan Kepada Masyarakat</v>
      </c>
      <c r="I875" s="470"/>
      <c r="J875" s="66"/>
      <c r="K875" s="470" t="s">
        <v>3031</v>
      </c>
      <c r="L875" s="1753"/>
      <c r="M875" s="1754"/>
      <c r="N875" s="1753"/>
      <c r="O875" s="1753"/>
      <c r="P875" s="1758"/>
      <c r="Q875" s="1758"/>
      <c r="R875" s="1758"/>
      <c r="S875" s="1758"/>
      <c r="T875" s="1762"/>
      <c r="U875" s="1762"/>
      <c r="V875" s="1762"/>
      <c r="W875" s="1762"/>
      <c r="X875" s="1750">
        <f t="shared" si="30"/>
        <v>0</v>
      </c>
      <c r="Y875" s="175">
        <f t="shared" si="31"/>
        <v>0</v>
      </c>
    </row>
    <row r="876" spans="1:25" ht="30" x14ac:dyDescent="0.25">
      <c r="A876" s="32"/>
      <c r="B876" s="32"/>
      <c r="C876" s="32"/>
      <c r="D876" s="32"/>
      <c r="E876" s="32"/>
      <c r="F876" s="32"/>
      <c r="G876" s="32">
        <v>90</v>
      </c>
      <c r="H876" s="66" t="str">
        <f>'BID III'!B711</f>
        <v>Belanja Uang Saku Peserta ( 27 or x 1 Kl )</v>
      </c>
      <c r="I876" s="470">
        <f>'BID III'!F711</f>
        <v>1350000</v>
      </c>
      <c r="J876" s="66" t="s">
        <v>2627</v>
      </c>
      <c r="K876" s="470" t="s">
        <v>3031</v>
      </c>
      <c r="L876" s="1753"/>
      <c r="M876" s="1754">
        <v>1350000</v>
      </c>
      <c r="N876" s="1753"/>
      <c r="O876" s="1753"/>
      <c r="P876" s="1758"/>
      <c r="Q876" s="1758"/>
      <c r="R876" s="1758"/>
      <c r="S876" s="1758"/>
      <c r="T876" s="1762"/>
      <c r="U876" s="1762"/>
      <c r="V876" s="1762"/>
      <c r="W876" s="1762"/>
      <c r="X876" s="1750">
        <f t="shared" si="30"/>
        <v>1350000</v>
      </c>
      <c r="Y876" s="175">
        <f t="shared" si="31"/>
        <v>0</v>
      </c>
    </row>
    <row r="877" spans="1:25" ht="30" x14ac:dyDescent="0.25">
      <c r="A877" s="1344">
        <v>3</v>
      </c>
      <c r="B877" s="1344">
        <v>3</v>
      </c>
      <c r="C877" s="1346" t="s">
        <v>2705</v>
      </c>
      <c r="D877" s="1344"/>
      <c r="E877" s="1344"/>
      <c r="F877" s="1344"/>
      <c r="G877" s="1344"/>
      <c r="H877" s="1345" t="str">
        <f>'BID III'!B827</f>
        <v>: Pembinaan Karang Taruna</v>
      </c>
      <c r="I877" s="1347">
        <f>SUM(I878:I887)</f>
        <v>29662000</v>
      </c>
      <c r="J877" s="1345" t="s">
        <v>1682</v>
      </c>
      <c r="K877" s="1347" t="s">
        <v>3031</v>
      </c>
      <c r="L877" s="1344"/>
      <c r="M877" s="1344"/>
      <c r="N877" s="1344"/>
      <c r="O877" s="1344"/>
      <c r="P877" s="1344"/>
      <c r="Q877" s="1344"/>
      <c r="R877" s="1344"/>
      <c r="S877" s="1344"/>
      <c r="T877" s="1344"/>
      <c r="U877" s="1344"/>
      <c r="V877" s="1344"/>
      <c r="W877" s="1344"/>
      <c r="X877" s="1353">
        <f t="shared" si="30"/>
        <v>0</v>
      </c>
      <c r="Y877" s="175">
        <f t="shared" si="31"/>
        <v>-29662000</v>
      </c>
    </row>
    <row r="878" spans="1:25" x14ac:dyDescent="0.25">
      <c r="A878" s="32"/>
      <c r="B878" s="32"/>
      <c r="C878" s="32"/>
      <c r="D878" s="32">
        <v>5</v>
      </c>
      <c r="E878" s="32">
        <v>2</v>
      </c>
      <c r="F878" s="32"/>
      <c r="G878" s="32"/>
      <c r="H878" s="66" t="str">
        <f>'BID III'!B833</f>
        <v>Belanja Barang Jasa</v>
      </c>
      <c r="I878" s="470"/>
      <c r="J878" s="66"/>
      <c r="K878" s="470" t="s">
        <v>3031</v>
      </c>
      <c r="L878" s="1753"/>
      <c r="M878" s="1753"/>
      <c r="N878" s="1753"/>
      <c r="O878" s="1753"/>
      <c r="P878" s="1758"/>
      <c r="Q878" s="1758"/>
      <c r="R878" s="1758"/>
      <c r="S878" s="1758"/>
      <c r="T878" s="1762"/>
      <c r="U878" s="1762"/>
      <c r="V878" s="1762"/>
      <c r="W878" s="1762"/>
      <c r="X878" s="1750">
        <f t="shared" si="30"/>
        <v>0</v>
      </c>
      <c r="Y878" s="175">
        <f t="shared" si="31"/>
        <v>0</v>
      </c>
    </row>
    <row r="879" spans="1:25" ht="30" x14ac:dyDescent="0.25">
      <c r="A879" s="32"/>
      <c r="B879" s="32"/>
      <c r="C879" s="32"/>
      <c r="D879" s="32"/>
      <c r="E879" s="32"/>
      <c r="F879" s="32">
        <v>1</v>
      </c>
      <c r="G879" s="32"/>
      <c r="H879" s="66" t="str">
        <f>'BID III'!B834</f>
        <v>Belanja Barang Perlengkapan</v>
      </c>
      <c r="I879" s="470"/>
      <c r="J879" s="66"/>
      <c r="K879" s="470" t="s">
        <v>3031</v>
      </c>
      <c r="L879" s="1753"/>
      <c r="M879" s="1753"/>
      <c r="N879" s="1753"/>
      <c r="O879" s="1753"/>
      <c r="P879" s="1758"/>
      <c r="Q879" s="1758"/>
      <c r="R879" s="1758"/>
      <c r="S879" s="1758"/>
      <c r="T879" s="1762"/>
      <c r="U879" s="1762"/>
      <c r="V879" s="1762"/>
      <c r="W879" s="1762"/>
      <c r="X879" s="1750">
        <f t="shared" si="30"/>
        <v>0</v>
      </c>
      <c r="Y879" s="175">
        <f t="shared" si="31"/>
        <v>0</v>
      </c>
    </row>
    <row r="880" spans="1:25" ht="30" x14ac:dyDescent="0.25">
      <c r="A880" s="32"/>
      <c r="B880" s="32"/>
      <c r="C880" s="32"/>
      <c r="D880" s="32"/>
      <c r="E880" s="32"/>
      <c r="F880" s="32"/>
      <c r="G880" s="1340" t="s">
        <v>2688</v>
      </c>
      <c r="H880" s="66" t="str">
        <f>'BID III'!B835</f>
        <v>Belanja Alat Tulis Kantor dan Benda Pos</v>
      </c>
      <c r="I880" s="470">
        <f>SUM('BID III'!F836:F839)</f>
        <v>87000</v>
      </c>
      <c r="J880" s="66" t="s">
        <v>1682</v>
      </c>
      <c r="K880" s="470" t="s">
        <v>3031</v>
      </c>
      <c r="L880" s="1753"/>
      <c r="M880" s="1753"/>
      <c r="N880" s="1753"/>
      <c r="O880" s="1753"/>
      <c r="P880" s="1758"/>
      <c r="Q880" s="1758"/>
      <c r="R880" s="1759">
        <v>87000</v>
      </c>
      <c r="S880" s="1758"/>
      <c r="T880" s="1762"/>
      <c r="U880" s="1762"/>
      <c r="V880" s="1762"/>
      <c r="W880" s="1762"/>
      <c r="X880" s="1750">
        <f t="shared" si="30"/>
        <v>87000</v>
      </c>
      <c r="Y880" s="175">
        <f t="shared" si="31"/>
        <v>0</v>
      </c>
    </row>
    <row r="881" spans="1:25" ht="30" x14ac:dyDescent="0.25">
      <c r="A881" s="32"/>
      <c r="B881" s="32"/>
      <c r="C881" s="32"/>
      <c r="D881" s="32"/>
      <c r="E881" s="32"/>
      <c r="F881" s="32"/>
      <c r="G881" s="1340" t="s">
        <v>2705</v>
      </c>
      <c r="H881" s="66" t="str">
        <f>'BID III'!B840</f>
        <v>Belanja Perlengkapan Barang Konsumsi</v>
      </c>
      <c r="I881" s="470">
        <f>'BID III'!F841</f>
        <v>675000</v>
      </c>
      <c r="J881" s="66" t="s">
        <v>1682</v>
      </c>
      <c r="K881" s="470" t="s">
        <v>3031</v>
      </c>
      <c r="L881" s="1753"/>
      <c r="M881" s="1753"/>
      <c r="N881" s="1753"/>
      <c r="O881" s="1753"/>
      <c r="P881" s="1758"/>
      <c r="Q881" s="1758"/>
      <c r="R881" s="1759">
        <v>675000</v>
      </c>
      <c r="S881" s="1758"/>
      <c r="T881" s="1762"/>
      <c r="U881" s="1762"/>
      <c r="V881" s="1762"/>
      <c r="W881" s="1762"/>
      <c r="X881" s="1750">
        <f t="shared" si="30"/>
        <v>675000</v>
      </c>
      <c r="Y881" s="175">
        <f t="shared" si="31"/>
        <v>0</v>
      </c>
    </row>
    <row r="882" spans="1:25" ht="30" x14ac:dyDescent="0.25">
      <c r="A882" s="32"/>
      <c r="B882" s="32"/>
      <c r="C882" s="32"/>
      <c r="D882" s="32"/>
      <c r="E882" s="32"/>
      <c r="F882" s="32"/>
      <c r="G882" s="1340" t="s">
        <v>2707</v>
      </c>
      <c r="H882" s="66" t="str">
        <f>'BID III'!B842</f>
        <v>Belanja Bendera/ Umbul-umbul/ Spanduk</v>
      </c>
      <c r="I882" s="470">
        <f>'BID III'!F843</f>
        <v>200000</v>
      </c>
      <c r="J882" s="66" t="s">
        <v>1682</v>
      </c>
      <c r="K882" s="470" t="s">
        <v>3031</v>
      </c>
      <c r="L882" s="1753"/>
      <c r="M882" s="1753"/>
      <c r="N882" s="1753"/>
      <c r="O882" s="1753"/>
      <c r="P882" s="1758"/>
      <c r="Q882" s="1758"/>
      <c r="R882" s="1759">
        <v>200000</v>
      </c>
      <c r="S882" s="1758"/>
      <c r="T882" s="1762"/>
      <c r="U882" s="1762"/>
      <c r="V882" s="1762"/>
      <c r="W882" s="1762"/>
      <c r="X882" s="1750">
        <f t="shared" si="30"/>
        <v>200000</v>
      </c>
      <c r="Y882" s="175">
        <f t="shared" si="31"/>
        <v>0</v>
      </c>
    </row>
    <row r="883" spans="1:25" x14ac:dyDescent="0.25">
      <c r="A883" s="32"/>
      <c r="B883" s="32"/>
      <c r="C883" s="32"/>
      <c r="D883" s="32"/>
      <c r="E883" s="32"/>
      <c r="F883" s="32"/>
      <c r="G883" s="32">
        <v>90</v>
      </c>
      <c r="H883" s="66" t="str">
        <f>'BID III'!B844</f>
        <v>Belanja Seragam</v>
      </c>
      <c r="I883" s="470">
        <f>'BID III'!F845</f>
        <v>8400000</v>
      </c>
      <c r="J883" s="66" t="s">
        <v>1682</v>
      </c>
      <c r="K883" s="470" t="s">
        <v>3031</v>
      </c>
      <c r="L883" s="1753"/>
      <c r="M883" s="1753"/>
      <c r="N883" s="1753"/>
      <c r="O883" s="1753"/>
      <c r="P883" s="1758"/>
      <c r="Q883" s="1758"/>
      <c r="R883" s="1759">
        <v>8400000</v>
      </c>
      <c r="S883" s="1758"/>
      <c r="T883" s="1762"/>
      <c r="U883" s="1762"/>
      <c r="V883" s="1762"/>
      <c r="W883" s="1762"/>
      <c r="X883" s="1750">
        <f t="shared" si="30"/>
        <v>8400000</v>
      </c>
      <c r="Y883" s="175">
        <f t="shared" si="31"/>
        <v>0</v>
      </c>
    </row>
    <row r="884" spans="1:25" x14ac:dyDescent="0.25">
      <c r="A884" s="32"/>
      <c r="B884" s="32"/>
      <c r="C884" s="32"/>
      <c r="D884" s="32">
        <v>5</v>
      </c>
      <c r="E884" s="32">
        <v>2</v>
      </c>
      <c r="F884" s="32">
        <v>2</v>
      </c>
      <c r="G884" s="32"/>
      <c r="H884" s="66" t="str">
        <f>'BID III'!B846</f>
        <v>Belanja  Jasa Honorarium</v>
      </c>
      <c r="I884" s="470"/>
      <c r="J884" s="66"/>
      <c r="K884" s="470" t="s">
        <v>3031</v>
      </c>
      <c r="L884" s="1753"/>
      <c r="M884" s="1753"/>
      <c r="N884" s="1753"/>
      <c r="O884" s="1753"/>
      <c r="P884" s="1758"/>
      <c r="Q884" s="1758"/>
      <c r="R884" s="1759"/>
      <c r="S884" s="1758"/>
      <c r="T884" s="1762"/>
      <c r="U884" s="1762"/>
      <c r="V884" s="1762"/>
      <c r="W884" s="1762"/>
      <c r="X884" s="1750">
        <f t="shared" si="30"/>
        <v>0</v>
      </c>
      <c r="Y884" s="175">
        <f t="shared" si="31"/>
        <v>0</v>
      </c>
    </row>
    <row r="885" spans="1:25" ht="30" x14ac:dyDescent="0.25">
      <c r="A885" s="32"/>
      <c r="B885" s="32"/>
      <c r="C885" s="32"/>
      <c r="D885" s="32"/>
      <c r="E885" s="32"/>
      <c r="F885" s="32"/>
      <c r="G885" s="1340" t="s">
        <v>2702</v>
      </c>
      <c r="H885" s="66" t="str">
        <f>'BID III'!B847</f>
        <v>Belanja Jasa Honorarium Ahli/Profesi/Narasumber</v>
      </c>
      <c r="I885" s="470">
        <f>'BID III'!F848</f>
        <v>300000</v>
      </c>
      <c r="J885" s="66" t="s">
        <v>1682</v>
      </c>
      <c r="K885" s="470" t="s">
        <v>3031</v>
      </c>
      <c r="L885" s="1753"/>
      <c r="M885" s="1753"/>
      <c r="N885" s="1753"/>
      <c r="O885" s="1753"/>
      <c r="P885" s="1758"/>
      <c r="Q885" s="1758"/>
      <c r="R885" s="1759">
        <v>300000</v>
      </c>
      <c r="S885" s="1758"/>
      <c r="T885" s="1762"/>
      <c r="U885" s="1762"/>
      <c r="V885" s="1762"/>
      <c r="W885" s="1762"/>
      <c r="X885" s="1750">
        <f t="shared" si="30"/>
        <v>300000</v>
      </c>
      <c r="Y885" s="175">
        <f t="shared" si="31"/>
        <v>0</v>
      </c>
    </row>
    <row r="886" spans="1:25" x14ac:dyDescent="0.25">
      <c r="A886" s="32"/>
      <c r="B886" s="32"/>
      <c r="C886" s="32"/>
      <c r="D886" s="32">
        <v>5</v>
      </c>
      <c r="E886" s="32">
        <v>2</v>
      </c>
      <c r="F886" s="32">
        <v>4</v>
      </c>
      <c r="G886" s="32"/>
      <c r="H886" s="66" t="str">
        <f>'BID III'!B849</f>
        <v>Belanja Jasa Sewa</v>
      </c>
      <c r="I886" s="470"/>
      <c r="J886" s="66"/>
      <c r="K886" s="470" t="s">
        <v>3031</v>
      </c>
      <c r="L886" s="1753"/>
      <c r="M886" s="1753"/>
      <c r="N886" s="1753"/>
      <c r="O886" s="1753"/>
      <c r="P886" s="1758"/>
      <c r="Q886" s="1758"/>
      <c r="R886" s="1759"/>
      <c r="S886" s="1758"/>
      <c r="T886" s="1762"/>
      <c r="U886" s="1762"/>
      <c r="V886" s="1762"/>
      <c r="W886" s="1762"/>
      <c r="X886" s="1750">
        <f t="shared" si="30"/>
        <v>0</v>
      </c>
      <c r="Y886" s="175">
        <f t="shared" si="31"/>
        <v>0</v>
      </c>
    </row>
    <row r="887" spans="1:25" ht="30" x14ac:dyDescent="0.25">
      <c r="A887" s="32"/>
      <c r="B887" s="32"/>
      <c r="C887" s="32"/>
      <c r="D887" s="32"/>
      <c r="E887" s="32"/>
      <c r="F887" s="32"/>
      <c r="G887" s="1340" t="s">
        <v>2703</v>
      </c>
      <c r="H887" s="66" t="str">
        <f>'BID III'!B850</f>
        <v>Sewa Tranportasi/Outbone</v>
      </c>
      <c r="I887" s="470">
        <f>'BID III'!F850</f>
        <v>20000000</v>
      </c>
      <c r="J887" s="66" t="s">
        <v>1682</v>
      </c>
      <c r="K887" s="470" t="s">
        <v>3031</v>
      </c>
      <c r="L887" s="1753"/>
      <c r="M887" s="1753"/>
      <c r="N887" s="1753"/>
      <c r="O887" s="1753"/>
      <c r="P887" s="1758"/>
      <c r="Q887" s="1758"/>
      <c r="R887" s="1759">
        <v>20000000</v>
      </c>
      <c r="S887" s="1758"/>
      <c r="T887" s="1762"/>
      <c r="U887" s="1762"/>
      <c r="V887" s="1762"/>
      <c r="W887" s="1762"/>
      <c r="X887" s="1750">
        <f t="shared" si="30"/>
        <v>20000000</v>
      </c>
      <c r="Y887" s="175">
        <f t="shared" si="31"/>
        <v>0</v>
      </c>
    </row>
    <row r="888" spans="1:25" ht="45" x14ac:dyDescent="0.25">
      <c r="A888" s="1344">
        <v>3</v>
      </c>
      <c r="B888" s="1344">
        <v>3</v>
      </c>
      <c r="C888" s="1344">
        <v>90</v>
      </c>
      <c r="D888" s="1344"/>
      <c r="E888" s="1344"/>
      <c r="F888" s="1344"/>
      <c r="G888" s="1344"/>
      <c r="H888" s="1345" t="str">
        <f>'BID III'!B864</f>
        <v>: Penunjang Kegiatan Ekonomi Produktif untuk Sekeha Teruna (BKK Kota)</v>
      </c>
      <c r="I888" s="1347">
        <f>I891</f>
        <v>210000000</v>
      </c>
      <c r="J888" s="1345" t="s">
        <v>2159</v>
      </c>
      <c r="K888" s="1347" t="s">
        <v>3031</v>
      </c>
      <c r="L888" s="1344"/>
      <c r="M888" s="1344"/>
      <c r="N888" s="1344"/>
      <c r="O888" s="1344"/>
      <c r="P888" s="1344"/>
      <c r="Q888" s="1344"/>
      <c r="R888" s="1344"/>
      <c r="S888" s="1344"/>
      <c r="T888" s="1344"/>
      <c r="U888" s="1344"/>
      <c r="V888" s="1344"/>
      <c r="W888" s="1344"/>
      <c r="X888" s="1353">
        <f t="shared" si="30"/>
        <v>0</v>
      </c>
      <c r="Y888" s="175">
        <f t="shared" si="31"/>
        <v>-210000000</v>
      </c>
    </row>
    <row r="889" spans="1:25" x14ac:dyDescent="0.25">
      <c r="A889" s="32"/>
      <c r="B889" s="32"/>
      <c r="C889" s="32"/>
      <c r="D889" s="32">
        <v>5</v>
      </c>
      <c r="E889" s="32">
        <v>2</v>
      </c>
      <c r="F889" s="32"/>
      <c r="G889" s="32"/>
      <c r="H889" s="66" t="str">
        <f>'BID III'!B869</f>
        <v>Belanja Barang Jasa</v>
      </c>
      <c r="I889" s="32"/>
      <c r="J889" s="66"/>
      <c r="K889" s="470" t="s">
        <v>3031</v>
      </c>
      <c r="L889" s="1753"/>
      <c r="M889" s="1753"/>
      <c r="N889" s="1753"/>
      <c r="O889" s="1753"/>
      <c r="P889" s="1758"/>
      <c r="Q889" s="1758"/>
      <c r="R889" s="1758"/>
      <c r="S889" s="1758"/>
      <c r="T889" s="1762"/>
      <c r="U889" s="1762"/>
      <c r="V889" s="1762"/>
      <c r="W889" s="1762"/>
      <c r="X889" s="1750">
        <f t="shared" si="30"/>
        <v>0</v>
      </c>
      <c r="Y889" s="175">
        <f t="shared" si="31"/>
        <v>0</v>
      </c>
    </row>
    <row r="890" spans="1:25" ht="45" x14ac:dyDescent="0.25">
      <c r="A890" s="32"/>
      <c r="B890" s="32"/>
      <c r="C890" s="32"/>
      <c r="D890" s="32"/>
      <c r="E890" s="32"/>
      <c r="F890" s="32">
        <v>7</v>
      </c>
      <c r="G890" s="32"/>
      <c r="H890" s="66" t="str">
        <f>'BID III'!B870</f>
        <v>Belanja Barang dan Jasa yang Diserahkan Kepada Masyarakat</v>
      </c>
      <c r="I890" s="32"/>
      <c r="J890" s="66"/>
      <c r="K890" s="470" t="s">
        <v>3031</v>
      </c>
      <c r="L890" s="1753"/>
      <c r="M890" s="1753"/>
      <c r="N890" s="1753"/>
      <c r="O890" s="1753"/>
      <c r="P890" s="1758"/>
      <c r="Q890" s="1758"/>
      <c r="R890" s="1758"/>
      <c r="S890" s="1758"/>
      <c r="T890" s="1762"/>
      <c r="U890" s="1762"/>
      <c r="V890" s="1762"/>
      <c r="W890" s="1762"/>
      <c r="X890" s="1750">
        <f t="shared" si="30"/>
        <v>0</v>
      </c>
      <c r="Y890" s="175">
        <f t="shared" si="31"/>
        <v>0</v>
      </c>
    </row>
    <row r="891" spans="1:25" ht="30" x14ac:dyDescent="0.25">
      <c r="A891" s="32"/>
      <c r="B891" s="32"/>
      <c r="C891" s="32"/>
      <c r="D891" s="32"/>
      <c r="E891" s="32"/>
      <c r="F891" s="32"/>
      <c r="G891" s="1340" t="s">
        <v>2688</v>
      </c>
      <c r="H891" s="66" t="str">
        <f>'BID III'!B871</f>
        <v>Belanaja Barang  Yang Diserahkan</v>
      </c>
      <c r="I891" s="470">
        <f>'BID III'!F872</f>
        <v>210000000</v>
      </c>
      <c r="J891" s="66" t="s">
        <v>2159</v>
      </c>
      <c r="K891" s="470" t="s">
        <v>3031</v>
      </c>
      <c r="L891" s="1753"/>
      <c r="M891" s="1753"/>
      <c r="N891" s="1754">
        <v>210000000</v>
      </c>
      <c r="O891" s="1753"/>
      <c r="P891" s="1758"/>
      <c r="Q891" s="1758"/>
      <c r="R891" s="1758"/>
      <c r="S891" s="1758"/>
      <c r="T891" s="1762"/>
      <c r="U891" s="1762"/>
      <c r="V891" s="1762"/>
      <c r="W891" s="1762"/>
      <c r="X891" s="1750">
        <f t="shared" si="30"/>
        <v>210000000</v>
      </c>
      <c r="Y891" s="175">
        <f t="shared" si="31"/>
        <v>0</v>
      </c>
    </row>
    <row r="892" spans="1:25" ht="60" x14ac:dyDescent="0.25">
      <c r="A892" s="1344">
        <v>3</v>
      </c>
      <c r="B892" s="1344">
        <v>4</v>
      </c>
      <c r="C892" s="1346" t="s">
        <v>2702</v>
      </c>
      <c r="D892" s="1344"/>
      <c r="E892" s="1344"/>
      <c r="F892" s="1344"/>
      <c r="G892" s="1344"/>
      <c r="H892" s="1345" t="str">
        <f>'BID III'!B887</f>
        <v>: Pelatihan Pembinaan Lembaga Kemasyarakatan (Bulan bakti Gotong royong LPM)</v>
      </c>
      <c r="I892" s="1347">
        <f>SUM(I893:I917)</f>
        <v>49987120</v>
      </c>
      <c r="J892" s="1345"/>
      <c r="K892" s="1347" t="s">
        <v>3031</v>
      </c>
      <c r="L892" s="1344"/>
      <c r="M892" s="1344"/>
      <c r="N892" s="1344"/>
      <c r="O892" s="1344"/>
      <c r="P892" s="1344"/>
      <c r="Q892" s="1344"/>
      <c r="R892" s="1344"/>
      <c r="S892" s="1344"/>
      <c r="T892" s="1344"/>
      <c r="U892" s="1344"/>
      <c r="V892" s="1344"/>
      <c r="W892" s="1344"/>
      <c r="X892" s="1353">
        <f t="shared" si="30"/>
        <v>0</v>
      </c>
      <c r="Y892" s="175">
        <f t="shared" si="31"/>
        <v>-49987120</v>
      </c>
    </row>
    <row r="893" spans="1:25" x14ac:dyDescent="0.25">
      <c r="A893" s="32"/>
      <c r="B893" s="32"/>
      <c r="C893" s="32"/>
      <c r="D893" s="32">
        <v>5</v>
      </c>
      <c r="E893" s="32">
        <v>2</v>
      </c>
      <c r="F893" s="32"/>
      <c r="G893" s="32"/>
      <c r="H893" s="66" t="str">
        <f>'BID III'!B893</f>
        <v>Belanja Barang  Dan Jasa</v>
      </c>
      <c r="I893" s="32"/>
      <c r="J893" s="66"/>
      <c r="K893" s="470" t="s">
        <v>3031</v>
      </c>
      <c r="L893" s="1753"/>
      <c r="M893" s="1753"/>
      <c r="N893" s="1753"/>
      <c r="O893" s="1753"/>
      <c r="P893" s="1758"/>
      <c r="Q893" s="1758"/>
      <c r="R893" s="1758"/>
      <c r="S893" s="1758"/>
      <c r="T893" s="1762"/>
      <c r="U893" s="1762"/>
      <c r="V893" s="1762"/>
      <c r="W893" s="1762"/>
      <c r="X893" s="1750">
        <f t="shared" si="30"/>
        <v>0</v>
      </c>
      <c r="Y893" s="175">
        <f t="shared" si="31"/>
        <v>0</v>
      </c>
    </row>
    <row r="894" spans="1:25" ht="30" x14ac:dyDescent="0.25">
      <c r="A894" s="32"/>
      <c r="B894" s="32"/>
      <c r="C894" s="32"/>
      <c r="D894" s="32"/>
      <c r="E894" s="32"/>
      <c r="F894" s="32">
        <v>1</v>
      </c>
      <c r="G894" s="32"/>
      <c r="H894" s="66" t="str">
        <f>'BID III'!B894</f>
        <v>Belanja Barang Perlengkapan</v>
      </c>
      <c r="I894" s="32"/>
      <c r="J894" s="66"/>
      <c r="K894" s="470" t="s">
        <v>3031</v>
      </c>
      <c r="L894" s="1753"/>
      <c r="M894" s="1753"/>
      <c r="N894" s="1753"/>
      <c r="O894" s="1753"/>
      <c r="P894" s="1758"/>
      <c r="Q894" s="1758"/>
      <c r="R894" s="1758"/>
      <c r="S894" s="1758"/>
      <c r="T894" s="1762"/>
      <c r="U894" s="1762"/>
      <c r="V894" s="1762"/>
      <c r="W894" s="1762"/>
      <c r="X894" s="1750">
        <f t="shared" si="30"/>
        <v>0</v>
      </c>
      <c r="Y894" s="175">
        <f t="shared" si="31"/>
        <v>0</v>
      </c>
    </row>
    <row r="895" spans="1:25" ht="30" x14ac:dyDescent="0.25">
      <c r="A895" s="32"/>
      <c r="B895" s="32"/>
      <c r="C895" s="32"/>
      <c r="D895" s="32"/>
      <c r="E895" s="32"/>
      <c r="F895" s="32"/>
      <c r="G895" s="1340" t="s">
        <v>2705</v>
      </c>
      <c r="H895" s="66" t="str">
        <f>'BID III'!B895</f>
        <v>Belanja Perlengkapan Barang Konsumsi</v>
      </c>
      <c r="I895" s="174">
        <f>SUM('BID III'!F896:F897)</f>
        <v>2250000</v>
      </c>
      <c r="J895" s="66" t="s">
        <v>2620</v>
      </c>
      <c r="K895" s="470" t="s">
        <v>3031</v>
      </c>
      <c r="L895" s="1753"/>
      <c r="M895" s="1753"/>
      <c r="N895" s="1753"/>
      <c r="O895" s="1753"/>
      <c r="P895" s="1758"/>
      <c r="Q895" s="1759">
        <v>2250000</v>
      </c>
      <c r="R895" s="1758"/>
      <c r="S895" s="1758"/>
      <c r="T895" s="1762"/>
      <c r="U895" s="1762"/>
      <c r="V895" s="1762"/>
      <c r="W895" s="1762"/>
      <c r="X895" s="1750">
        <f t="shared" si="30"/>
        <v>2250000</v>
      </c>
      <c r="Y895" s="175">
        <f t="shared" si="31"/>
        <v>0</v>
      </c>
    </row>
    <row r="896" spans="1:25" ht="30" x14ac:dyDescent="0.25">
      <c r="A896" s="32"/>
      <c r="B896" s="32"/>
      <c r="C896" s="32"/>
      <c r="D896" s="32"/>
      <c r="E896" s="32"/>
      <c r="F896" s="32"/>
      <c r="G896" s="1340" t="s">
        <v>2707</v>
      </c>
      <c r="H896" s="66" t="str">
        <f>'BID III'!B898</f>
        <v>Belanja Bendera/ Umbul-umbul/ Spanduk</v>
      </c>
      <c r="I896" s="174">
        <f>SUM('BID III'!F899)</f>
        <v>90000</v>
      </c>
      <c r="J896" s="66" t="s">
        <v>2620</v>
      </c>
      <c r="K896" s="470" t="s">
        <v>3031</v>
      </c>
      <c r="L896" s="1753"/>
      <c r="M896" s="1753"/>
      <c r="N896" s="1753"/>
      <c r="O896" s="1753"/>
      <c r="P896" s="1758"/>
      <c r="Q896" s="1759">
        <v>90000</v>
      </c>
      <c r="R896" s="1758"/>
      <c r="S896" s="1758"/>
      <c r="T896" s="1762"/>
      <c r="U896" s="1762"/>
      <c r="V896" s="1762"/>
      <c r="W896" s="1762"/>
      <c r="X896" s="1750">
        <f t="shared" si="30"/>
        <v>90000</v>
      </c>
      <c r="Y896" s="175">
        <f t="shared" si="31"/>
        <v>0</v>
      </c>
    </row>
    <row r="897" spans="1:25" ht="30" x14ac:dyDescent="0.25">
      <c r="A897" s="32"/>
      <c r="B897" s="32"/>
      <c r="C897" s="32"/>
      <c r="D897" s="32"/>
      <c r="E897" s="32"/>
      <c r="F897" s="32"/>
      <c r="G897" s="1340" t="s">
        <v>2709</v>
      </c>
      <c r="H897" s="66" t="str">
        <f>'BID III'!B900</f>
        <v>Belanja Pakaian Dinas Seragam Dan Atribut</v>
      </c>
      <c r="I897" s="174">
        <f>SUM('BID III'!F901)</f>
        <v>11900000</v>
      </c>
      <c r="J897" s="66" t="s">
        <v>2620</v>
      </c>
      <c r="K897" s="470" t="s">
        <v>3031</v>
      </c>
      <c r="L897" s="1753"/>
      <c r="M897" s="1753"/>
      <c r="N897" s="1753"/>
      <c r="O897" s="1753"/>
      <c r="P897" s="1758"/>
      <c r="Q897" s="1759">
        <v>11900000</v>
      </c>
      <c r="R897" s="1758"/>
      <c r="S897" s="1758"/>
      <c r="T897" s="1762"/>
      <c r="U897" s="1762"/>
      <c r="V897" s="1762"/>
      <c r="W897" s="1762"/>
      <c r="X897" s="1750">
        <f t="shared" si="30"/>
        <v>11900000</v>
      </c>
      <c r="Y897" s="175">
        <f t="shared" si="31"/>
        <v>0</v>
      </c>
    </row>
    <row r="898" spans="1:25" ht="30" x14ac:dyDescent="0.25">
      <c r="A898" s="32"/>
      <c r="B898" s="32"/>
      <c r="C898" s="32"/>
      <c r="D898" s="32"/>
      <c r="E898" s="32"/>
      <c r="F898" s="32"/>
      <c r="G898" s="32">
        <v>90</v>
      </c>
      <c r="H898" s="66" t="str">
        <f>'BID III'!B902</f>
        <v>Belanja Upakara, Upacara Dan Aci</v>
      </c>
      <c r="I898" s="174">
        <f>SUM('BID III'!F903:F905)</f>
        <v>325000</v>
      </c>
      <c r="J898" s="66" t="s">
        <v>2620</v>
      </c>
      <c r="K898" s="470" t="s">
        <v>3031</v>
      </c>
      <c r="L898" s="1753"/>
      <c r="M898" s="1753"/>
      <c r="N898" s="1753"/>
      <c r="O898" s="1753"/>
      <c r="P898" s="1758"/>
      <c r="Q898" s="1759">
        <v>325000</v>
      </c>
      <c r="R898" s="1758"/>
      <c r="S898" s="1758"/>
      <c r="T898" s="1762"/>
      <c r="U898" s="1762"/>
      <c r="V898" s="1762"/>
      <c r="W898" s="1762"/>
      <c r="X898" s="1750">
        <f t="shared" si="30"/>
        <v>325000</v>
      </c>
      <c r="Y898" s="175">
        <f t="shared" si="31"/>
        <v>0</v>
      </c>
    </row>
    <row r="899" spans="1:25" ht="60" x14ac:dyDescent="0.25">
      <c r="A899" s="32"/>
      <c r="B899" s="32"/>
      <c r="C899" s="32"/>
      <c r="D899" s="32">
        <v>5</v>
      </c>
      <c r="E899" s="32">
        <v>2</v>
      </c>
      <c r="F899" s="32">
        <v>7</v>
      </c>
      <c r="G899" s="32"/>
      <c r="H899" s="66" t="str">
        <f>'BID III'!B906</f>
        <v>Belanja Bahan Perlengkapan Yang Diserahkan Ke Masyarakat</v>
      </c>
      <c r="I899" s="32"/>
      <c r="J899" s="66"/>
      <c r="K899" s="470" t="s">
        <v>3031</v>
      </c>
      <c r="L899" s="1753"/>
      <c r="M899" s="1753"/>
      <c r="N899" s="1753"/>
      <c r="O899" s="1753"/>
      <c r="P899" s="1758"/>
      <c r="Q899" s="1759"/>
      <c r="R899" s="1758"/>
      <c r="S899" s="1758"/>
      <c r="T899" s="1762"/>
      <c r="U899" s="1762"/>
      <c r="V899" s="1762"/>
      <c r="W899" s="1762"/>
      <c r="X899" s="1750">
        <f t="shared" si="30"/>
        <v>0</v>
      </c>
      <c r="Y899" s="175">
        <f t="shared" si="31"/>
        <v>0</v>
      </c>
    </row>
    <row r="900" spans="1:25" ht="60" x14ac:dyDescent="0.25">
      <c r="A900" s="32"/>
      <c r="B900" s="32"/>
      <c r="C900" s="32"/>
      <c r="D900" s="32"/>
      <c r="E900" s="32"/>
      <c r="F900" s="32"/>
      <c r="G900" s="1340" t="s">
        <v>2688</v>
      </c>
      <c r="H900" s="66" t="str">
        <f>'BID III'!B907</f>
        <v>Belanja Bahan Perlengkapan Yang Diserahkan Ke Masyarakat</v>
      </c>
      <c r="I900" s="174">
        <f>SUM('BID III'!F908)</f>
        <v>12950000</v>
      </c>
      <c r="J900" s="66" t="s">
        <v>2620</v>
      </c>
      <c r="K900" s="470" t="s">
        <v>3031</v>
      </c>
      <c r="L900" s="1753"/>
      <c r="M900" s="1753"/>
      <c r="N900" s="1753"/>
      <c r="O900" s="1753"/>
      <c r="P900" s="1758"/>
      <c r="Q900" s="1759">
        <v>12950000</v>
      </c>
      <c r="R900" s="1758"/>
      <c r="S900" s="1758"/>
      <c r="T900" s="1762"/>
      <c r="U900" s="1762"/>
      <c r="V900" s="1762"/>
      <c r="W900" s="1762"/>
      <c r="X900" s="1750">
        <f t="shared" si="30"/>
        <v>12950000</v>
      </c>
      <c r="Y900" s="175">
        <f t="shared" si="31"/>
        <v>0</v>
      </c>
    </row>
    <row r="901" spans="1:25" x14ac:dyDescent="0.25">
      <c r="A901" s="32"/>
      <c r="B901" s="32"/>
      <c r="C901" s="32"/>
      <c r="D901" s="32"/>
      <c r="E901" s="32"/>
      <c r="F901" s="32"/>
      <c r="G901" s="1340"/>
      <c r="H901" s="66" t="str">
        <f>'BID III'!B909</f>
        <v>Donor Darah</v>
      </c>
      <c r="I901" s="174"/>
      <c r="J901" s="66"/>
      <c r="K901" s="470" t="s">
        <v>3031</v>
      </c>
      <c r="L901" s="1753"/>
      <c r="M901" s="1753"/>
      <c r="N901" s="1753"/>
      <c r="O901" s="1753"/>
      <c r="P901" s="1758"/>
      <c r="Q901" s="1759"/>
      <c r="R901" s="1758"/>
      <c r="S901" s="1758"/>
      <c r="T901" s="1762"/>
      <c r="U901" s="1762"/>
      <c r="V901" s="1762"/>
      <c r="W901" s="1762"/>
      <c r="X901" s="1750">
        <f t="shared" si="30"/>
        <v>0</v>
      </c>
      <c r="Y901" s="175">
        <f t="shared" si="31"/>
        <v>0</v>
      </c>
    </row>
    <row r="902" spans="1:25" ht="30" x14ac:dyDescent="0.25">
      <c r="A902" s="32"/>
      <c r="B902" s="32"/>
      <c r="C902" s="32"/>
      <c r="D902" s="32">
        <v>5</v>
      </c>
      <c r="E902" s="32">
        <v>2</v>
      </c>
      <c r="F902" s="32">
        <v>1</v>
      </c>
      <c r="G902" s="1340" t="s">
        <v>2705</v>
      </c>
      <c r="H902" s="66" t="str">
        <f>'BID III'!B910</f>
        <v>Belanja Perlengkapan Barang Konsumsi</v>
      </c>
      <c r="I902" s="174">
        <f>'BID III'!F911</f>
        <v>1500000</v>
      </c>
      <c r="J902" s="66" t="s">
        <v>2620</v>
      </c>
      <c r="K902" s="470" t="s">
        <v>3031</v>
      </c>
      <c r="L902" s="1753"/>
      <c r="M902" s="1753"/>
      <c r="N902" s="1753"/>
      <c r="O902" s="1753"/>
      <c r="P902" s="1758"/>
      <c r="Q902" s="1759">
        <v>1500000</v>
      </c>
      <c r="R902" s="1758"/>
      <c r="S902" s="1758"/>
      <c r="T902" s="1762"/>
      <c r="U902" s="1762"/>
      <c r="V902" s="1762"/>
      <c r="W902" s="1762"/>
      <c r="X902" s="1750">
        <f t="shared" si="30"/>
        <v>1500000</v>
      </c>
      <c r="Y902" s="175">
        <f t="shared" si="31"/>
        <v>0</v>
      </c>
    </row>
    <row r="903" spans="1:25" ht="30" x14ac:dyDescent="0.25">
      <c r="A903" s="32"/>
      <c r="B903" s="32"/>
      <c r="C903" s="32"/>
      <c r="D903" s="32"/>
      <c r="E903" s="32"/>
      <c r="F903" s="32"/>
      <c r="G903" s="1340" t="s">
        <v>2707</v>
      </c>
      <c r="H903" s="66" t="str">
        <f>'BID III'!B912</f>
        <v>Belanja Bendera/ Umbul-umbul/ Spanduk</v>
      </c>
      <c r="I903" s="174">
        <f>'BID III'!F913</f>
        <v>90000</v>
      </c>
      <c r="J903" s="66" t="s">
        <v>2620</v>
      </c>
      <c r="K903" s="470" t="s">
        <v>3031</v>
      </c>
      <c r="L903" s="1753"/>
      <c r="M903" s="1753"/>
      <c r="N903" s="1753"/>
      <c r="O903" s="1753"/>
      <c r="P903" s="1758"/>
      <c r="Q903" s="1759">
        <v>90000</v>
      </c>
      <c r="R903" s="1758"/>
      <c r="S903" s="1758"/>
      <c r="T903" s="1762"/>
      <c r="U903" s="1762"/>
      <c r="V903" s="1762"/>
      <c r="W903" s="1762"/>
      <c r="X903" s="1750">
        <f t="shared" si="30"/>
        <v>90000</v>
      </c>
      <c r="Y903" s="175">
        <f t="shared" si="31"/>
        <v>0</v>
      </c>
    </row>
    <row r="904" spans="1:25" ht="45" x14ac:dyDescent="0.25">
      <c r="A904" s="32"/>
      <c r="B904" s="32"/>
      <c r="C904" s="32"/>
      <c r="D904" s="32">
        <v>5</v>
      </c>
      <c r="E904" s="32">
        <v>2</v>
      </c>
      <c r="F904" s="32">
        <v>7</v>
      </c>
      <c r="G904" s="1340"/>
      <c r="H904" s="66" t="str">
        <f>'BID III'!B914</f>
        <v>Belanja Barang dan Jasa yang Diserahkan kepada Masyarakat</v>
      </c>
      <c r="I904" s="174"/>
      <c r="J904" s="66"/>
      <c r="K904" s="470" t="s">
        <v>3031</v>
      </c>
      <c r="L904" s="1753"/>
      <c r="M904" s="1753"/>
      <c r="N904" s="1753"/>
      <c r="O904" s="1753"/>
      <c r="P904" s="1758"/>
      <c r="Q904" s="1759"/>
      <c r="R904" s="1758"/>
      <c r="S904" s="1758"/>
      <c r="T904" s="1762"/>
      <c r="U904" s="1762"/>
      <c r="V904" s="1762"/>
      <c r="W904" s="1762"/>
      <c r="X904" s="1750">
        <f t="shared" si="30"/>
        <v>0</v>
      </c>
      <c r="Y904" s="175">
        <f t="shared" si="31"/>
        <v>0</v>
      </c>
    </row>
    <row r="905" spans="1:25" ht="45" x14ac:dyDescent="0.25">
      <c r="A905" s="32"/>
      <c r="B905" s="32"/>
      <c r="C905" s="32"/>
      <c r="D905" s="32"/>
      <c r="E905" s="32"/>
      <c r="F905" s="32"/>
      <c r="G905" s="1340">
        <v>90</v>
      </c>
      <c r="H905" s="66" t="str">
        <f>'BID III'!B915</f>
        <v>Belanja Barang dan Jasa yang Diserahkan kepada Masyarakat Lainnya</v>
      </c>
      <c r="I905" s="174">
        <f>SUM('BID III'!F916)</f>
        <v>3000000</v>
      </c>
      <c r="J905" s="66" t="s">
        <v>2620</v>
      </c>
      <c r="K905" s="470" t="s">
        <v>3031</v>
      </c>
      <c r="L905" s="1753"/>
      <c r="M905" s="1753"/>
      <c r="N905" s="1753"/>
      <c r="O905" s="1753"/>
      <c r="P905" s="1758"/>
      <c r="Q905" s="1759">
        <v>3000000</v>
      </c>
      <c r="R905" s="1758"/>
      <c r="S905" s="1758"/>
      <c r="T905" s="1762"/>
      <c r="U905" s="1762"/>
      <c r="V905" s="1762"/>
      <c r="W905" s="1762"/>
      <c r="X905" s="1750">
        <f t="shared" si="30"/>
        <v>3000000</v>
      </c>
      <c r="Y905" s="175">
        <f t="shared" si="31"/>
        <v>0</v>
      </c>
    </row>
    <row r="906" spans="1:25" x14ac:dyDescent="0.25">
      <c r="A906" s="32"/>
      <c r="B906" s="32"/>
      <c r="C906" s="32"/>
      <c r="D906" s="32"/>
      <c r="E906" s="32"/>
      <c r="F906" s="32"/>
      <c r="G906" s="1340"/>
      <c r="H906" s="66" t="str">
        <f>'BID III'!B917</f>
        <v>Jalan Santai</v>
      </c>
      <c r="I906" s="174"/>
      <c r="J906" s="66"/>
      <c r="K906" s="470" t="s">
        <v>3031</v>
      </c>
      <c r="L906" s="1753"/>
      <c r="M906" s="1753"/>
      <c r="N906" s="1753"/>
      <c r="O906" s="1753"/>
      <c r="P906" s="1758"/>
      <c r="Q906" s="1759"/>
      <c r="R906" s="1758"/>
      <c r="S906" s="1758"/>
      <c r="T906" s="1762"/>
      <c r="U906" s="1762"/>
      <c r="V906" s="1762"/>
      <c r="W906" s="1762"/>
      <c r="X906" s="1750">
        <f t="shared" si="30"/>
        <v>0</v>
      </c>
      <c r="Y906" s="175">
        <f t="shared" si="31"/>
        <v>0</v>
      </c>
    </row>
    <row r="907" spans="1:25" ht="29.25" customHeight="1" x14ac:dyDescent="0.25">
      <c r="A907" s="32"/>
      <c r="B907" s="32"/>
      <c r="C907" s="32"/>
      <c r="D907" s="32">
        <v>5</v>
      </c>
      <c r="E907" s="32">
        <v>2</v>
      </c>
      <c r="F907" s="32">
        <v>1</v>
      </c>
      <c r="G907" s="1340" t="s">
        <v>2705</v>
      </c>
      <c r="H907" s="66" t="str">
        <f>'BID III'!B918</f>
        <v>Belanja Perlengkapan Barang Konsumsi</v>
      </c>
      <c r="I907" s="174">
        <f>'BID III'!F919</f>
        <v>2250000</v>
      </c>
      <c r="J907" s="66" t="s">
        <v>2620</v>
      </c>
      <c r="K907" s="470" t="s">
        <v>3031</v>
      </c>
      <c r="L907" s="1753"/>
      <c r="M907" s="1753"/>
      <c r="N907" s="1753"/>
      <c r="O907" s="1753"/>
      <c r="P907" s="1758"/>
      <c r="Q907" s="1759">
        <v>2250000</v>
      </c>
      <c r="R907" s="1758"/>
      <c r="S907" s="1758"/>
      <c r="T907" s="1762"/>
      <c r="U907" s="1762"/>
      <c r="V907" s="1762"/>
      <c r="W907" s="1762"/>
      <c r="X907" s="1750">
        <f t="shared" si="30"/>
        <v>2250000</v>
      </c>
      <c r="Y907" s="175">
        <f t="shared" si="31"/>
        <v>0</v>
      </c>
    </row>
    <row r="908" spans="1:25" ht="29.25" customHeight="1" x14ac:dyDescent="0.25">
      <c r="A908" s="32"/>
      <c r="B908" s="32"/>
      <c r="C908" s="32"/>
      <c r="D908" s="32"/>
      <c r="E908" s="32"/>
      <c r="F908" s="32"/>
      <c r="G908" s="1340" t="s">
        <v>2707</v>
      </c>
      <c r="H908" s="66" t="str">
        <f>'BID III'!B920</f>
        <v>Belanja Bendera/ Umbul-umbul/ Spanduk</v>
      </c>
      <c r="I908" s="174">
        <f>'BID III'!F921+'BID III'!F922</f>
        <v>650000</v>
      </c>
      <c r="J908" s="66" t="s">
        <v>2620</v>
      </c>
      <c r="K908" s="470" t="s">
        <v>3031</v>
      </c>
      <c r="L908" s="1753"/>
      <c r="M908" s="1753"/>
      <c r="N908" s="1753"/>
      <c r="O908" s="1753"/>
      <c r="P908" s="1758"/>
      <c r="Q908" s="1759">
        <v>650000</v>
      </c>
      <c r="R908" s="1758"/>
      <c r="S908" s="1758"/>
      <c r="T908" s="1762"/>
      <c r="U908" s="1762"/>
      <c r="V908" s="1762"/>
      <c r="W908" s="1762"/>
      <c r="X908" s="1750">
        <f t="shared" si="30"/>
        <v>650000</v>
      </c>
      <c r="Y908" s="175">
        <f t="shared" si="31"/>
        <v>0</v>
      </c>
    </row>
    <row r="909" spans="1:25" ht="30" x14ac:dyDescent="0.25">
      <c r="A909" s="32"/>
      <c r="B909" s="32"/>
      <c r="C909" s="32"/>
      <c r="D909" s="32"/>
      <c r="E909" s="32"/>
      <c r="F909" s="32"/>
      <c r="G909" s="1340">
        <v>90</v>
      </c>
      <c r="H909" s="66" t="str">
        <f>'BID III'!B923</f>
        <v>Belanja Upakara, Upacara Dan Aci</v>
      </c>
      <c r="I909" s="174">
        <f>SUM('BID III'!F924:F926)</f>
        <v>325000</v>
      </c>
      <c r="J909" s="66" t="s">
        <v>2620</v>
      </c>
      <c r="K909" s="470" t="s">
        <v>3031</v>
      </c>
      <c r="L909" s="1753"/>
      <c r="M909" s="1753"/>
      <c r="N909" s="1753"/>
      <c r="O909" s="1753"/>
      <c r="P909" s="1758"/>
      <c r="Q909" s="1759">
        <v>325000</v>
      </c>
      <c r="R909" s="1758"/>
      <c r="S909" s="1758"/>
      <c r="T909" s="1762"/>
      <c r="U909" s="1762"/>
      <c r="V909" s="1762"/>
      <c r="W909" s="1762"/>
      <c r="X909" s="1750">
        <f t="shared" si="30"/>
        <v>325000</v>
      </c>
      <c r="Y909" s="175">
        <f t="shared" si="31"/>
        <v>0</v>
      </c>
    </row>
    <row r="910" spans="1:25" x14ac:dyDescent="0.25">
      <c r="A910" s="32"/>
      <c r="B910" s="32"/>
      <c r="C910" s="32"/>
      <c r="D910" s="32">
        <v>5</v>
      </c>
      <c r="E910" s="32">
        <v>2</v>
      </c>
      <c r="F910" s="32">
        <v>2</v>
      </c>
      <c r="G910" s="1340"/>
      <c r="H910" s="66" t="str">
        <f>'BID III'!B927</f>
        <v>Belanja Honrarium</v>
      </c>
      <c r="I910" s="174"/>
      <c r="J910" s="66"/>
      <c r="K910" s="470" t="s">
        <v>3031</v>
      </c>
      <c r="L910" s="1753"/>
      <c r="M910" s="1753"/>
      <c r="N910" s="1753"/>
      <c r="O910" s="1753"/>
      <c r="P910" s="1758"/>
      <c r="Q910" s="1759"/>
      <c r="R910" s="1758"/>
      <c r="S910" s="1758"/>
      <c r="T910" s="1762"/>
      <c r="U910" s="1762"/>
      <c r="V910" s="1762"/>
      <c r="W910" s="1762"/>
      <c r="X910" s="1750">
        <f t="shared" si="30"/>
        <v>0</v>
      </c>
      <c r="Y910" s="175">
        <f t="shared" si="31"/>
        <v>0</v>
      </c>
    </row>
    <row r="911" spans="1:25" ht="45" x14ac:dyDescent="0.25">
      <c r="A911" s="32"/>
      <c r="B911" s="32"/>
      <c r="C911" s="32"/>
      <c r="D911" s="32"/>
      <c r="E911" s="32"/>
      <c r="F911" s="32"/>
      <c r="G911" s="1340" t="s">
        <v>2688</v>
      </c>
      <c r="H911" s="66" t="str">
        <f>'BID III'!B928</f>
        <v>Belanja Honrarium Tim Yang Melaksanakan Kegiatan</v>
      </c>
      <c r="I911" s="174">
        <f>SUM('BID III'!F929:F931)</f>
        <v>1150000</v>
      </c>
      <c r="J911" s="66" t="s">
        <v>2620</v>
      </c>
      <c r="K911" s="470" t="s">
        <v>3031</v>
      </c>
      <c r="L911" s="1753"/>
      <c r="M911" s="1753"/>
      <c r="N911" s="1753"/>
      <c r="O911" s="1753"/>
      <c r="P911" s="1758"/>
      <c r="Q911" s="1759">
        <v>1150000</v>
      </c>
      <c r="R911" s="1758"/>
      <c r="S911" s="1758"/>
      <c r="T911" s="1762"/>
      <c r="U911" s="1762"/>
      <c r="V911" s="1762"/>
      <c r="W911" s="1762"/>
      <c r="X911" s="1750">
        <f t="shared" si="30"/>
        <v>1150000</v>
      </c>
      <c r="Y911" s="175">
        <f t="shared" si="31"/>
        <v>0</v>
      </c>
    </row>
    <row r="912" spans="1:25" ht="30" x14ac:dyDescent="0.25">
      <c r="A912" s="32"/>
      <c r="B912" s="32"/>
      <c r="C912" s="32"/>
      <c r="D912" s="32"/>
      <c r="E912" s="32"/>
      <c r="F912" s="32"/>
      <c r="G912" s="1340" t="s">
        <v>2706</v>
      </c>
      <c r="H912" s="66" t="str">
        <f>'BID III'!B932</f>
        <v>Belanja Honrarium Petugas</v>
      </c>
      <c r="I912" s="174">
        <f>SUM('BID III'!F933:F934)</f>
        <v>1600000</v>
      </c>
      <c r="J912" s="66" t="s">
        <v>2620</v>
      </c>
      <c r="K912" s="470" t="s">
        <v>3031</v>
      </c>
      <c r="L912" s="1753"/>
      <c r="M912" s="1753"/>
      <c r="N912" s="1753"/>
      <c r="O912" s="1753"/>
      <c r="P912" s="1758"/>
      <c r="Q912" s="1759">
        <v>1600000</v>
      </c>
      <c r="R912" s="1758"/>
      <c r="S912" s="1758"/>
      <c r="T912" s="1762"/>
      <c r="U912" s="1762"/>
      <c r="V912" s="1762"/>
      <c r="W912" s="1762"/>
      <c r="X912" s="1750">
        <f t="shared" si="30"/>
        <v>1600000</v>
      </c>
      <c r="Y912" s="175">
        <f t="shared" si="31"/>
        <v>0</v>
      </c>
    </row>
    <row r="913" spans="1:25" x14ac:dyDescent="0.25">
      <c r="A913" s="32"/>
      <c r="B913" s="32"/>
      <c r="C913" s="32"/>
      <c r="D913" s="32">
        <v>5</v>
      </c>
      <c r="E913" s="32">
        <v>2</v>
      </c>
      <c r="F913" s="32">
        <v>4</v>
      </c>
      <c r="G913" s="1340"/>
      <c r="H913" s="32" t="str">
        <f>'BID III'!B935</f>
        <v>Belanja Jasa Sewa</v>
      </c>
      <c r="I913" s="174"/>
      <c r="J913" s="66"/>
      <c r="K913" s="470" t="s">
        <v>3031</v>
      </c>
      <c r="L913" s="1753"/>
      <c r="M913" s="1753"/>
      <c r="N913" s="1753"/>
      <c r="O913" s="1753"/>
      <c r="P913" s="1758"/>
      <c r="Q913" s="1759"/>
      <c r="R913" s="1758"/>
      <c r="S913" s="1758"/>
      <c r="T913" s="1762"/>
      <c r="U913" s="1762"/>
      <c r="V913" s="1762"/>
      <c r="W913" s="1762"/>
      <c r="X913" s="1750">
        <f t="shared" si="30"/>
        <v>0</v>
      </c>
      <c r="Y913" s="175">
        <f t="shared" si="31"/>
        <v>0</v>
      </c>
    </row>
    <row r="914" spans="1:25" ht="30" x14ac:dyDescent="0.25">
      <c r="A914" s="32"/>
      <c r="B914" s="32"/>
      <c r="C914" s="32"/>
      <c r="D914" s="32"/>
      <c r="E914" s="32"/>
      <c r="F914" s="32"/>
      <c r="G914" s="1340" t="s">
        <v>2688</v>
      </c>
      <c r="H914" s="32" t="str">
        <f>'BID III'!B936</f>
        <v>Sewa Gedung</v>
      </c>
      <c r="I914" s="174">
        <f>'BID III'!F937</f>
        <v>1000000</v>
      </c>
      <c r="J914" s="66" t="s">
        <v>2627</v>
      </c>
      <c r="K914" s="470" t="s">
        <v>3031</v>
      </c>
      <c r="L914" s="1753"/>
      <c r="M914" s="1753"/>
      <c r="N914" s="1753"/>
      <c r="O914" s="1753"/>
      <c r="P914" s="1758"/>
      <c r="Q914" s="1759">
        <v>1000000</v>
      </c>
      <c r="R914" s="1758"/>
      <c r="S914" s="1758"/>
      <c r="T914" s="1762"/>
      <c r="U914" s="1762"/>
      <c r="V914" s="1762"/>
      <c r="W914" s="1762"/>
      <c r="X914" s="1750">
        <f t="shared" si="30"/>
        <v>1000000</v>
      </c>
      <c r="Y914" s="175">
        <f t="shared" si="31"/>
        <v>0</v>
      </c>
    </row>
    <row r="915" spans="1:25" ht="30" x14ac:dyDescent="0.25">
      <c r="A915" s="32"/>
      <c r="B915" s="32"/>
      <c r="C915" s="32"/>
      <c r="D915" s="32"/>
      <c r="E915" s="32"/>
      <c r="F915" s="32"/>
      <c r="G915" s="1340" t="s">
        <v>2702</v>
      </c>
      <c r="H915" s="66" t="str">
        <f>'BID III'!B938</f>
        <v>Belanja Jasa Sewa Perlengkapan</v>
      </c>
      <c r="I915" s="174">
        <f>'BID III'!F939</f>
        <v>1826060</v>
      </c>
      <c r="J915" s="66" t="s">
        <v>2627</v>
      </c>
      <c r="K915" s="470" t="s">
        <v>3031</v>
      </c>
      <c r="L915" s="1753"/>
      <c r="M915" s="1753"/>
      <c r="N915" s="1753"/>
      <c r="O915" s="1753"/>
      <c r="P915" s="1758"/>
      <c r="Q915" s="1759">
        <v>1826060</v>
      </c>
      <c r="R915" s="1758"/>
      <c r="S915" s="1758"/>
      <c r="T915" s="1762"/>
      <c r="U915" s="1762"/>
      <c r="V915" s="1762"/>
      <c r="W915" s="1762"/>
      <c r="X915" s="1750">
        <f t="shared" si="30"/>
        <v>1826060</v>
      </c>
      <c r="Y915" s="175">
        <f t="shared" si="31"/>
        <v>0</v>
      </c>
    </row>
    <row r="916" spans="1:25" ht="45" x14ac:dyDescent="0.25">
      <c r="A916" s="32"/>
      <c r="B916" s="32"/>
      <c r="C916" s="32"/>
      <c r="D916" s="32">
        <v>5</v>
      </c>
      <c r="E916" s="32">
        <v>2</v>
      </c>
      <c r="F916" s="32">
        <v>7</v>
      </c>
      <c r="G916" s="1340"/>
      <c r="H916" s="66" t="str">
        <f>'BID III'!B940</f>
        <v>Belanja Barang dan Jasa yang Diserahkan kepada Masyarakat</v>
      </c>
      <c r="I916" s="174"/>
      <c r="J916" s="66"/>
      <c r="K916" s="470" t="s">
        <v>3031</v>
      </c>
      <c r="L916" s="1753"/>
      <c r="M916" s="1753"/>
      <c r="N916" s="1753"/>
      <c r="O916" s="1753"/>
      <c r="P916" s="1758"/>
      <c r="Q916" s="1759"/>
      <c r="R916" s="1758"/>
      <c r="S916" s="1758"/>
      <c r="T916" s="1762"/>
      <c r="U916" s="1762"/>
      <c r="V916" s="1762"/>
      <c r="W916" s="1762"/>
      <c r="X916" s="1750">
        <f t="shared" si="30"/>
        <v>0</v>
      </c>
      <c r="Y916" s="175">
        <f t="shared" si="31"/>
        <v>0</v>
      </c>
    </row>
    <row r="917" spans="1:25" ht="30" x14ac:dyDescent="0.25">
      <c r="A917" s="32"/>
      <c r="B917" s="32"/>
      <c r="C917" s="32"/>
      <c r="D917" s="32"/>
      <c r="E917" s="32"/>
      <c r="F917" s="32"/>
      <c r="G917" s="1340">
        <v>90</v>
      </c>
      <c r="H917" s="66" t="str">
        <f>'BID III'!B941</f>
        <v>Belanja Jasa Atlit dan Seniman Berprestasi</v>
      </c>
      <c r="I917" s="174">
        <f>SUM('BID III'!F942:F944)</f>
        <v>9081060</v>
      </c>
      <c r="J917" s="66" t="s">
        <v>2627</v>
      </c>
      <c r="K917" s="470" t="s">
        <v>3031</v>
      </c>
      <c r="L917" s="1753"/>
      <c r="M917" s="1753"/>
      <c r="N917" s="1753"/>
      <c r="O917" s="1753"/>
      <c r="P917" s="1758"/>
      <c r="Q917" s="1759">
        <v>9081060</v>
      </c>
      <c r="R917" s="1758"/>
      <c r="S917" s="1758"/>
      <c r="T917" s="1762"/>
      <c r="U917" s="1762"/>
      <c r="V917" s="1762"/>
      <c r="W917" s="1762"/>
      <c r="X917" s="1750">
        <f t="shared" si="30"/>
        <v>9081060</v>
      </c>
      <c r="Y917" s="175">
        <f t="shared" si="31"/>
        <v>0</v>
      </c>
    </row>
    <row r="918" spans="1:25" x14ac:dyDescent="0.25">
      <c r="A918" s="32"/>
      <c r="B918" s="32"/>
      <c r="C918" s="32"/>
      <c r="D918" s="32"/>
      <c r="E918" s="32"/>
      <c r="F918" s="32"/>
      <c r="G918" s="1340"/>
      <c r="H918" s="66"/>
      <c r="I918" s="174"/>
      <c r="J918" s="66"/>
      <c r="K918" s="470" t="s">
        <v>3031</v>
      </c>
      <c r="L918" s="1753"/>
      <c r="M918" s="1753"/>
      <c r="N918" s="1753"/>
      <c r="O918" s="1753"/>
      <c r="P918" s="1758"/>
      <c r="Q918" s="1758"/>
      <c r="R918" s="1758"/>
      <c r="S918" s="1758"/>
      <c r="T918" s="1762"/>
      <c r="U918" s="1762"/>
      <c r="V918" s="1762"/>
      <c r="W918" s="1762"/>
      <c r="X918" s="1750">
        <f t="shared" si="30"/>
        <v>0</v>
      </c>
      <c r="Y918" s="175">
        <f t="shared" si="31"/>
        <v>0</v>
      </c>
    </row>
    <row r="919" spans="1:25" ht="30" x14ac:dyDescent="0.25">
      <c r="A919" s="1344">
        <v>3</v>
      </c>
      <c r="B919" s="1344">
        <v>4</v>
      </c>
      <c r="C919" s="1346" t="s">
        <v>2702</v>
      </c>
      <c r="D919" s="1344"/>
      <c r="E919" s="1344"/>
      <c r="F919" s="1344"/>
      <c r="G919" s="1344"/>
      <c r="H919" s="1345" t="str">
        <f>'BID III'!B959</f>
        <v>: Pembinaan LKMD / LPM / LPMD (Pelatihan LPM)</v>
      </c>
      <c r="I919" s="1347">
        <f>SUM(I920:I926)</f>
        <v>1205000</v>
      </c>
      <c r="J919" s="1345" t="s">
        <v>1682</v>
      </c>
      <c r="K919" s="1347" t="s">
        <v>3031</v>
      </c>
      <c r="L919" s="1344"/>
      <c r="M919" s="1344"/>
      <c r="N919" s="1344"/>
      <c r="O919" s="1344"/>
      <c r="P919" s="1344"/>
      <c r="Q919" s="1344"/>
      <c r="R919" s="1344"/>
      <c r="S919" s="1344"/>
      <c r="T919" s="1344"/>
      <c r="U919" s="1344"/>
      <c r="V919" s="1344"/>
      <c r="W919" s="1344"/>
      <c r="X919" s="1353">
        <f t="shared" si="30"/>
        <v>0</v>
      </c>
      <c r="Y919" s="175">
        <f t="shared" si="31"/>
        <v>-1205000</v>
      </c>
    </row>
    <row r="920" spans="1:25" x14ac:dyDescent="0.25">
      <c r="A920" s="32"/>
      <c r="B920" s="32"/>
      <c r="C920" s="32"/>
      <c r="D920" s="32">
        <v>5</v>
      </c>
      <c r="E920" s="32">
        <v>2</v>
      </c>
      <c r="F920" s="32"/>
      <c r="G920" s="32"/>
      <c r="H920" s="66" t="str">
        <f>'BID III'!B965</f>
        <v>Belanja Barang Dan Jasa</v>
      </c>
      <c r="I920" s="32"/>
      <c r="J920" s="66"/>
      <c r="K920" s="470" t="s">
        <v>3031</v>
      </c>
      <c r="L920" s="1753"/>
      <c r="M920" s="1753"/>
      <c r="N920" s="1753"/>
      <c r="O920" s="1753"/>
      <c r="P920" s="1758"/>
      <c r="Q920" s="1758"/>
      <c r="R920" s="1758"/>
      <c r="S920" s="1758"/>
      <c r="T920" s="1762"/>
      <c r="U920" s="1762"/>
      <c r="V920" s="1762"/>
      <c r="W920" s="1762"/>
      <c r="X920" s="1750">
        <f t="shared" si="30"/>
        <v>0</v>
      </c>
      <c r="Y920" s="175">
        <f t="shared" si="31"/>
        <v>0</v>
      </c>
    </row>
    <row r="921" spans="1:25" ht="30" x14ac:dyDescent="0.25">
      <c r="A921" s="32"/>
      <c r="B921" s="32"/>
      <c r="C921" s="32"/>
      <c r="D921" s="32"/>
      <c r="E921" s="32"/>
      <c r="F921" s="32">
        <v>1</v>
      </c>
      <c r="G921" s="32"/>
      <c r="H921" s="66" t="str">
        <f>'BID III'!B966</f>
        <v>Belanja Barang Perlengkapan</v>
      </c>
      <c r="I921" s="32"/>
      <c r="J921" s="66"/>
      <c r="K921" s="470" t="s">
        <v>3031</v>
      </c>
      <c r="L921" s="1753"/>
      <c r="M921" s="1753"/>
      <c r="N921" s="1753"/>
      <c r="O921" s="1753"/>
      <c r="P921" s="1758"/>
      <c r="Q921" s="1758"/>
      <c r="R921" s="1758"/>
      <c r="S921" s="1758"/>
      <c r="T921" s="1762"/>
      <c r="U921" s="1762"/>
      <c r="V921" s="1762"/>
      <c r="W921" s="1762"/>
      <c r="X921" s="1750">
        <f t="shared" si="30"/>
        <v>0</v>
      </c>
      <c r="Y921" s="175">
        <f t="shared" si="31"/>
        <v>0</v>
      </c>
    </row>
    <row r="922" spans="1:25" ht="30" x14ac:dyDescent="0.25">
      <c r="A922" s="32"/>
      <c r="B922" s="32"/>
      <c r="C922" s="32"/>
      <c r="D922" s="32"/>
      <c r="E922" s="32"/>
      <c r="F922" s="32"/>
      <c r="G922" s="1340" t="s">
        <v>2705</v>
      </c>
      <c r="H922" s="66" t="str">
        <f>'BID III'!B967</f>
        <v>Belanja Perlengkapan Barang Konsumsi</v>
      </c>
      <c r="I922" s="174">
        <f>SUM('BID III'!F968)</f>
        <v>450000</v>
      </c>
      <c r="J922" s="66" t="s">
        <v>1682</v>
      </c>
      <c r="K922" s="470" t="s">
        <v>3031</v>
      </c>
      <c r="L922" s="1753"/>
      <c r="M922" s="1753"/>
      <c r="N922" s="1753"/>
      <c r="O922" s="1754">
        <v>450000</v>
      </c>
      <c r="P922" s="1758"/>
      <c r="Q922" s="1758"/>
      <c r="R922" s="1758"/>
      <c r="S922" s="1758"/>
      <c r="T922" s="1762"/>
      <c r="U922" s="1762"/>
      <c r="V922" s="1762"/>
      <c r="W922" s="1762"/>
      <c r="X922" s="1750">
        <f t="shared" ref="X922:X985" si="32">SUM(L922:W922)</f>
        <v>450000</v>
      </c>
      <c r="Y922" s="175">
        <f t="shared" ref="Y922:Y985" si="33">X922-I922</f>
        <v>0</v>
      </c>
    </row>
    <row r="923" spans="1:25" ht="30" x14ac:dyDescent="0.25">
      <c r="A923" s="32"/>
      <c r="B923" s="32"/>
      <c r="C923" s="32"/>
      <c r="D923" s="32"/>
      <c r="E923" s="32"/>
      <c r="F923" s="32"/>
      <c r="G923" s="1340" t="s">
        <v>2707</v>
      </c>
      <c r="H923" s="66" t="str">
        <f>'BID III'!B969</f>
        <v>Belanja Bendera/ Umbul-umbul/ Spanduk</v>
      </c>
      <c r="I923" s="174">
        <f>'BID III'!F970</f>
        <v>90000</v>
      </c>
      <c r="J923" s="66" t="s">
        <v>1682</v>
      </c>
      <c r="K923" s="470" t="s">
        <v>3031</v>
      </c>
      <c r="L923" s="1753"/>
      <c r="M923" s="1753"/>
      <c r="N923" s="1753"/>
      <c r="O923" s="1754">
        <v>90000</v>
      </c>
      <c r="P923" s="1758"/>
      <c r="Q923" s="1758"/>
      <c r="R923" s="1758"/>
      <c r="S923" s="1758"/>
      <c r="T923" s="1762"/>
      <c r="U923" s="1762"/>
      <c r="V923" s="1762"/>
      <c r="W923" s="1762"/>
      <c r="X923" s="1750">
        <f t="shared" si="32"/>
        <v>90000</v>
      </c>
      <c r="Y923" s="175">
        <f t="shared" si="33"/>
        <v>0</v>
      </c>
    </row>
    <row r="924" spans="1:25" ht="30" x14ac:dyDescent="0.25">
      <c r="A924" s="32"/>
      <c r="B924" s="32"/>
      <c r="C924" s="32"/>
      <c r="D924" s="32"/>
      <c r="E924" s="32"/>
      <c r="F924" s="32"/>
      <c r="G924" s="32">
        <v>90</v>
      </c>
      <c r="H924" s="66" t="str">
        <f>'BID III'!B971</f>
        <v>Belanja Upakara, Upacara Dan Aci</v>
      </c>
      <c r="I924" s="174">
        <f>'BID III'!F972+'BID III'!F973+'BID III'!F974</f>
        <v>65000</v>
      </c>
      <c r="J924" s="66" t="s">
        <v>1682</v>
      </c>
      <c r="K924" s="470" t="s">
        <v>3031</v>
      </c>
      <c r="L924" s="1753"/>
      <c r="M924" s="1753"/>
      <c r="N924" s="1753"/>
      <c r="O924" s="1754">
        <v>65000</v>
      </c>
      <c r="P924" s="1758"/>
      <c r="Q924" s="1758"/>
      <c r="R924" s="1758"/>
      <c r="S924" s="1758"/>
      <c r="T924" s="1762"/>
      <c r="U924" s="1762"/>
      <c r="V924" s="1762"/>
      <c r="W924" s="1762"/>
      <c r="X924" s="1750">
        <f t="shared" si="32"/>
        <v>65000</v>
      </c>
      <c r="Y924" s="175">
        <f t="shared" si="33"/>
        <v>0</v>
      </c>
    </row>
    <row r="925" spans="1:25" x14ac:dyDescent="0.25">
      <c r="A925" s="32"/>
      <c r="B925" s="32"/>
      <c r="C925" s="32"/>
      <c r="D925" s="32">
        <v>5</v>
      </c>
      <c r="E925" s="32">
        <v>2</v>
      </c>
      <c r="F925" s="32">
        <v>2</v>
      </c>
      <c r="G925" s="32"/>
      <c r="H925" s="66" t="str">
        <f>'BID III'!B975</f>
        <v>Belanja Honorarium</v>
      </c>
      <c r="I925" s="32"/>
      <c r="J925" s="66"/>
      <c r="K925" s="470" t="s">
        <v>3031</v>
      </c>
      <c r="L925" s="1753"/>
      <c r="M925" s="1753"/>
      <c r="N925" s="1753"/>
      <c r="O925" s="1754"/>
      <c r="P925" s="1758"/>
      <c r="Q925" s="1758"/>
      <c r="R925" s="1758"/>
      <c r="S925" s="1758"/>
      <c r="T925" s="1762"/>
      <c r="U925" s="1762"/>
      <c r="V925" s="1762"/>
      <c r="W925" s="1762"/>
      <c r="X925" s="1750">
        <f t="shared" si="32"/>
        <v>0</v>
      </c>
      <c r="Y925" s="175">
        <f t="shared" si="33"/>
        <v>0</v>
      </c>
    </row>
    <row r="926" spans="1:25" ht="45" x14ac:dyDescent="0.25">
      <c r="A926" s="32"/>
      <c r="B926" s="32"/>
      <c r="C926" s="32"/>
      <c r="D926" s="32"/>
      <c r="E926" s="32"/>
      <c r="F926" s="32"/>
      <c r="G926" s="1340" t="s">
        <v>2704</v>
      </c>
      <c r="H926" s="66" t="str">
        <f>'BID III'!B976</f>
        <v>Belanja Jasa Honorarium Ahli/Profesi/Konsultan/ Narasumber</v>
      </c>
      <c r="I926" s="174">
        <f>'BID III'!F977</f>
        <v>600000</v>
      </c>
      <c r="J926" s="66" t="s">
        <v>1682</v>
      </c>
      <c r="K926" s="470" t="s">
        <v>3031</v>
      </c>
      <c r="L926" s="1753"/>
      <c r="M926" s="1753"/>
      <c r="N926" s="1753"/>
      <c r="O926" s="1754">
        <v>600000</v>
      </c>
      <c r="P926" s="1758"/>
      <c r="Q926" s="1758"/>
      <c r="R926" s="1758"/>
      <c r="S926" s="1758"/>
      <c r="T926" s="1762"/>
      <c r="U926" s="1762"/>
      <c r="V926" s="1762"/>
      <c r="W926" s="1762"/>
      <c r="X926" s="1750">
        <f t="shared" si="32"/>
        <v>600000</v>
      </c>
      <c r="Y926" s="175">
        <f t="shared" si="33"/>
        <v>0</v>
      </c>
    </row>
    <row r="927" spans="1:25" ht="30" x14ac:dyDescent="0.25">
      <c r="A927" s="1344">
        <v>3</v>
      </c>
      <c r="B927" s="1344">
        <v>4</v>
      </c>
      <c r="C927" s="1346" t="s">
        <v>2703</v>
      </c>
      <c r="D927" s="1344"/>
      <c r="E927" s="1344"/>
      <c r="F927" s="1344"/>
      <c r="G927" s="1344"/>
      <c r="H927" s="1345" t="str">
        <f>'BID III'!B992</f>
        <v>: Pembinaan PKK  ( Pembinaan administrasi )</v>
      </c>
      <c r="I927" s="1347">
        <f>SUM(I928:I935)</f>
        <v>11877000</v>
      </c>
      <c r="J927" s="1345" t="s">
        <v>1682</v>
      </c>
      <c r="K927" s="1347" t="s">
        <v>3031</v>
      </c>
      <c r="L927" s="1344"/>
      <c r="M927" s="1344"/>
      <c r="N927" s="1344"/>
      <c r="O927" s="1344"/>
      <c r="P927" s="1344"/>
      <c r="Q927" s="1344"/>
      <c r="R927" s="1344"/>
      <c r="S927" s="1344"/>
      <c r="T927" s="1344"/>
      <c r="U927" s="1344"/>
      <c r="V927" s="1344"/>
      <c r="W927" s="1344"/>
      <c r="X927" s="1353">
        <f t="shared" si="32"/>
        <v>0</v>
      </c>
      <c r="Y927" s="175">
        <f t="shared" si="33"/>
        <v>-11877000</v>
      </c>
    </row>
    <row r="928" spans="1:25" x14ac:dyDescent="0.25">
      <c r="A928" s="32"/>
      <c r="B928" s="32"/>
      <c r="C928" s="32"/>
      <c r="D928" s="32">
        <v>5</v>
      </c>
      <c r="E928" s="32">
        <v>2</v>
      </c>
      <c r="F928" s="32"/>
      <c r="G928" s="32"/>
      <c r="H928" s="66" t="str">
        <f>'BID III'!B997</f>
        <v>Belanja Barang Jasa</v>
      </c>
      <c r="I928" s="32"/>
      <c r="J928" s="66"/>
      <c r="K928" s="470" t="s">
        <v>3031</v>
      </c>
      <c r="L928" s="1753"/>
      <c r="M928" s="1753"/>
      <c r="N928" s="1753"/>
      <c r="O928" s="1753"/>
      <c r="P928" s="1758"/>
      <c r="Q928" s="1758"/>
      <c r="R928" s="1758"/>
      <c r="S928" s="1758"/>
      <c r="T928" s="1762"/>
      <c r="U928" s="1762"/>
      <c r="V928" s="1762"/>
      <c r="W928" s="1762"/>
      <c r="X928" s="1750">
        <f t="shared" si="32"/>
        <v>0</v>
      </c>
      <c r="Y928" s="175">
        <f t="shared" si="33"/>
        <v>0</v>
      </c>
    </row>
    <row r="929" spans="1:25" ht="30" x14ac:dyDescent="0.25">
      <c r="A929" s="32"/>
      <c r="B929" s="32"/>
      <c r="C929" s="32"/>
      <c r="D929" s="32"/>
      <c r="E929" s="32"/>
      <c r="F929" s="32">
        <v>1</v>
      </c>
      <c r="G929" s="32"/>
      <c r="H929" s="66" t="str">
        <f>'BID III'!B998</f>
        <v>Belanja Barang Perlengkapan</v>
      </c>
      <c r="I929" s="32"/>
      <c r="J929" s="66"/>
      <c r="K929" s="470" t="s">
        <v>3031</v>
      </c>
      <c r="L929" s="1753"/>
      <c r="M929" s="1753"/>
      <c r="N929" s="1753"/>
      <c r="O929" s="1753"/>
      <c r="P929" s="1758"/>
      <c r="Q929" s="1758"/>
      <c r="R929" s="1758"/>
      <c r="S929" s="1758"/>
      <c r="T929" s="1762"/>
      <c r="U929" s="1762"/>
      <c r="V929" s="1762"/>
      <c r="W929" s="1762"/>
      <c r="X929" s="1750">
        <f t="shared" si="32"/>
        <v>0</v>
      </c>
      <c r="Y929" s="175">
        <f t="shared" si="33"/>
        <v>0</v>
      </c>
    </row>
    <row r="930" spans="1:25" ht="30" x14ac:dyDescent="0.25">
      <c r="A930" s="32"/>
      <c r="B930" s="32"/>
      <c r="C930" s="32"/>
      <c r="D930" s="32"/>
      <c r="E930" s="32"/>
      <c r="F930" s="32"/>
      <c r="G930" s="1340" t="s">
        <v>2688</v>
      </c>
      <c r="H930" s="66" t="str">
        <f>'BID III'!B999</f>
        <v>Belanja Alat Tulis Kantor dan Benda Pos</v>
      </c>
      <c r="I930" s="1354">
        <f>SUM('BID III'!F1000:F1003)</f>
        <v>87000</v>
      </c>
      <c r="J930" s="66" t="s">
        <v>1682</v>
      </c>
      <c r="K930" s="470" t="s">
        <v>3031</v>
      </c>
      <c r="L930" s="1753"/>
      <c r="M930" s="1753"/>
      <c r="N930" s="1753"/>
      <c r="O930" s="1754">
        <v>87000</v>
      </c>
      <c r="P930" s="1758"/>
      <c r="Q930" s="1758"/>
      <c r="R930" s="1758"/>
      <c r="S930" s="1758"/>
      <c r="T930" s="1762"/>
      <c r="U930" s="1762"/>
      <c r="V930" s="1762"/>
      <c r="W930" s="1762"/>
      <c r="X930" s="1750">
        <f t="shared" si="32"/>
        <v>87000</v>
      </c>
      <c r="Y930" s="175">
        <f t="shared" si="33"/>
        <v>0</v>
      </c>
    </row>
    <row r="931" spans="1:25" ht="30" x14ac:dyDescent="0.25">
      <c r="A931" s="32"/>
      <c r="B931" s="32"/>
      <c r="C931" s="32"/>
      <c r="D931" s="32"/>
      <c r="E931" s="32"/>
      <c r="F931" s="32"/>
      <c r="G931" s="1340" t="s">
        <v>2705</v>
      </c>
      <c r="H931" s="66" t="str">
        <f>'BID III'!B1004</f>
        <v>Belanja Perlengkapan Barang Konsumsi</v>
      </c>
      <c r="I931" s="1354">
        <f>'BID III'!F1005</f>
        <v>600000</v>
      </c>
      <c r="J931" s="66" t="s">
        <v>1682</v>
      </c>
      <c r="K931" s="470" t="s">
        <v>3031</v>
      </c>
      <c r="L931" s="1753"/>
      <c r="M931" s="1753"/>
      <c r="N931" s="1753"/>
      <c r="O931" s="1754">
        <v>600000</v>
      </c>
      <c r="P931" s="1758"/>
      <c r="Q931" s="1758"/>
      <c r="R931" s="1758"/>
      <c r="S931" s="1758"/>
      <c r="T931" s="1762"/>
      <c r="U931" s="1762"/>
      <c r="V931" s="1762"/>
      <c r="W931" s="1762"/>
      <c r="X931" s="1750">
        <f t="shared" si="32"/>
        <v>600000</v>
      </c>
      <c r="Y931" s="175">
        <f t="shared" si="33"/>
        <v>0</v>
      </c>
    </row>
    <row r="932" spans="1:25" ht="30" x14ac:dyDescent="0.25">
      <c r="A932" s="32"/>
      <c r="B932" s="32"/>
      <c r="C932" s="32"/>
      <c r="D932" s="32"/>
      <c r="E932" s="32"/>
      <c r="F932" s="32"/>
      <c r="G932" s="1340" t="s">
        <v>2707</v>
      </c>
      <c r="H932" s="66" t="str">
        <f>'BID III'!B1006</f>
        <v>Belanja Bendera/ Umbul-umbul/ Spanduk</v>
      </c>
      <c r="I932" s="1354">
        <f>'BID III'!F1007</f>
        <v>90000</v>
      </c>
      <c r="J932" s="66" t="s">
        <v>1682</v>
      </c>
      <c r="K932" s="470" t="s">
        <v>3031</v>
      </c>
      <c r="L932" s="1753"/>
      <c r="M932" s="1753"/>
      <c r="N932" s="1753"/>
      <c r="O932" s="1754">
        <v>90000</v>
      </c>
      <c r="P932" s="1758"/>
      <c r="Q932" s="1758"/>
      <c r="R932" s="1758"/>
      <c r="S932" s="1758"/>
      <c r="T932" s="1762"/>
      <c r="U932" s="1762"/>
      <c r="V932" s="1762"/>
      <c r="W932" s="1762"/>
      <c r="X932" s="1750">
        <f t="shared" si="32"/>
        <v>90000</v>
      </c>
      <c r="Y932" s="175">
        <f t="shared" si="33"/>
        <v>0</v>
      </c>
    </row>
    <row r="933" spans="1:25" ht="30" x14ac:dyDescent="0.25">
      <c r="A933" s="32"/>
      <c r="B933" s="32"/>
      <c r="C933" s="32"/>
      <c r="D933" s="32"/>
      <c r="E933" s="32"/>
      <c r="F933" s="32"/>
      <c r="G933" s="1340" t="s">
        <v>2709</v>
      </c>
      <c r="H933" s="66" t="str">
        <f>'BID III'!B1008</f>
        <v>Belanja Pakaian Dinas / Seragam/ Atribut</v>
      </c>
      <c r="I933" s="1354">
        <f>'BID III'!F1009</f>
        <v>10500000</v>
      </c>
      <c r="J933" s="66" t="s">
        <v>1682</v>
      </c>
      <c r="K933" s="470" t="s">
        <v>3031</v>
      </c>
      <c r="L933" s="1753"/>
      <c r="M933" s="1753"/>
      <c r="N933" s="1753"/>
      <c r="O933" s="1754">
        <v>10500000</v>
      </c>
      <c r="P933" s="1758"/>
      <c r="Q933" s="1758"/>
      <c r="R933" s="1758"/>
      <c r="S933" s="1758"/>
      <c r="T933" s="1762"/>
      <c r="U933" s="1762"/>
      <c r="V933" s="1762"/>
      <c r="W933" s="1762"/>
      <c r="X933" s="1750">
        <f t="shared" si="32"/>
        <v>10500000</v>
      </c>
      <c r="Y933" s="175">
        <f t="shared" si="33"/>
        <v>0</v>
      </c>
    </row>
    <row r="934" spans="1:25" x14ac:dyDescent="0.25">
      <c r="A934" s="32"/>
      <c r="B934" s="32"/>
      <c r="C934" s="32"/>
      <c r="D934" s="32">
        <v>5</v>
      </c>
      <c r="E934" s="32">
        <v>2</v>
      </c>
      <c r="F934" s="32">
        <v>2</v>
      </c>
      <c r="G934" s="32"/>
      <c r="H934" s="66" t="str">
        <f>'BID III'!B1010</f>
        <v>Belanja  Jasa Honorarium</v>
      </c>
      <c r="I934" s="32"/>
      <c r="J934" s="66"/>
      <c r="K934" s="470" t="s">
        <v>3031</v>
      </c>
      <c r="L934" s="1753"/>
      <c r="M934" s="1753"/>
      <c r="N934" s="1753"/>
      <c r="O934" s="1754"/>
      <c r="P934" s="1758"/>
      <c r="Q934" s="1758"/>
      <c r="R934" s="1758"/>
      <c r="S934" s="1758"/>
      <c r="T934" s="1762"/>
      <c r="U934" s="1762"/>
      <c r="V934" s="1762"/>
      <c r="W934" s="1762"/>
      <c r="X934" s="1750">
        <f t="shared" si="32"/>
        <v>0</v>
      </c>
      <c r="Y934" s="175">
        <f t="shared" si="33"/>
        <v>0</v>
      </c>
    </row>
    <row r="935" spans="1:25" ht="60" x14ac:dyDescent="0.25">
      <c r="A935" s="32"/>
      <c r="B935" s="32"/>
      <c r="C935" s="32"/>
      <c r="D935" s="32"/>
      <c r="E935" s="32"/>
      <c r="F935" s="32"/>
      <c r="G935" s="1340" t="s">
        <v>2704</v>
      </c>
      <c r="H935" s="66" t="str">
        <f>'BID III'!B1011</f>
        <v>Belanja Jasa Honorarium Ahli/ Profesi/Konsultan/Narasumber</v>
      </c>
      <c r="I935" s="1354">
        <f>'BID III'!F1012</f>
        <v>600000</v>
      </c>
      <c r="J935" s="66" t="s">
        <v>1682</v>
      </c>
      <c r="K935" s="470" t="s">
        <v>3031</v>
      </c>
      <c r="L935" s="1753"/>
      <c r="M935" s="1753"/>
      <c r="N935" s="1753"/>
      <c r="O935" s="1754">
        <v>600000</v>
      </c>
      <c r="P935" s="1758"/>
      <c r="Q935" s="1758"/>
      <c r="R935" s="1758"/>
      <c r="S935" s="1758"/>
      <c r="T935" s="1762"/>
      <c r="U935" s="1762"/>
      <c r="V935" s="1762"/>
      <c r="W935" s="1762"/>
      <c r="X935" s="1750">
        <f t="shared" si="32"/>
        <v>600000</v>
      </c>
      <c r="Y935" s="175">
        <f t="shared" si="33"/>
        <v>0</v>
      </c>
    </row>
    <row r="936" spans="1:25" ht="45" x14ac:dyDescent="0.25">
      <c r="A936" s="1344">
        <v>3</v>
      </c>
      <c r="B936" s="1344">
        <v>4</v>
      </c>
      <c r="C936" s="1346" t="s">
        <v>2704</v>
      </c>
      <c r="D936" s="1344"/>
      <c r="E936" s="1344"/>
      <c r="F936" s="1344"/>
      <c r="G936" s="1344"/>
      <c r="H936" s="1345" t="str">
        <f>'BID III'!B1027</f>
        <v>:Pelatihan Pembinaan Lembaga Kemasyarakatan (Input data  Dasawisma)</v>
      </c>
      <c r="I936" s="1347">
        <f>SUM(I937:I943)</f>
        <v>15190000</v>
      </c>
      <c r="J936" s="1345" t="s">
        <v>1682</v>
      </c>
      <c r="K936" s="1347" t="s">
        <v>3031</v>
      </c>
      <c r="L936" s="1344"/>
      <c r="M936" s="1344"/>
      <c r="N936" s="1344"/>
      <c r="O936" s="1344"/>
      <c r="P936" s="1344"/>
      <c r="Q936" s="1344"/>
      <c r="R936" s="1344"/>
      <c r="S936" s="1344"/>
      <c r="T936" s="1344"/>
      <c r="U936" s="1344"/>
      <c r="V936" s="1344"/>
      <c r="W936" s="1344"/>
      <c r="X936" s="1353">
        <f t="shared" si="32"/>
        <v>0</v>
      </c>
      <c r="Y936" s="175">
        <f t="shared" si="33"/>
        <v>-15190000</v>
      </c>
    </row>
    <row r="937" spans="1:25" x14ac:dyDescent="0.25">
      <c r="A937" s="32"/>
      <c r="B937" s="32"/>
      <c r="C937" s="32"/>
      <c r="D937" s="32">
        <v>5</v>
      </c>
      <c r="E937" s="32">
        <v>2</v>
      </c>
      <c r="F937" s="32"/>
      <c r="G937" s="32"/>
      <c r="H937" s="66" t="str">
        <f>'BID III'!B1032</f>
        <v>Belanja Barang Jasa</v>
      </c>
      <c r="I937" s="470"/>
      <c r="J937" s="66"/>
      <c r="K937" s="470" t="s">
        <v>3031</v>
      </c>
      <c r="L937" s="1753"/>
      <c r="M937" s="1753"/>
      <c r="N937" s="1753"/>
      <c r="O937" s="1753"/>
      <c r="P937" s="1758"/>
      <c r="Q937" s="1758"/>
      <c r="R937" s="1758"/>
      <c r="S937" s="1758"/>
      <c r="T937" s="1762"/>
      <c r="U937" s="1762"/>
      <c r="V937" s="1762"/>
      <c r="W937" s="1762"/>
      <c r="X937" s="1750">
        <f t="shared" si="32"/>
        <v>0</v>
      </c>
      <c r="Y937" s="175">
        <f t="shared" si="33"/>
        <v>0</v>
      </c>
    </row>
    <row r="938" spans="1:25" ht="30" x14ac:dyDescent="0.25">
      <c r="A938" s="32"/>
      <c r="B938" s="32"/>
      <c r="C938" s="32"/>
      <c r="D938" s="32"/>
      <c r="E938" s="32"/>
      <c r="F938" s="32">
        <v>1</v>
      </c>
      <c r="G938" s="32"/>
      <c r="H938" s="66" t="str">
        <f>'BID III'!B1033</f>
        <v>Belanja Barang Perlengkapan</v>
      </c>
      <c r="I938" s="470"/>
      <c r="J938" s="66"/>
      <c r="K938" s="470" t="s">
        <v>3031</v>
      </c>
      <c r="L938" s="1753"/>
      <c r="M938" s="1753"/>
      <c r="N938" s="1753"/>
      <c r="O938" s="1753"/>
      <c r="P938" s="1758"/>
      <c r="Q938" s="1758"/>
      <c r="R938" s="1758"/>
      <c r="S938" s="1758"/>
      <c r="T938" s="1762"/>
      <c r="U938" s="1762"/>
      <c r="V938" s="1762"/>
      <c r="W938" s="1762"/>
      <c r="X938" s="1750">
        <f t="shared" si="32"/>
        <v>0</v>
      </c>
      <c r="Y938" s="175">
        <f t="shared" si="33"/>
        <v>0</v>
      </c>
    </row>
    <row r="939" spans="1:25" ht="45" x14ac:dyDescent="0.25">
      <c r="A939" s="32"/>
      <c r="B939" s="32"/>
      <c r="C939" s="32"/>
      <c r="D939" s="32"/>
      <c r="E939" s="32"/>
      <c r="F939" s="32"/>
      <c r="G939" s="1340" t="s">
        <v>2688</v>
      </c>
      <c r="H939" s="66" t="str">
        <f>'BID III'!B1034</f>
        <v>Belanja Perlengkapan Alat Tulis Kantor dan Benda Pos</v>
      </c>
      <c r="I939" s="470">
        <f>SUM('BID III'!F1035:F1035)</f>
        <v>5000000</v>
      </c>
      <c r="J939" s="66" t="s">
        <v>1682</v>
      </c>
      <c r="K939" s="470" t="s">
        <v>3031</v>
      </c>
      <c r="L939" s="1753"/>
      <c r="M939" s="1753"/>
      <c r="N939" s="1753"/>
      <c r="O939" s="1753"/>
      <c r="P939" s="1758"/>
      <c r="Q939" s="1758"/>
      <c r="R939" s="1758"/>
      <c r="S939" s="1758"/>
      <c r="T939" s="1763">
        <v>5000000</v>
      </c>
      <c r="U939" s="1762"/>
      <c r="V939" s="1762"/>
      <c r="W939" s="1762"/>
      <c r="X939" s="1750">
        <f t="shared" si="32"/>
        <v>5000000</v>
      </c>
      <c r="Y939" s="175">
        <f t="shared" si="33"/>
        <v>0</v>
      </c>
    </row>
    <row r="940" spans="1:25" ht="30" x14ac:dyDescent="0.25">
      <c r="A940" s="32"/>
      <c r="B940" s="32"/>
      <c r="C940" s="32"/>
      <c r="D940" s="32"/>
      <c r="E940" s="32"/>
      <c r="F940" s="32"/>
      <c r="G940" s="1340" t="s">
        <v>2705</v>
      </c>
      <c r="H940" s="66" t="str">
        <f>'BID III'!B1036</f>
        <v>Belanja Perlengkapan Barang Konsumsi</v>
      </c>
      <c r="I940" s="470">
        <f>'BID III'!F1037</f>
        <v>300000</v>
      </c>
      <c r="J940" s="66" t="s">
        <v>1682</v>
      </c>
      <c r="K940" s="470" t="s">
        <v>3031</v>
      </c>
      <c r="L940" s="1753"/>
      <c r="M940" s="1753"/>
      <c r="N940" s="1753"/>
      <c r="O940" s="1753"/>
      <c r="P940" s="1758"/>
      <c r="Q940" s="1758"/>
      <c r="R940" s="1758"/>
      <c r="S940" s="1758"/>
      <c r="T940" s="1763">
        <v>300000</v>
      </c>
      <c r="U940" s="1762"/>
      <c r="V940" s="1762"/>
      <c r="W940" s="1762"/>
      <c r="X940" s="1750">
        <f t="shared" si="32"/>
        <v>300000</v>
      </c>
      <c r="Y940" s="175">
        <f t="shared" si="33"/>
        <v>0</v>
      </c>
    </row>
    <row r="941" spans="1:25" ht="30" x14ac:dyDescent="0.25">
      <c r="A941" s="32"/>
      <c r="B941" s="32"/>
      <c r="C941" s="32"/>
      <c r="D941" s="32"/>
      <c r="E941" s="32"/>
      <c r="F941" s="32"/>
      <c r="G941" s="32">
        <v>90</v>
      </c>
      <c r="H941" s="66" t="str">
        <f>'BID III'!B1039</f>
        <v>Belanja Upakara, Upacara Dan Aci</v>
      </c>
      <c r="I941" s="470">
        <f>'BID III'!F1040</f>
        <v>50000</v>
      </c>
      <c r="J941" s="66" t="s">
        <v>1682</v>
      </c>
      <c r="K941" s="470" t="s">
        <v>3031</v>
      </c>
      <c r="L941" s="1753"/>
      <c r="M941" s="1753"/>
      <c r="N941" s="1753"/>
      <c r="O941" s="1753"/>
      <c r="P941" s="1758"/>
      <c r="Q941" s="1758"/>
      <c r="R941" s="1758"/>
      <c r="S941" s="1758"/>
      <c r="T941" s="1763">
        <v>50000</v>
      </c>
      <c r="U941" s="1762"/>
      <c r="V941" s="1762"/>
      <c r="W941" s="1762"/>
      <c r="X941" s="1750">
        <f t="shared" si="32"/>
        <v>50000</v>
      </c>
      <c r="Y941" s="175">
        <f t="shared" si="33"/>
        <v>0</v>
      </c>
    </row>
    <row r="942" spans="1:25" ht="45" x14ac:dyDescent="0.25">
      <c r="A942" s="32"/>
      <c r="B942" s="32"/>
      <c r="C942" s="32"/>
      <c r="D942" s="32"/>
      <c r="E942" s="32"/>
      <c r="F942" s="32"/>
      <c r="G942" s="1340" t="s">
        <v>2704</v>
      </c>
      <c r="H942" s="66" t="str">
        <f>'BID III'!B1043</f>
        <v>Belanja Jasa Honorarium Ahli/Profesi/Konsultan/Narasumber</v>
      </c>
      <c r="I942" s="470">
        <f>SUM('BID III'!F1043:F1044)</f>
        <v>300000</v>
      </c>
      <c r="J942" s="66" t="s">
        <v>1682</v>
      </c>
      <c r="K942" s="470" t="s">
        <v>3031</v>
      </c>
      <c r="L942" s="1753"/>
      <c r="M942" s="1753"/>
      <c r="N942" s="1753"/>
      <c r="O942" s="1753"/>
      <c r="P942" s="1758"/>
      <c r="Q942" s="1758"/>
      <c r="R942" s="1758"/>
      <c r="S942" s="1758"/>
      <c r="T942" s="1763">
        <v>300000</v>
      </c>
      <c r="U942" s="1762"/>
      <c r="V942" s="1762"/>
      <c r="W942" s="1762"/>
      <c r="X942" s="1750">
        <f t="shared" si="32"/>
        <v>300000</v>
      </c>
      <c r="Y942" s="175">
        <f t="shared" si="33"/>
        <v>0</v>
      </c>
    </row>
    <row r="943" spans="1:25" ht="30" x14ac:dyDescent="0.25">
      <c r="A943" s="32"/>
      <c r="B943" s="32"/>
      <c r="C943" s="32"/>
      <c r="D943" s="32"/>
      <c r="E943" s="32"/>
      <c r="F943" s="32"/>
      <c r="G943" s="1340" t="s">
        <v>2706</v>
      </c>
      <c r="H943" s="66" t="str">
        <f>'BID III'!B1046</f>
        <v>Belanja Jasa Honorarium Petugas</v>
      </c>
      <c r="I943" s="470">
        <f>SUM('BID III'!F1047:F1047)</f>
        <v>9540000</v>
      </c>
      <c r="J943" s="66" t="s">
        <v>1682</v>
      </c>
      <c r="K943" s="470" t="s">
        <v>3031</v>
      </c>
      <c r="L943" s="1753"/>
      <c r="M943" s="1753"/>
      <c r="N943" s="1753"/>
      <c r="O943" s="1753"/>
      <c r="P943" s="1758"/>
      <c r="Q943" s="1758"/>
      <c r="R943" s="1758"/>
      <c r="S943" s="1758"/>
      <c r="T943" s="1763">
        <v>9540000</v>
      </c>
      <c r="U943" s="1762"/>
      <c r="V943" s="1762"/>
      <c r="W943" s="1762"/>
      <c r="X943" s="1750">
        <f t="shared" si="32"/>
        <v>9540000</v>
      </c>
      <c r="Y943" s="175">
        <f t="shared" si="33"/>
        <v>0</v>
      </c>
    </row>
    <row r="944" spans="1:25" ht="37.5" customHeight="1" x14ac:dyDescent="0.25">
      <c r="A944" s="1342">
        <v>4</v>
      </c>
      <c r="B944" s="1342"/>
      <c r="C944" s="1342"/>
      <c r="D944" s="1342"/>
      <c r="E944" s="1342"/>
      <c r="F944" s="1342"/>
      <c r="G944" s="1342"/>
      <c r="H944" s="1343" t="str">
        <f>'BID IV'!B7</f>
        <v>: Pemberdayaan Masyarakat Desa</v>
      </c>
      <c r="I944" s="1351">
        <f>I945+I956+I967+I975+I992+I983+I1002+I1010+I1019+I1027</f>
        <v>200240296</v>
      </c>
      <c r="J944" s="1343"/>
      <c r="K944" s="32"/>
      <c r="L944" s="1755"/>
      <c r="M944" s="1753"/>
      <c r="N944" s="1753"/>
      <c r="O944" s="1753"/>
      <c r="P944" s="1758"/>
      <c r="Q944" s="1758"/>
      <c r="R944" s="1758"/>
      <c r="S944" s="1758"/>
      <c r="T944" s="1762"/>
      <c r="U944" s="1762"/>
      <c r="V944" s="1762"/>
      <c r="W944" s="1762"/>
      <c r="X944" s="1750">
        <f t="shared" si="32"/>
        <v>0</v>
      </c>
      <c r="Y944" s="175">
        <f t="shared" si="33"/>
        <v>-200240296</v>
      </c>
    </row>
    <row r="945" spans="1:25" ht="30" x14ac:dyDescent="0.25">
      <c r="A945" s="1344">
        <v>4</v>
      </c>
      <c r="B945" s="1344">
        <v>2</v>
      </c>
      <c r="C945" s="1346" t="s">
        <v>2688</v>
      </c>
      <c r="D945" s="1344"/>
      <c r="E945" s="1344"/>
      <c r="F945" s="1344"/>
      <c r="G945" s="1344"/>
      <c r="H945" s="1345" t="str">
        <f>'BID IV'!B9</f>
        <v>: (Ketahanan Pangan) Pelatihan Budidaya Jamur</v>
      </c>
      <c r="I945" s="1347">
        <f>SUM(I946:I955)</f>
        <v>12945000</v>
      </c>
      <c r="J945" s="1345" t="s">
        <v>2387</v>
      </c>
      <c r="K945" s="1796" t="s">
        <v>3030</v>
      </c>
      <c r="L945" s="1344"/>
      <c r="M945" s="1344"/>
      <c r="N945" s="1344"/>
      <c r="O945" s="1344"/>
      <c r="P945" s="1344"/>
      <c r="Q945" s="1344"/>
      <c r="R945" s="1344"/>
      <c r="S945" s="1344"/>
      <c r="T945" s="1344"/>
      <c r="U945" s="1344"/>
      <c r="V945" s="1344"/>
      <c r="W945" s="1344"/>
      <c r="X945" s="1353">
        <f t="shared" si="32"/>
        <v>0</v>
      </c>
      <c r="Y945" s="175">
        <f t="shared" si="33"/>
        <v>-12945000</v>
      </c>
    </row>
    <row r="946" spans="1:25" ht="30" x14ac:dyDescent="0.25">
      <c r="A946" s="32"/>
      <c r="B946" s="32"/>
      <c r="C946" s="32"/>
      <c r="D946" s="32">
        <v>5</v>
      </c>
      <c r="E946" s="32">
        <v>2</v>
      </c>
      <c r="F946" s="32"/>
      <c r="G946" s="32"/>
      <c r="H946" s="66" t="str">
        <f>'BID IV'!B14</f>
        <v>Belanja Barang Dan Jasa</v>
      </c>
      <c r="I946" s="32"/>
      <c r="J946" s="66"/>
      <c r="K946" s="851" t="s">
        <v>3030</v>
      </c>
      <c r="L946" s="1753"/>
      <c r="M946" s="1753"/>
      <c r="N946" s="1753"/>
      <c r="O946" s="1753"/>
      <c r="P946" s="1758"/>
      <c r="Q946" s="1758"/>
      <c r="R946" s="1758"/>
      <c r="S946" s="1758"/>
      <c r="T946" s="1762"/>
      <c r="U946" s="1762"/>
      <c r="V946" s="1762"/>
      <c r="W946" s="1762"/>
      <c r="X946" s="1750">
        <f t="shared" si="32"/>
        <v>0</v>
      </c>
      <c r="Y946" s="175">
        <f t="shared" si="33"/>
        <v>0</v>
      </c>
    </row>
    <row r="947" spans="1:25" ht="30" x14ac:dyDescent="0.25">
      <c r="A947" s="32"/>
      <c r="B947" s="32"/>
      <c r="C947" s="32"/>
      <c r="D947" s="32"/>
      <c r="E947" s="32"/>
      <c r="F947" s="32">
        <v>1</v>
      </c>
      <c r="G947" s="32"/>
      <c r="H947" s="66" t="str">
        <f>'BID IV'!B15</f>
        <v>Belanja Barang Perlengkapan</v>
      </c>
      <c r="I947" s="32"/>
      <c r="J947" s="66"/>
      <c r="K947" s="851" t="s">
        <v>3030</v>
      </c>
      <c r="L947" s="1753"/>
      <c r="M947" s="1753"/>
      <c r="N947" s="1753"/>
      <c r="O947" s="1753"/>
      <c r="P947" s="1758"/>
      <c r="Q947" s="1758"/>
      <c r="R947" s="1758"/>
      <c r="S947" s="1758"/>
      <c r="T947" s="1762"/>
      <c r="U947" s="1762"/>
      <c r="V947" s="1762"/>
      <c r="W947" s="1762"/>
      <c r="X947" s="1750">
        <f t="shared" si="32"/>
        <v>0</v>
      </c>
      <c r="Y947" s="175">
        <f t="shared" si="33"/>
        <v>0</v>
      </c>
    </row>
    <row r="948" spans="1:25" ht="30" x14ac:dyDescent="0.25">
      <c r="A948" s="32"/>
      <c r="B948" s="32"/>
      <c r="C948" s="32"/>
      <c r="D948" s="32"/>
      <c r="E948" s="32"/>
      <c r="F948" s="32"/>
      <c r="G948" s="1340" t="s">
        <v>2705</v>
      </c>
      <c r="H948" s="66" t="str">
        <f>'BID IV'!B16</f>
        <v>Belanja Perlengkapan Barang Konsumsi</v>
      </c>
      <c r="I948" s="174">
        <f>SUM('BID IV'!F17)</f>
        <v>900000</v>
      </c>
      <c r="J948" s="66" t="s">
        <v>2387</v>
      </c>
      <c r="K948" s="851" t="s">
        <v>3030</v>
      </c>
      <c r="L948" s="1753"/>
      <c r="M948" s="1753"/>
      <c r="N948" s="1753"/>
      <c r="O948" s="1753"/>
      <c r="P948" s="1758"/>
      <c r="Q948" s="1758"/>
      <c r="R948" s="1759">
        <v>900000</v>
      </c>
      <c r="S948" s="1758"/>
      <c r="T948" s="1762"/>
      <c r="U948" s="1762"/>
      <c r="V948" s="1762"/>
      <c r="W948" s="1762"/>
      <c r="X948" s="1750">
        <f t="shared" si="32"/>
        <v>900000</v>
      </c>
      <c r="Y948" s="175">
        <f t="shared" si="33"/>
        <v>0</v>
      </c>
    </row>
    <row r="949" spans="1:25" ht="30" x14ac:dyDescent="0.25">
      <c r="A949" s="32"/>
      <c r="B949" s="32"/>
      <c r="C949" s="32"/>
      <c r="D949" s="32"/>
      <c r="E949" s="32"/>
      <c r="F949" s="32"/>
      <c r="G949" s="1340" t="s">
        <v>2707</v>
      </c>
      <c r="H949" s="66" t="str">
        <f>'BID IV'!B19</f>
        <v>Belanja Bendera/ Umbul-umbul/ Spanduk</v>
      </c>
      <c r="I949" s="174">
        <f>'BID IV'!F20</f>
        <v>90000</v>
      </c>
      <c r="J949" s="66" t="s">
        <v>2387</v>
      </c>
      <c r="K949" s="851" t="s">
        <v>3030</v>
      </c>
      <c r="L949" s="1753"/>
      <c r="M949" s="1753"/>
      <c r="N949" s="1753"/>
      <c r="O949" s="1753"/>
      <c r="P949" s="1758"/>
      <c r="Q949" s="1758"/>
      <c r="R949" s="1759">
        <v>90000</v>
      </c>
      <c r="S949" s="1758"/>
      <c r="T949" s="1762"/>
      <c r="U949" s="1762"/>
      <c r="V949" s="1762"/>
      <c r="W949" s="1762"/>
      <c r="X949" s="1750">
        <f t="shared" si="32"/>
        <v>90000</v>
      </c>
      <c r="Y949" s="175">
        <f t="shared" si="33"/>
        <v>0</v>
      </c>
    </row>
    <row r="950" spans="1:25" ht="30" x14ac:dyDescent="0.25">
      <c r="A950" s="32"/>
      <c r="B950" s="32"/>
      <c r="C950" s="32"/>
      <c r="D950" s="32"/>
      <c r="E950" s="32"/>
      <c r="F950" s="32"/>
      <c r="G950" s="32">
        <v>90</v>
      </c>
      <c r="H950" s="66" t="str">
        <f>'BID IV'!B22</f>
        <v>Belanja Upakara, Upacara dan Aci</v>
      </c>
      <c r="I950" s="174">
        <f>SUM('BID IV'!F23:F25)</f>
        <v>75000</v>
      </c>
      <c r="J950" s="66" t="s">
        <v>2387</v>
      </c>
      <c r="K950" s="851" t="s">
        <v>3030</v>
      </c>
      <c r="L950" s="1753"/>
      <c r="M950" s="1753"/>
      <c r="N950" s="1753"/>
      <c r="O950" s="1753"/>
      <c r="P950" s="1758"/>
      <c r="Q950" s="1758"/>
      <c r="R950" s="1759">
        <v>75000</v>
      </c>
      <c r="S950" s="1758"/>
      <c r="T950" s="1762"/>
      <c r="U950" s="1762"/>
      <c r="V950" s="1762"/>
      <c r="W950" s="1762"/>
      <c r="X950" s="1750">
        <f t="shared" si="32"/>
        <v>75000</v>
      </c>
      <c r="Y950" s="175">
        <f t="shared" si="33"/>
        <v>0</v>
      </c>
    </row>
    <row r="951" spans="1:25" ht="30" x14ac:dyDescent="0.25">
      <c r="A951" s="32"/>
      <c r="B951" s="32"/>
      <c r="C951" s="32"/>
      <c r="D951" s="32">
        <v>5</v>
      </c>
      <c r="E951" s="32">
        <v>2</v>
      </c>
      <c r="F951" s="32">
        <v>2</v>
      </c>
      <c r="G951" s="32"/>
      <c r="H951" s="66" t="str">
        <f>'BID IV'!B27</f>
        <v>Belanja Jasa Honorarium</v>
      </c>
      <c r="I951" s="32"/>
      <c r="J951" s="66"/>
      <c r="K951" s="851" t="s">
        <v>3030</v>
      </c>
      <c r="L951" s="1753"/>
      <c r="M951" s="1753"/>
      <c r="N951" s="1753"/>
      <c r="O951" s="1753"/>
      <c r="P951" s="1758"/>
      <c r="Q951" s="1758"/>
      <c r="R951" s="1759"/>
      <c r="S951" s="1758"/>
      <c r="T951" s="1762"/>
      <c r="U951" s="1762"/>
      <c r="V951" s="1762"/>
      <c r="W951" s="1762"/>
      <c r="X951" s="1750">
        <f t="shared" si="32"/>
        <v>0</v>
      </c>
      <c r="Y951" s="175">
        <f t="shared" si="33"/>
        <v>0</v>
      </c>
    </row>
    <row r="952" spans="1:25" ht="45" x14ac:dyDescent="0.25">
      <c r="A952" s="32"/>
      <c r="B952" s="32"/>
      <c r="C952" s="32"/>
      <c r="D952" s="32"/>
      <c r="E952" s="32"/>
      <c r="F952" s="32"/>
      <c r="G952" s="1340" t="s">
        <v>2688</v>
      </c>
      <c r="H952" s="66" t="str">
        <f>'BID IV'!B28</f>
        <v>Belanja Jasa Honorarium Tim Yang Melaksanakan Kegiatan</v>
      </c>
      <c r="I952" s="174">
        <f>'BID IV'!F29+'BID IV'!F30+'BID IV'!F31</f>
        <v>1150000</v>
      </c>
      <c r="J952" s="66" t="s">
        <v>2387</v>
      </c>
      <c r="K952" s="851" t="s">
        <v>3030</v>
      </c>
      <c r="L952" s="1753"/>
      <c r="M952" s="1753"/>
      <c r="N952" s="1753"/>
      <c r="O952" s="1753"/>
      <c r="P952" s="1758"/>
      <c r="Q952" s="1758"/>
      <c r="R952" s="1759">
        <v>1150000</v>
      </c>
      <c r="S952" s="1758"/>
      <c r="T952" s="1762"/>
      <c r="U952" s="1762"/>
      <c r="V952" s="1762"/>
      <c r="W952" s="1762"/>
      <c r="X952" s="1750">
        <f t="shared" si="32"/>
        <v>1150000</v>
      </c>
      <c r="Y952" s="175">
        <f t="shared" si="33"/>
        <v>0</v>
      </c>
    </row>
    <row r="953" spans="1:25" ht="45" x14ac:dyDescent="0.25">
      <c r="A953" s="32"/>
      <c r="B953" s="32"/>
      <c r="C953" s="32"/>
      <c r="D953" s="32"/>
      <c r="E953" s="32"/>
      <c r="F953" s="32"/>
      <c r="G953" s="1340" t="s">
        <v>2704</v>
      </c>
      <c r="H953" s="66" t="str">
        <f>'BID IV'!B33</f>
        <v>Belanja Jasa Honorarium Ahli/Profesi/Konsultan/Narasumber</v>
      </c>
      <c r="I953" s="174">
        <f>'BID IV'!F34</f>
        <v>1200000</v>
      </c>
      <c r="J953" s="66" t="s">
        <v>2387</v>
      </c>
      <c r="K953" s="851" t="s">
        <v>3030</v>
      </c>
      <c r="L953" s="1753"/>
      <c r="M953" s="1753"/>
      <c r="N953" s="1753"/>
      <c r="O953" s="1753"/>
      <c r="P953" s="1758"/>
      <c r="Q953" s="1758"/>
      <c r="R953" s="1759">
        <v>1200000</v>
      </c>
      <c r="S953" s="1758"/>
      <c r="T953" s="1762"/>
      <c r="U953" s="1762"/>
      <c r="V953" s="1762"/>
      <c r="W953" s="1762"/>
      <c r="X953" s="1750">
        <f t="shared" si="32"/>
        <v>1200000</v>
      </c>
      <c r="Y953" s="175">
        <f t="shared" si="33"/>
        <v>0</v>
      </c>
    </row>
    <row r="954" spans="1:25" ht="45" x14ac:dyDescent="0.25">
      <c r="A954" s="32"/>
      <c r="B954" s="32"/>
      <c r="C954" s="32"/>
      <c r="D954" s="32">
        <v>5</v>
      </c>
      <c r="E954" s="32">
        <v>2</v>
      </c>
      <c r="F954" s="32">
        <v>7</v>
      </c>
      <c r="G954" s="32"/>
      <c r="H954" s="66" t="str">
        <f>'BID IV'!B36</f>
        <v>Belanja Barang Dan jasa Yang Diserahkan Kepada Masyarakat</v>
      </c>
      <c r="I954" s="32"/>
      <c r="J954" s="66"/>
      <c r="K954" s="851" t="s">
        <v>3030</v>
      </c>
      <c r="L954" s="1753"/>
      <c r="M954" s="1753"/>
      <c r="N954" s="1753"/>
      <c r="O954" s="1753"/>
      <c r="P954" s="1758"/>
      <c r="Q954" s="1758"/>
      <c r="R954" s="1759"/>
      <c r="S954" s="1758"/>
      <c r="T954" s="1762"/>
      <c r="U954" s="1762"/>
      <c r="V954" s="1762"/>
      <c r="W954" s="1762"/>
      <c r="X954" s="1750">
        <f t="shared" si="32"/>
        <v>0</v>
      </c>
      <c r="Y954" s="175">
        <f t="shared" si="33"/>
        <v>0</v>
      </c>
    </row>
    <row r="955" spans="1:25" ht="60" x14ac:dyDescent="0.25">
      <c r="A955" s="32"/>
      <c r="B955" s="32"/>
      <c r="C955" s="32"/>
      <c r="D955" s="32"/>
      <c r="E955" s="32"/>
      <c r="F955" s="32"/>
      <c r="G955" s="1340" t="s">
        <v>2688</v>
      </c>
      <c r="H955" s="66" t="str">
        <f>'BID IV'!B37</f>
        <v>Belanja Bahan Perlengkapan Yang Diserahkan Ke Masyarakat</v>
      </c>
      <c r="I955" s="174">
        <f>SUM('BID IV'!F38:F39)</f>
        <v>9530000</v>
      </c>
      <c r="J955" s="66" t="s">
        <v>2387</v>
      </c>
      <c r="K955" s="851" t="s">
        <v>3030</v>
      </c>
      <c r="L955" s="1753"/>
      <c r="M955" s="1753"/>
      <c r="N955" s="1753"/>
      <c r="O955" s="1753"/>
      <c r="P955" s="1758"/>
      <c r="Q955" s="1758"/>
      <c r="R955" s="1759">
        <v>9530000</v>
      </c>
      <c r="S955" s="1758"/>
      <c r="T955" s="1762"/>
      <c r="U955" s="1762"/>
      <c r="V955" s="1762"/>
      <c r="W955" s="1762"/>
      <c r="X955" s="1750">
        <f t="shared" si="32"/>
        <v>9530000</v>
      </c>
      <c r="Y955" s="175">
        <f t="shared" si="33"/>
        <v>0</v>
      </c>
    </row>
    <row r="956" spans="1:25" ht="60" x14ac:dyDescent="0.25">
      <c r="A956" s="1344">
        <v>4</v>
      </c>
      <c r="B956" s="1344">
        <v>2</v>
      </c>
      <c r="C956" s="1346" t="s">
        <v>2688</v>
      </c>
      <c r="D956" s="1344"/>
      <c r="E956" s="1344"/>
      <c r="F956" s="1344"/>
      <c r="G956" s="1344"/>
      <c r="H956" s="1345" t="str">
        <f>'BID IV'!B56</f>
        <v>: Ketahanan Pangan ( Holti Kultural Budidaya Bawang Merah Dari Benih)</v>
      </c>
      <c r="I956" s="1347">
        <f>SUM(I957:I966)</f>
        <v>50037000</v>
      </c>
      <c r="J956" s="1345" t="s">
        <v>2387</v>
      </c>
      <c r="K956" s="1796" t="s">
        <v>3030</v>
      </c>
      <c r="L956" s="1344"/>
      <c r="M956" s="1344"/>
      <c r="N956" s="1344"/>
      <c r="O956" s="1344"/>
      <c r="P956" s="1344"/>
      <c r="Q956" s="1344"/>
      <c r="R956" s="1344"/>
      <c r="S956" s="1344"/>
      <c r="T956" s="1344"/>
      <c r="U956" s="1344"/>
      <c r="V956" s="1344"/>
      <c r="W956" s="1344"/>
      <c r="X956" s="1353">
        <f t="shared" si="32"/>
        <v>0</v>
      </c>
      <c r="Y956" s="175">
        <f t="shared" si="33"/>
        <v>-50037000</v>
      </c>
    </row>
    <row r="957" spans="1:25" ht="30" x14ac:dyDescent="0.25">
      <c r="A957" s="32"/>
      <c r="B957" s="32"/>
      <c r="C957" s="32"/>
      <c r="D957" s="32">
        <v>5</v>
      </c>
      <c r="E957" s="32">
        <v>2</v>
      </c>
      <c r="F957" s="32"/>
      <c r="G957" s="32"/>
      <c r="H957" s="66" t="str">
        <f>'BID IV'!B61</f>
        <v>Belanja Barang Dan Jasa</v>
      </c>
      <c r="I957" s="32"/>
      <c r="J957" s="66"/>
      <c r="K957" s="851" t="s">
        <v>3030</v>
      </c>
      <c r="L957" s="1753"/>
      <c r="M957" s="1753"/>
      <c r="N957" s="1753"/>
      <c r="O957" s="1753"/>
      <c r="P957" s="1758"/>
      <c r="Q957" s="1758"/>
      <c r="R957" s="1758"/>
      <c r="S957" s="1758"/>
      <c r="T957" s="1762"/>
      <c r="U957" s="1762"/>
      <c r="V957" s="1762"/>
      <c r="W957" s="1762"/>
      <c r="X957" s="1750">
        <f t="shared" si="32"/>
        <v>0</v>
      </c>
      <c r="Y957" s="175">
        <f t="shared" si="33"/>
        <v>0</v>
      </c>
    </row>
    <row r="958" spans="1:25" ht="30" x14ac:dyDescent="0.25">
      <c r="A958" s="32"/>
      <c r="B958" s="32"/>
      <c r="C958" s="32"/>
      <c r="D958" s="32"/>
      <c r="E958" s="32"/>
      <c r="F958" s="32">
        <v>1</v>
      </c>
      <c r="G958" s="32"/>
      <c r="H958" s="66" t="str">
        <f>'BID IV'!B62</f>
        <v>Belanja Barang Perlengkapan</v>
      </c>
      <c r="I958" s="32"/>
      <c r="J958" s="66"/>
      <c r="K958" s="851" t="s">
        <v>3030</v>
      </c>
      <c r="L958" s="1753"/>
      <c r="M958" s="1753"/>
      <c r="N958" s="1753"/>
      <c r="O958" s="1753"/>
      <c r="P958" s="1758"/>
      <c r="Q958" s="1758"/>
      <c r="R958" s="1758"/>
      <c r="S958" s="1758"/>
      <c r="T958" s="1762"/>
      <c r="U958" s="1762"/>
      <c r="V958" s="1762"/>
      <c r="W958" s="1762"/>
      <c r="X958" s="1750">
        <f t="shared" si="32"/>
        <v>0</v>
      </c>
      <c r="Y958" s="175">
        <f t="shared" si="33"/>
        <v>0</v>
      </c>
    </row>
    <row r="959" spans="1:25" ht="30" x14ac:dyDescent="0.25">
      <c r="A959" s="32"/>
      <c r="B959" s="32"/>
      <c r="C959" s="32"/>
      <c r="D959" s="32"/>
      <c r="E959" s="32"/>
      <c r="F959" s="32"/>
      <c r="G959" s="1340" t="s">
        <v>2705</v>
      </c>
      <c r="H959" s="66" t="str">
        <f>'BID IV'!B63</f>
        <v>Belanja Perlengkapan Barang Konsumsi</v>
      </c>
      <c r="I959" s="174">
        <f>SUM('BID IV'!F64)</f>
        <v>900000</v>
      </c>
      <c r="J959" s="66" t="s">
        <v>2387</v>
      </c>
      <c r="K959" s="851" t="s">
        <v>3030</v>
      </c>
      <c r="L959" s="1753"/>
      <c r="M959" s="1753"/>
      <c r="N959" s="1753"/>
      <c r="O959" s="1753"/>
      <c r="P959" s="1758"/>
      <c r="Q959" s="1758"/>
      <c r="R959" s="1759">
        <v>900000</v>
      </c>
      <c r="S959" s="1758"/>
      <c r="T959" s="1762"/>
      <c r="U959" s="1762"/>
      <c r="V959" s="1762"/>
      <c r="W959" s="1762"/>
      <c r="X959" s="1750">
        <f t="shared" si="32"/>
        <v>900000</v>
      </c>
      <c r="Y959" s="175">
        <f t="shared" si="33"/>
        <v>0</v>
      </c>
    </row>
    <row r="960" spans="1:25" ht="30" x14ac:dyDescent="0.25">
      <c r="A960" s="32"/>
      <c r="B960" s="32"/>
      <c r="C960" s="32"/>
      <c r="D960" s="32"/>
      <c r="E960" s="32"/>
      <c r="F960" s="32"/>
      <c r="G960" s="1340" t="s">
        <v>2707</v>
      </c>
      <c r="H960" s="66" t="str">
        <f>'BID IV'!B66</f>
        <v>Belanja Bendera/ Umbul-umbul/ Spanduk</v>
      </c>
      <c r="I960" s="174">
        <f>'BID IV'!F67</f>
        <v>90000</v>
      </c>
      <c r="J960" s="66" t="s">
        <v>2387</v>
      </c>
      <c r="K960" s="851" t="s">
        <v>3030</v>
      </c>
      <c r="L960" s="1753"/>
      <c r="M960" s="1753"/>
      <c r="N960" s="1753"/>
      <c r="O960" s="1753"/>
      <c r="P960" s="1758"/>
      <c r="Q960" s="1758"/>
      <c r="R960" s="1759">
        <v>90000</v>
      </c>
      <c r="S960" s="1758"/>
      <c r="T960" s="1762"/>
      <c r="U960" s="1762"/>
      <c r="V960" s="1762"/>
      <c r="W960" s="1762"/>
      <c r="X960" s="1750">
        <f t="shared" si="32"/>
        <v>90000</v>
      </c>
      <c r="Y960" s="175">
        <f t="shared" si="33"/>
        <v>0</v>
      </c>
    </row>
    <row r="961" spans="1:25" ht="30" x14ac:dyDescent="0.25">
      <c r="A961" s="32"/>
      <c r="B961" s="32"/>
      <c r="C961" s="32"/>
      <c r="D961" s="32"/>
      <c r="E961" s="32"/>
      <c r="F961" s="32"/>
      <c r="G961" s="32">
        <v>90</v>
      </c>
      <c r="H961" s="66" t="str">
        <f>'BID IV'!B69</f>
        <v>Belanja Upakara, Upacara dan Aci</v>
      </c>
      <c r="I961" s="174">
        <f>SUM('BID IV'!F70:F72)</f>
        <v>75000</v>
      </c>
      <c r="J961" s="66" t="s">
        <v>2387</v>
      </c>
      <c r="K961" s="851" t="s">
        <v>3030</v>
      </c>
      <c r="L961" s="1753"/>
      <c r="M961" s="1753"/>
      <c r="N961" s="1753"/>
      <c r="O961" s="1753"/>
      <c r="P961" s="1758"/>
      <c r="Q961" s="1758"/>
      <c r="R961" s="1759">
        <v>75000</v>
      </c>
      <c r="S961" s="1758"/>
      <c r="T961" s="1762"/>
      <c r="U961" s="1762"/>
      <c r="V961" s="1762"/>
      <c r="W961" s="1762"/>
      <c r="X961" s="1750">
        <f t="shared" si="32"/>
        <v>75000</v>
      </c>
      <c r="Y961" s="175">
        <f t="shared" si="33"/>
        <v>0</v>
      </c>
    </row>
    <row r="962" spans="1:25" ht="30" x14ac:dyDescent="0.25">
      <c r="A962" s="32"/>
      <c r="B962" s="32"/>
      <c r="C962" s="32"/>
      <c r="D962" s="32">
        <v>5</v>
      </c>
      <c r="E962" s="32">
        <v>2</v>
      </c>
      <c r="F962" s="32">
        <v>2</v>
      </c>
      <c r="G962" s="32"/>
      <c r="H962" s="66" t="str">
        <f>'BID IV'!B74</f>
        <v>Belanja Jasa Honorarium</v>
      </c>
      <c r="I962" s="32"/>
      <c r="J962" s="66"/>
      <c r="K962" s="851" t="s">
        <v>3030</v>
      </c>
      <c r="L962" s="1753"/>
      <c r="M962" s="1753"/>
      <c r="N962" s="1753"/>
      <c r="O962" s="1753"/>
      <c r="P962" s="1758"/>
      <c r="Q962" s="1758"/>
      <c r="R962" s="1759"/>
      <c r="S962" s="1758"/>
      <c r="T962" s="1762"/>
      <c r="U962" s="1762"/>
      <c r="V962" s="1762"/>
      <c r="W962" s="1762"/>
      <c r="X962" s="1750">
        <f t="shared" si="32"/>
        <v>0</v>
      </c>
      <c r="Y962" s="175">
        <f t="shared" si="33"/>
        <v>0</v>
      </c>
    </row>
    <row r="963" spans="1:25" ht="45" x14ac:dyDescent="0.25">
      <c r="A963" s="32"/>
      <c r="B963" s="32"/>
      <c r="C963" s="32"/>
      <c r="D963" s="32"/>
      <c r="E963" s="32"/>
      <c r="F963" s="32"/>
      <c r="G963" s="1340" t="s">
        <v>2688</v>
      </c>
      <c r="H963" s="66" t="str">
        <f>'BID IV'!B75</f>
        <v>Belanja Jasa Honorarium Tim Yang Melaksanakan Kegiatan</v>
      </c>
      <c r="I963" s="174">
        <f>SUM('BID IV'!F76:F78)</f>
        <v>1150000</v>
      </c>
      <c r="J963" s="66" t="s">
        <v>2387</v>
      </c>
      <c r="K963" s="851" t="s">
        <v>3030</v>
      </c>
      <c r="L963" s="1753"/>
      <c r="M963" s="1753"/>
      <c r="N963" s="1753"/>
      <c r="O963" s="1753"/>
      <c r="P963" s="1758"/>
      <c r="Q963" s="1758"/>
      <c r="R963" s="1759">
        <v>1150000</v>
      </c>
      <c r="S963" s="1758"/>
      <c r="T963" s="1762"/>
      <c r="U963" s="1762"/>
      <c r="V963" s="1762"/>
      <c r="W963" s="1762"/>
      <c r="X963" s="1750">
        <f t="shared" si="32"/>
        <v>1150000</v>
      </c>
      <c r="Y963" s="175">
        <f t="shared" si="33"/>
        <v>0</v>
      </c>
    </row>
    <row r="964" spans="1:25" ht="45" x14ac:dyDescent="0.25">
      <c r="A964" s="32"/>
      <c r="B964" s="32"/>
      <c r="C964" s="32"/>
      <c r="D964" s="32"/>
      <c r="E964" s="32"/>
      <c r="F964" s="32"/>
      <c r="G964" s="1340" t="s">
        <v>2704</v>
      </c>
      <c r="H964" s="66" t="str">
        <f>'BID IV'!B80</f>
        <v>Belanja Jasa Honorarium Ahli/Profesi/Konsultan/Narasumber</v>
      </c>
      <c r="I964" s="174">
        <f>'BID IV'!F81</f>
        <v>1200000</v>
      </c>
      <c r="J964" s="66" t="s">
        <v>2387</v>
      </c>
      <c r="K964" s="851" t="s">
        <v>3030</v>
      </c>
      <c r="L964" s="1753"/>
      <c r="M964" s="1753"/>
      <c r="N964" s="1753"/>
      <c r="O964" s="1753"/>
      <c r="P964" s="1758"/>
      <c r="Q964" s="1758"/>
      <c r="R964" s="1759">
        <v>1200000</v>
      </c>
      <c r="S964" s="1758"/>
      <c r="T964" s="1762"/>
      <c r="U964" s="1762"/>
      <c r="V964" s="1762"/>
      <c r="W964" s="1762"/>
      <c r="X964" s="1750">
        <f t="shared" si="32"/>
        <v>1200000</v>
      </c>
      <c r="Y964" s="175">
        <f t="shared" si="33"/>
        <v>0</v>
      </c>
    </row>
    <row r="965" spans="1:25" ht="45" x14ac:dyDescent="0.25">
      <c r="A965" s="32"/>
      <c r="B965" s="32"/>
      <c r="C965" s="32"/>
      <c r="D965" s="32">
        <v>5</v>
      </c>
      <c r="E965" s="32">
        <v>2</v>
      </c>
      <c r="F965" s="32">
        <v>7</v>
      </c>
      <c r="G965" s="32"/>
      <c r="H965" s="66" t="str">
        <f>'BID IV'!B83</f>
        <v>Belanja Barang Dan jasa Yang Diserahkan Kepada Masyarakat</v>
      </c>
      <c r="I965" s="32"/>
      <c r="J965" s="66"/>
      <c r="K965" s="851" t="s">
        <v>3030</v>
      </c>
      <c r="L965" s="1753"/>
      <c r="M965" s="1753"/>
      <c r="N965" s="1753"/>
      <c r="O965" s="1753"/>
      <c r="P965" s="1758"/>
      <c r="Q965" s="1758"/>
      <c r="R965" s="1759"/>
      <c r="S965" s="1758"/>
      <c r="T965" s="1762"/>
      <c r="U965" s="1762"/>
      <c r="V965" s="1762"/>
      <c r="W965" s="1762"/>
      <c r="X965" s="1750">
        <f t="shared" si="32"/>
        <v>0</v>
      </c>
      <c r="Y965" s="175">
        <f t="shared" si="33"/>
        <v>0</v>
      </c>
    </row>
    <row r="966" spans="1:25" ht="60" x14ac:dyDescent="0.25">
      <c r="A966" s="32"/>
      <c r="B966" s="32"/>
      <c r="C966" s="32"/>
      <c r="D966" s="32"/>
      <c r="E966" s="32"/>
      <c r="F966" s="32"/>
      <c r="G966" s="1340" t="s">
        <v>2688</v>
      </c>
      <c r="H966" s="66" t="str">
        <f>'BID IV'!B84</f>
        <v>Belanja Bahan Perlengkapan Yang Diserahkan Ke Masyarakat</v>
      </c>
      <c r="I966" s="174">
        <f>SUM('BID IV'!F86:F101)</f>
        <v>46622000</v>
      </c>
      <c r="J966" s="66" t="s">
        <v>2387</v>
      </c>
      <c r="K966" s="851" t="s">
        <v>3030</v>
      </c>
      <c r="L966" s="1753"/>
      <c r="M966" s="1753"/>
      <c r="N966" s="1753"/>
      <c r="O966" s="1753"/>
      <c r="P966" s="1758"/>
      <c r="Q966" s="1758"/>
      <c r="R966" s="1759">
        <v>46622000</v>
      </c>
      <c r="S966" s="1758"/>
      <c r="T966" s="1762"/>
      <c r="U966" s="1762"/>
      <c r="V966" s="1762"/>
      <c r="W966" s="1762"/>
      <c r="X966" s="1750">
        <f t="shared" si="32"/>
        <v>46622000</v>
      </c>
      <c r="Y966" s="175">
        <f t="shared" si="33"/>
        <v>0</v>
      </c>
    </row>
    <row r="967" spans="1:25" ht="75" x14ac:dyDescent="0.25">
      <c r="A967" s="1344">
        <v>4</v>
      </c>
      <c r="B967" s="1344">
        <v>2</v>
      </c>
      <c r="C967" s="1346" t="s">
        <v>2703</v>
      </c>
      <c r="D967" s="1344"/>
      <c r="E967" s="1344"/>
      <c r="F967" s="1344"/>
      <c r="G967" s="1344"/>
      <c r="H967" s="1345" t="str">
        <f>'BID IV'!B117</f>
        <v>: Penguatan Ketahanan Pangan Tingkat Desa ( Peningkatan ketersediaan Bibit/benih tanaman pangan)</v>
      </c>
      <c r="I967" s="1347">
        <f>SUM(I968:I974)</f>
        <v>23430000</v>
      </c>
      <c r="J967" s="1345" t="s">
        <v>2387</v>
      </c>
      <c r="K967" s="1796" t="s">
        <v>3030</v>
      </c>
      <c r="L967" s="1344"/>
      <c r="M967" s="1344"/>
      <c r="N967" s="1344"/>
      <c r="O967" s="1344"/>
      <c r="P967" s="1344"/>
      <c r="Q967" s="1344"/>
      <c r="R967" s="1344"/>
      <c r="S967" s="1344"/>
      <c r="T967" s="1344"/>
      <c r="U967" s="1344"/>
      <c r="V967" s="1344"/>
      <c r="W967" s="1344"/>
      <c r="X967" s="1353">
        <f t="shared" si="32"/>
        <v>0</v>
      </c>
      <c r="Y967" s="175">
        <f t="shared" si="33"/>
        <v>-23430000</v>
      </c>
    </row>
    <row r="968" spans="1:25" ht="30" x14ac:dyDescent="0.25">
      <c r="A968" s="32"/>
      <c r="B968" s="32"/>
      <c r="C968" s="32"/>
      <c r="D968" s="32">
        <v>5</v>
      </c>
      <c r="E968" s="32">
        <v>2</v>
      </c>
      <c r="F968" s="32"/>
      <c r="G968" s="32"/>
      <c r="H968" s="66" t="str">
        <f>'BID IV'!B124</f>
        <v>Belanja Barang Dan Jasa</v>
      </c>
      <c r="I968" s="32"/>
      <c r="J968" s="66"/>
      <c r="K968" s="851" t="s">
        <v>3030</v>
      </c>
      <c r="L968" s="1753"/>
      <c r="M968" s="1753"/>
      <c r="N968" s="1753"/>
      <c r="O968" s="1753"/>
      <c r="P968" s="1758"/>
      <c r="Q968" s="1758"/>
      <c r="R968" s="1758"/>
      <c r="S968" s="1758"/>
      <c r="T968" s="1762"/>
      <c r="U968" s="1762"/>
      <c r="V968" s="1762"/>
      <c r="W968" s="1762"/>
      <c r="X968" s="1750">
        <f t="shared" si="32"/>
        <v>0</v>
      </c>
      <c r="Y968" s="175">
        <f t="shared" si="33"/>
        <v>0</v>
      </c>
    </row>
    <row r="969" spans="1:25" ht="30" x14ac:dyDescent="0.25">
      <c r="A969" s="32"/>
      <c r="B969" s="32"/>
      <c r="C969" s="32"/>
      <c r="D969" s="32"/>
      <c r="E969" s="32"/>
      <c r="F969" s="32">
        <v>1</v>
      </c>
      <c r="G969" s="32"/>
      <c r="H969" s="66" t="str">
        <f>'BID IV'!B125</f>
        <v>Belanja Barang Perlengkapan</v>
      </c>
      <c r="I969" s="32"/>
      <c r="J969" s="66"/>
      <c r="K969" s="851" t="s">
        <v>3030</v>
      </c>
      <c r="L969" s="1753"/>
      <c r="M969" s="1753"/>
      <c r="N969" s="1753"/>
      <c r="O969" s="1753"/>
      <c r="P969" s="1758"/>
      <c r="Q969" s="1758"/>
      <c r="R969" s="1758"/>
      <c r="S969" s="1758"/>
      <c r="T969" s="1762"/>
      <c r="U969" s="1762"/>
      <c r="V969" s="1762"/>
      <c r="W969" s="1762"/>
      <c r="X969" s="1750">
        <f t="shared" si="32"/>
        <v>0</v>
      </c>
      <c r="Y969" s="175">
        <f t="shared" si="33"/>
        <v>0</v>
      </c>
    </row>
    <row r="970" spans="1:25" ht="30" x14ac:dyDescent="0.25">
      <c r="A970" s="32"/>
      <c r="B970" s="32"/>
      <c r="C970" s="32"/>
      <c r="D970" s="32"/>
      <c r="E970" s="32"/>
      <c r="F970" s="32"/>
      <c r="G970" s="1340" t="s">
        <v>2705</v>
      </c>
      <c r="H970" s="66" t="str">
        <f>'BID IV'!B126</f>
        <v>Belanja Perlengkapan Barang Konsumsi</v>
      </c>
      <c r="I970" s="174">
        <f>SUM('BID IV'!F127)</f>
        <v>525000</v>
      </c>
      <c r="J970" s="66" t="s">
        <v>2387</v>
      </c>
      <c r="K970" s="851" t="s">
        <v>3030</v>
      </c>
      <c r="L970" s="1753"/>
      <c r="M970" s="1753"/>
      <c r="N970" s="1753"/>
      <c r="O970" s="1753"/>
      <c r="P970" s="1758"/>
      <c r="Q970" s="1758"/>
      <c r="R970" s="1759">
        <v>525000</v>
      </c>
      <c r="S970" s="1758"/>
      <c r="T970" s="1762"/>
      <c r="U970" s="1762"/>
      <c r="V970" s="1762"/>
      <c r="W970" s="1762"/>
      <c r="X970" s="1750">
        <f t="shared" si="32"/>
        <v>525000</v>
      </c>
      <c r="Y970" s="175">
        <f t="shared" si="33"/>
        <v>0</v>
      </c>
    </row>
    <row r="971" spans="1:25" ht="30" x14ac:dyDescent="0.25">
      <c r="A971" s="32"/>
      <c r="B971" s="32"/>
      <c r="C971" s="32"/>
      <c r="D971" s="32"/>
      <c r="E971" s="32"/>
      <c r="F971" s="32"/>
      <c r="G971" s="1340" t="s">
        <v>2707</v>
      </c>
      <c r="H971" s="66" t="str">
        <f>'BID IV'!B129</f>
        <v>Belanja Bendera/ Umbul-umbul/ Spanduk</v>
      </c>
      <c r="I971" s="174">
        <f>'BID IV'!F130</f>
        <v>90000</v>
      </c>
      <c r="J971" s="66" t="s">
        <v>2387</v>
      </c>
      <c r="K971" s="851" t="s">
        <v>3030</v>
      </c>
      <c r="L971" s="1753"/>
      <c r="M971" s="1753"/>
      <c r="N971" s="1753"/>
      <c r="O971" s="1753"/>
      <c r="P971" s="1758"/>
      <c r="Q971" s="1758"/>
      <c r="R971" s="1759">
        <v>90000</v>
      </c>
      <c r="S971" s="1758"/>
      <c r="T971" s="1762"/>
      <c r="U971" s="1762"/>
      <c r="V971" s="1762"/>
      <c r="W971" s="1762"/>
      <c r="X971" s="1750">
        <f t="shared" si="32"/>
        <v>90000</v>
      </c>
      <c r="Y971" s="175">
        <f t="shared" si="33"/>
        <v>0</v>
      </c>
    </row>
    <row r="972" spans="1:25" ht="26.25" customHeight="1" x14ac:dyDescent="0.25">
      <c r="A972" s="32"/>
      <c r="B972" s="32"/>
      <c r="C972" s="32"/>
      <c r="D972" s="32"/>
      <c r="E972" s="32"/>
      <c r="F972" s="32"/>
      <c r="G972" s="1340" t="s">
        <v>2708</v>
      </c>
      <c r="H972" s="66" t="str">
        <f>'BID IV'!B132</f>
        <v>Belanja Bahan/Material</v>
      </c>
      <c r="I972" s="174">
        <f>SUM('BID IV'!F133:F135)</f>
        <v>65000</v>
      </c>
      <c r="J972" s="66" t="s">
        <v>2387</v>
      </c>
      <c r="K972" s="851" t="s">
        <v>3030</v>
      </c>
      <c r="L972" s="1753"/>
      <c r="M972" s="1753"/>
      <c r="N972" s="1753"/>
      <c r="O972" s="1753"/>
      <c r="P972" s="1758"/>
      <c r="Q972" s="1758"/>
      <c r="R972" s="1759">
        <v>65000</v>
      </c>
      <c r="S972" s="1758"/>
      <c r="T972" s="1762"/>
      <c r="U972" s="1762"/>
      <c r="V972" s="1762"/>
      <c r="W972" s="1762"/>
      <c r="X972" s="1750">
        <f t="shared" si="32"/>
        <v>65000</v>
      </c>
      <c r="Y972" s="175">
        <f t="shared" si="33"/>
        <v>0</v>
      </c>
    </row>
    <row r="973" spans="1:25" ht="45" x14ac:dyDescent="0.25">
      <c r="A973" s="32"/>
      <c r="B973" s="32"/>
      <c r="C973" s="32"/>
      <c r="D973" s="32">
        <v>5</v>
      </c>
      <c r="E973" s="32">
        <v>2</v>
      </c>
      <c r="F973" s="32">
        <v>7</v>
      </c>
      <c r="G973" s="32"/>
      <c r="H973" s="66" t="str">
        <f>'BID IV'!B138</f>
        <v>Belanja Barang Perlengkapan diserahkan Kepada Masyarakat</v>
      </c>
      <c r="I973" s="32"/>
      <c r="J973" s="66"/>
      <c r="K973" s="851" t="s">
        <v>3030</v>
      </c>
      <c r="L973" s="1753"/>
      <c r="M973" s="1753"/>
      <c r="N973" s="1753"/>
      <c r="O973" s="1753"/>
      <c r="P973" s="1758"/>
      <c r="Q973" s="1758"/>
      <c r="R973" s="1759"/>
      <c r="S973" s="1758"/>
      <c r="T973" s="1762"/>
      <c r="U973" s="1762"/>
      <c r="V973" s="1762"/>
      <c r="W973" s="1762"/>
      <c r="X973" s="1750">
        <f t="shared" si="32"/>
        <v>0</v>
      </c>
      <c r="Y973" s="175">
        <f t="shared" si="33"/>
        <v>0</v>
      </c>
    </row>
    <row r="974" spans="1:25" ht="60" x14ac:dyDescent="0.25">
      <c r="A974" s="32"/>
      <c r="B974" s="32"/>
      <c r="C974" s="32"/>
      <c r="D974" s="32"/>
      <c r="E974" s="32"/>
      <c r="F974" s="32"/>
      <c r="G974" s="1340" t="s">
        <v>2688</v>
      </c>
      <c r="H974" s="66" t="str">
        <f>'BID IV'!B139</f>
        <v>Belanja Bahan Perlengkapan Yang Diserahkan Ke Masyarakat</v>
      </c>
      <c r="I974" s="174">
        <f>SUM('BID IV'!F140:F145)</f>
        <v>22750000</v>
      </c>
      <c r="J974" s="66" t="s">
        <v>2387</v>
      </c>
      <c r="K974" s="851" t="s">
        <v>3030</v>
      </c>
      <c r="L974" s="1753"/>
      <c r="M974" s="1753"/>
      <c r="N974" s="1753"/>
      <c r="O974" s="1753"/>
      <c r="P974" s="1758"/>
      <c r="Q974" s="1758"/>
      <c r="R974" s="1759">
        <v>22750000</v>
      </c>
      <c r="S974" s="1758"/>
      <c r="T974" s="1762"/>
      <c r="U974" s="1762"/>
      <c r="V974" s="1762"/>
      <c r="W974" s="1762"/>
      <c r="X974" s="1750">
        <f t="shared" si="32"/>
        <v>22750000</v>
      </c>
      <c r="Y974" s="175">
        <f t="shared" si="33"/>
        <v>0</v>
      </c>
    </row>
    <row r="975" spans="1:25" ht="60" x14ac:dyDescent="0.25">
      <c r="A975" s="1344">
        <v>4</v>
      </c>
      <c r="B975" s="1344">
        <v>3</v>
      </c>
      <c r="C975" s="1346" t="s">
        <v>2702</v>
      </c>
      <c r="D975" s="1344"/>
      <c r="E975" s="1344"/>
      <c r="F975" s="1344"/>
      <c r="G975" s="1344"/>
      <c r="H975" s="1345" t="str">
        <f>'BID IV'!B187</f>
        <v>: Pelatihan Tim Verifikasi dan penyusunan RKP ( Pelatihan Penysunan RKPDes)</v>
      </c>
      <c r="I975" s="1347">
        <f>SUM(I976:I982)</f>
        <v>1235000</v>
      </c>
      <c r="J975" s="1345" t="s">
        <v>1682</v>
      </c>
      <c r="K975" s="1344" t="s">
        <v>2994</v>
      </c>
      <c r="L975" s="1344"/>
      <c r="M975" s="1344"/>
      <c r="N975" s="1344"/>
      <c r="O975" s="1344"/>
      <c r="P975" s="1344"/>
      <c r="Q975" s="1344"/>
      <c r="R975" s="1344"/>
      <c r="S975" s="1344"/>
      <c r="T975" s="1344"/>
      <c r="U975" s="1344"/>
      <c r="V975" s="1344"/>
      <c r="W975" s="1344"/>
      <c r="X975" s="1353">
        <f t="shared" si="32"/>
        <v>0</v>
      </c>
      <c r="Y975" s="175">
        <f t="shared" si="33"/>
        <v>-1235000</v>
      </c>
    </row>
    <row r="976" spans="1:25" x14ac:dyDescent="0.25">
      <c r="A976" s="32"/>
      <c r="B976" s="32"/>
      <c r="C976" s="32"/>
      <c r="D976" s="32">
        <v>5</v>
      </c>
      <c r="E976" s="32">
        <v>2</v>
      </c>
      <c r="F976" s="32"/>
      <c r="G976" s="32"/>
      <c r="H976" s="66" t="str">
        <f>'BID IV'!B193</f>
        <v>Belanja Barang dan Jasa</v>
      </c>
      <c r="I976" s="32"/>
      <c r="J976" s="66"/>
      <c r="K976" s="32" t="s">
        <v>2994</v>
      </c>
      <c r="L976" s="1753"/>
      <c r="M976" s="1753"/>
      <c r="N976" s="1753"/>
      <c r="O976" s="1753"/>
      <c r="P976" s="1758"/>
      <c r="Q976" s="1758"/>
      <c r="R976" s="1758"/>
      <c r="S976" s="1758"/>
      <c r="T976" s="1762"/>
      <c r="U976" s="1762"/>
      <c r="V976" s="1762"/>
      <c r="W976" s="1762"/>
      <c r="X976" s="1750">
        <f t="shared" si="32"/>
        <v>0</v>
      </c>
      <c r="Y976" s="175">
        <f t="shared" si="33"/>
        <v>0</v>
      </c>
    </row>
    <row r="977" spans="1:25" ht="30" x14ac:dyDescent="0.25">
      <c r="A977" s="32"/>
      <c r="B977" s="32"/>
      <c r="C977" s="32"/>
      <c r="D977" s="32"/>
      <c r="E977" s="32"/>
      <c r="F977" s="32">
        <v>1</v>
      </c>
      <c r="G977" s="32"/>
      <c r="H977" s="66" t="str">
        <f>'BID IV'!B194</f>
        <v>Belanja Barang Perlengkapan</v>
      </c>
      <c r="I977" s="32"/>
      <c r="J977" s="66"/>
      <c r="K977" s="32" t="s">
        <v>2994</v>
      </c>
      <c r="L977" s="1753"/>
      <c r="M977" s="1753"/>
      <c r="N977" s="1753"/>
      <c r="O977" s="1753"/>
      <c r="P977" s="1758"/>
      <c r="Q977" s="1758"/>
      <c r="R977" s="1758"/>
      <c r="S977" s="1758"/>
      <c r="T977" s="1762"/>
      <c r="U977" s="1762"/>
      <c r="V977" s="1762"/>
      <c r="W977" s="1762"/>
      <c r="X977" s="1750">
        <f t="shared" si="32"/>
        <v>0</v>
      </c>
      <c r="Y977" s="175">
        <f t="shared" si="33"/>
        <v>0</v>
      </c>
    </row>
    <row r="978" spans="1:25" ht="30" x14ac:dyDescent="0.25">
      <c r="A978" s="32"/>
      <c r="B978" s="32"/>
      <c r="C978" s="32"/>
      <c r="D978" s="32"/>
      <c r="E978" s="32"/>
      <c r="F978" s="32"/>
      <c r="G978" s="1340" t="s">
        <v>2705</v>
      </c>
      <c r="H978" s="66" t="str">
        <f>'BID IV'!B195</f>
        <v>Belanja Perlengkapan Barang Konsumsi</v>
      </c>
      <c r="I978" s="174">
        <f>SUM('BID IV'!F196)</f>
        <v>480000</v>
      </c>
      <c r="J978" s="66" t="s">
        <v>1682</v>
      </c>
      <c r="K978" s="32" t="s">
        <v>2994</v>
      </c>
      <c r="L978" s="1753"/>
      <c r="M978" s="1753"/>
      <c r="N978" s="1753"/>
      <c r="O978" s="1753"/>
      <c r="P978" s="1758"/>
      <c r="Q978" s="1758"/>
      <c r="R978" s="1758"/>
      <c r="S978" s="1758"/>
      <c r="T978" s="1763">
        <v>480000</v>
      </c>
      <c r="U978" s="1762"/>
      <c r="V978" s="1762"/>
      <c r="W978" s="1762"/>
      <c r="X978" s="1750">
        <f t="shared" si="32"/>
        <v>480000</v>
      </c>
      <c r="Y978" s="175">
        <f t="shared" si="33"/>
        <v>0</v>
      </c>
    </row>
    <row r="979" spans="1:25" ht="30" x14ac:dyDescent="0.25">
      <c r="A979" s="32"/>
      <c r="B979" s="32"/>
      <c r="C979" s="32"/>
      <c r="D979" s="32"/>
      <c r="E979" s="32"/>
      <c r="F979" s="32"/>
      <c r="G979" s="1340" t="s">
        <v>2707</v>
      </c>
      <c r="H979" s="66" t="str">
        <f>'BID IV'!B198</f>
        <v>Belanja Bendera/ Umbul-umbul/ Spanduk</v>
      </c>
      <c r="I979" s="174">
        <f>'BID IV'!F199</f>
        <v>90000</v>
      </c>
      <c r="J979" s="66" t="s">
        <v>1682</v>
      </c>
      <c r="K979" s="32" t="s">
        <v>2994</v>
      </c>
      <c r="L979" s="1753"/>
      <c r="M979" s="1753"/>
      <c r="N979" s="1753"/>
      <c r="O979" s="1753"/>
      <c r="P979" s="1758"/>
      <c r="Q979" s="1758"/>
      <c r="R979" s="1758"/>
      <c r="S979" s="1758"/>
      <c r="T979" s="1763">
        <v>90000</v>
      </c>
      <c r="U979" s="1762"/>
      <c r="V979" s="1762"/>
      <c r="W979" s="1762"/>
      <c r="X979" s="1750">
        <f t="shared" si="32"/>
        <v>90000</v>
      </c>
      <c r="Y979" s="175">
        <f t="shared" si="33"/>
        <v>0</v>
      </c>
    </row>
    <row r="980" spans="1:25" ht="30" x14ac:dyDescent="0.25">
      <c r="A980" s="32"/>
      <c r="B980" s="32"/>
      <c r="C980" s="32"/>
      <c r="D980" s="32"/>
      <c r="E980" s="32"/>
      <c r="F980" s="32"/>
      <c r="G980" s="32">
        <v>90</v>
      </c>
      <c r="H980" s="66" t="str">
        <f>'BID IV'!B201</f>
        <v>Belanja Upakara, Upacara dan Aci</v>
      </c>
      <c r="I980" s="174">
        <f>SUM('BID IV'!F202:F204)</f>
        <v>65000</v>
      </c>
      <c r="J980" s="66" t="s">
        <v>1682</v>
      </c>
      <c r="K980" s="32" t="s">
        <v>2994</v>
      </c>
      <c r="L980" s="1753"/>
      <c r="M980" s="1753"/>
      <c r="N980" s="1753"/>
      <c r="O980" s="1753"/>
      <c r="P980" s="1758"/>
      <c r="Q980" s="1758"/>
      <c r="R980" s="1758"/>
      <c r="S980" s="1758"/>
      <c r="T980" s="1763">
        <v>65000</v>
      </c>
      <c r="U980" s="1762"/>
      <c r="V980" s="1762"/>
      <c r="W980" s="1762"/>
      <c r="X980" s="1750">
        <f t="shared" si="32"/>
        <v>65000</v>
      </c>
      <c r="Y980" s="175">
        <f t="shared" si="33"/>
        <v>0</v>
      </c>
    </row>
    <row r="981" spans="1:25" x14ac:dyDescent="0.25">
      <c r="A981" s="32"/>
      <c r="B981" s="32"/>
      <c r="C981" s="32"/>
      <c r="D981" s="32">
        <v>5</v>
      </c>
      <c r="E981" s="32">
        <v>2</v>
      </c>
      <c r="F981" s="32">
        <v>2</v>
      </c>
      <c r="G981" s="32"/>
      <c r="H981" s="66" t="str">
        <f>'BID IV'!B206</f>
        <v>Belanja  Jasa Honorarium</v>
      </c>
      <c r="I981" s="32"/>
      <c r="J981" s="66"/>
      <c r="K981" s="32" t="s">
        <v>2994</v>
      </c>
      <c r="L981" s="1753"/>
      <c r="M981" s="1753"/>
      <c r="N981" s="1753"/>
      <c r="O981" s="1753"/>
      <c r="P981" s="1758"/>
      <c r="Q981" s="1758"/>
      <c r="R981" s="1758"/>
      <c r="S981" s="1758"/>
      <c r="T981" s="1763"/>
      <c r="U981" s="1762"/>
      <c r="V981" s="1762"/>
      <c r="W981" s="1762"/>
      <c r="X981" s="1750">
        <f t="shared" si="32"/>
        <v>0</v>
      </c>
      <c r="Y981" s="175">
        <f t="shared" si="33"/>
        <v>0</v>
      </c>
    </row>
    <row r="982" spans="1:25" ht="45" x14ac:dyDescent="0.25">
      <c r="A982" s="32"/>
      <c r="B982" s="32"/>
      <c r="C982" s="32"/>
      <c r="D982" s="32"/>
      <c r="E982" s="32"/>
      <c r="F982" s="32"/>
      <c r="G982" s="1340" t="s">
        <v>2704</v>
      </c>
      <c r="H982" s="66" t="str">
        <f>'BID IV'!B207</f>
        <v>Belanja Jasa Honorarium Ahli/Profesi/Konsultan/Narasumber</v>
      </c>
      <c r="I982" s="174">
        <f>SUM('BID IV'!F208)</f>
        <v>600000</v>
      </c>
      <c r="J982" s="66" t="s">
        <v>1682</v>
      </c>
      <c r="K982" s="32" t="s">
        <v>2994</v>
      </c>
      <c r="L982" s="1753"/>
      <c r="M982" s="1753"/>
      <c r="N982" s="1753"/>
      <c r="O982" s="1753"/>
      <c r="P982" s="1758"/>
      <c r="Q982" s="1758"/>
      <c r="R982" s="1758"/>
      <c r="S982" s="1758"/>
      <c r="T982" s="1763">
        <v>600000</v>
      </c>
      <c r="U982" s="1762"/>
      <c r="V982" s="1762"/>
      <c r="W982" s="1762"/>
      <c r="X982" s="1750">
        <f t="shared" si="32"/>
        <v>600000</v>
      </c>
      <c r="Y982" s="175">
        <f t="shared" si="33"/>
        <v>0</v>
      </c>
    </row>
    <row r="983" spans="1:25" x14ac:dyDescent="0.25">
      <c r="A983" s="1344">
        <v>4</v>
      </c>
      <c r="B983" s="1344">
        <v>3</v>
      </c>
      <c r="C983" s="1346" t="s">
        <v>2702</v>
      </c>
      <c r="D983" s="1344"/>
      <c r="E983" s="1344"/>
      <c r="F983" s="1344"/>
      <c r="G983" s="1344"/>
      <c r="H983" s="1344" t="str">
        <f>'BID IV'!B226</f>
        <v>: Pelatihan Perangkat Desa</v>
      </c>
      <c r="I983" s="1347">
        <f>SUM(I984:I991)</f>
        <v>43110000</v>
      </c>
      <c r="J983" s="1345" t="s">
        <v>1690</v>
      </c>
      <c r="K983" s="1347" t="s">
        <v>2988</v>
      </c>
      <c r="L983" s="1344"/>
      <c r="M983" s="1344"/>
      <c r="N983" s="1344"/>
      <c r="O983" s="1344"/>
      <c r="P983" s="1344"/>
      <c r="Q983" s="1344"/>
      <c r="R983" s="1344"/>
      <c r="S983" s="1344"/>
      <c r="T983" s="1344"/>
      <c r="U983" s="1344"/>
      <c r="V983" s="1344"/>
      <c r="W983" s="1344"/>
      <c r="X983" s="1353">
        <f t="shared" si="32"/>
        <v>0</v>
      </c>
      <c r="Y983" s="175">
        <f t="shared" si="33"/>
        <v>-43110000</v>
      </c>
    </row>
    <row r="984" spans="1:25" x14ac:dyDescent="0.25">
      <c r="A984" s="32"/>
      <c r="B984" s="32"/>
      <c r="C984" s="32"/>
      <c r="D984" s="32">
        <v>5</v>
      </c>
      <c r="E984" s="32">
        <v>2</v>
      </c>
      <c r="F984" s="32"/>
      <c r="G984" s="32"/>
      <c r="H984" s="66" t="str">
        <f>'BID IV'!B231</f>
        <v>Belanja Barang Dan Jasa</v>
      </c>
      <c r="I984" s="32"/>
      <c r="J984" s="66"/>
      <c r="K984" s="470" t="s">
        <v>2988</v>
      </c>
      <c r="L984" s="1753"/>
      <c r="M984" s="1753"/>
      <c r="N984" s="1753"/>
      <c r="O984" s="1753"/>
      <c r="P984" s="1758"/>
      <c r="Q984" s="1758"/>
      <c r="R984" s="1758"/>
      <c r="S984" s="1758"/>
      <c r="T984" s="1762"/>
      <c r="U984" s="1762"/>
      <c r="V984" s="1762"/>
      <c r="W984" s="1762"/>
      <c r="X984" s="1750">
        <f t="shared" si="32"/>
        <v>0</v>
      </c>
      <c r="Y984" s="175">
        <f t="shared" si="33"/>
        <v>0</v>
      </c>
    </row>
    <row r="985" spans="1:25" ht="30" x14ac:dyDescent="0.25">
      <c r="A985" s="32"/>
      <c r="B985" s="32"/>
      <c r="C985" s="32"/>
      <c r="D985" s="32"/>
      <c r="E985" s="32"/>
      <c r="F985" s="32">
        <v>1</v>
      </c>
      <c r="G985" s="32"/>
      <c r="H985" s="66" t="str">
        <f>'BID IV'!B232</f>
        <v>Belanja Barang Perlengkapan</v>
      </c>
      <c r="I985" s="32"/>
      <c r="J985" s="66"/>
      <c r="K985" s="470" t="s">
        <v>2988</v>
      </c>
      <c r="L985" s="1753"/>
      <c r="M985" s="1753"/>
      <c r="N985" s="1753"/>
      <c r="O985" s="1753"/>
      <c r="P985" s="1758"/>
      <c r="Q985" s="1758"/>
      <c r="R985" s="1758"/>
      <c r="S985" s="1758"/>
      <c r="T985" s="1762"/>
      <c r="U985" s="1762"/>
      <c r="V985" s="1762"/>
      <c r="W985" s="1762"/>
      <c r="X985" s="1750">
        <f t="shared" si="32"/>
        <v>0</v>
      </c>
      <c r="Y985" s="175">
        <f t="shared" si="33"/>
        <v>0</v>
      </c>
    </row>
    <row r="986" spans="1:25" ht="30" x14ac:dyDescent="0.25">
      <c r="A986" s="32"/>
      <c r="B986" s="32"/>
      <c r="C986" s="32"/>
      <c r="D986" s="32"/>
      <c r="E986" s="32"/>
      <c r="F986" s="32"/>
      <c r="G986" s="1340" t="s">
        <v>2705</v>
      </c>
      <c r="H986" s="66" t="str">
        <f>'BID IV'!B233</f>
        <v>Belanja Perlengkapan Barang Konsumsi</v>
      </c>
      <c r="I986" s="174">
        <f>'BID IV'!F234</f>
        <v>420000</v>
      </c>
      <c r="J986" s="66" t="s">
        <v>1690</v>
      </c>
      <c r="K986" s="470" t="s">
        <v>2988</v>
      </c>
      <c r="L986" s="1753"/>
      <c r="M986" s="1753"/>
      <c r="N986" s="1753"/>
      <c r="O986" s="1753"/>
      <c r="P986" s="1758"/>
      <c r="Q986" s="1758"/>
      <c r="R986" s="1758"/>
      <c r="S986" s="1758"/>
      <c r="T986" s="1762"/>
      <c r="U986" s="1763">
        <v>420000</v>
      </c>
      <c r="V986" s="1762"/>
      <c r="W986" s="1762"/>
      <c r="X986" s="1750">
        <f t="shared" ref="X986:X1049" si="34">SUM(L986:W986)</f>
        <v>420000</v>
      </c>
      <c r="Y986" s="175">
        <f t="shared" ref="Y986:Y1049" si="35">X986-I986</f>
        <v>0</v>
      </c>
    </row>
    <row r="987" spans="1:25" ht="30" x14ac:dyDescent="0.25">
      <c r="A987" s="32"/>
      <c r="B987" s="32"/>
      <c r="C987" s="32"/>
      <c r="D987" s="32"/>
      <c r="E987" s="32"/>
      <c r="F987" s="32"/>
      <c r="G987" s="1340" t="s">
        <v>2707</v>
      </c>
      <c r="H987" s="66" t="str">
        <f>'BID IV'!B236</f>
        <v>Belanja Bendera/ Umbul-umbul/ Spanduk</v>
      </c>
      <c r="I987" s="174">
        <f>'BID IV'!F237</f>
        <v>90000</v>
      </c>
      <c r="J987" s="66" t="s">
        <v>1690</v>
      </c>
      <c r="K987" s="470" t="s">
        <v>2988</v>
      </c>
      <c r="L987" s="1753"/>
      <c r="M987" s="1753"/>
      <c r="N987" s="1753"/>
      <c r="O987" s="1753"/>
      <c r="P987" s="1758"/>
      <c r="Q987" s="1758"/>
      <c r="R987" s="1758"/>
      <c r="S987" s="1758"/>
      <c r="T987" s="1762"/>
      <c r="U987" s="1763">
        <v>90000</v>
      </c>
      <c r="V987" s="1762"/>
      <c r="W987" s="1762"/>
      <c r="X987" s="1750">
        <f t="shared" si="34"/>
        <v>90000</v>
      </c>
      <c r="Y987" s="175">
        <f t="shared" si="35"/>
        <v>0</v>
      </c>
    </row>
    <row r="988" spans="1:25" x14ac:dyDescent="0.25">
      <c r="A988" s="32"/>
      <c r="B988" s="32"/>
      <c r="C988" s="32"/>
      <c r="D988" s="32">
        <v>5</v>
      </c>
      <c r="E988" s="32">
        <v>2</v>
      </c>
      <c r="F988" s="32">
        <v>2</v>
      </c>
      <c r="G988" s="32"/>
      <c r="H988" s="66" t="str">
        <f>'BID IV'!B239</f>
        <v>Belanja Jasa Honorarium</v>
      </c>
      <c r="I988" s="32"/>
      <c r="J988" s="66"/>
      <c r="K988" s="470" t="s">
        <v>2988</v>
      </c>
      <c r="L988" s="1753"/>
      <c r="M988" s="1753"/>
      <c r="N988" s="1753"/>
      <c r="O988" s="1753"/>
      <c r="P988" s="1758"/>
      <c r="Q988" s="1758"/>
      <c r="R988" s="1758"/>
      <c r="S988" s="1758"/>
      <c r="T988" s="1762"/>
      <c r="U988" s="1763"/>
      <c r="V988" s="1762"/>
      <c r="W988" s="1762"/>
      <c r="X988" s="1750">
        <f t="shared" si="34"/>
        <v>0</v>
      </c>
      <c r="Y988" s="175">
        <f t="shared" si="35"/>
        <v>0</v>
      </c>
    </row>
    <row r="989" spans="1:25" ht="45" x14ac:dyDescent="0.25">
      <c r="A989" s="32"/>
      <c r="B989" s="32"/>
      <c r="C989" s="32"/>
      <c r="D989" s="32"/>
      <c r="E989" s="32"/>
      <c r="F989" s="32"/>
      <c r="G989" s="1340" t="s">
        <v>2704</v>
      </c>
      <c r="H989" s="66" t="str">
        <f>'BID IV'!B240</f>
        <v>Belanja Jasa Honorarium Ahli/Profesi/Konsultan/Narasumber</v>
      </c>
      <c r="I989" s="174">
        <f>'BID IV'!F241</f>
        <v>600000</v>
      </c>
      <c r="J989" s="66" t="s">
        <v>1690</v>
      </c>
      <c r="K989" s="470" t="s">
        <v>2988</v>
      </c>
      <c r="L989" s="1753"/>
      <c r="M989" s="1753"/>
      <c r="N989" s="1753"/>
      <c r="O989" s="1753"/>
      <c r="P989" s="1758"/>
      <c r="Q989" s="1758"/>
      <c r="R989" s="1758"/>
      <c r="S989" s="1758"/>
      <c r="T989" s="1762"/>
      <c r="U989" s="1763">
        <v>600000</v>
      </c>
      <c r="V989" s="1762"/>
      <c r="W989" s="1762"/>
      <c r="X989" s="1750">
        <f t="shared" si="34"/>
        <v>600000</v>
      </c>
      <c r="Y989" s="175">
        <f t="shared" si="35"/>
        <v>0</v>
      </c>
    </row>
    <row r="990" spans="1:25" x14ac:dyDescent="0.25">
      <c r="A990" s="32"/>
      <c r="B990" s="32"/>
      <c r="C990" s="32"/>
      <c r="D990" s="32">
        <v>5</v>
      </c>
      <c r="E990" s="32">
        <v>2</v>
      </c>
      <c r="F990" s="32">
        <v>4</v>
      </c>
      <c r="G990" s="32"/>
      <c r="H990" s="66" t="str">
        <f>'BID IV'!B243</f>
        <v>Belanja Jasa Sewa</v>
      </c>
      <c r="I990" s="32"/>
      <c r="J990" s="66"/>
      <c r="K990" s="470" t="s">
        <v>2988</v>
      </c>
      <c r="L990" s="1753"/>
      <c r="M990" s="1753"/>
      <c r="N990" s="1753"/>
      <c r="O990" s="1753"/>
      <c r="P990" s="1758"/>
      <c r="Q990" s="1758"/>
      <c r="R990" s="1758"/>
      <c r="S990" s="1758"/>
      <c r="T990" s="1762"/>
      <c r="U990" s="1763"/>
      <c r="V990" s="1762"/>
      <c r="W990" s="1762"/>
      <c r="X990" s="1750">
        <f t="shared" si="34"/>
        <v>0</v>
      </c>
      <c r="Y990" s="175">
        <f t="shared" si="35"/>
        <v>0</v>
      </c>
    </row>
    <row r="991" spans="1:25" ht="30" x14ac:dyDescent="0.25">
      <c r="A991" s="32"/>
      <c r="B991" s="32"/>
      <c r="C991" s="32"/>
      <c r="D991" s="32"/>
      <c r="E991" s="32"/>
      <c r="F991" s="32"/>
      <c r="G991" s="1340" t="s">
        <v>2688</v>
      </c>
      <c r="H991" s="66" t="str">
        <f>'BID IV'!B244</f>
        <v>Belanja Jasa Sewa bangunan/gedung/ruang</v>
      </c>
      <c r="I991" s="174">
        <f>SUM('BID IV'!F245)</f>
        <v>42000000</v>
      </c>
      <c r="J991" s="66" t="s">
        <v>1690</v>
      </c>
      <c r="K991" s="470" t="s">
        <v>2988</v>
      </c>
      <c r="L991" s="1753"/>
      <c r="M991" s="1753"/>
      <c r="N991" s="1753"/>
      <c r="O991" s="1753"/>
      <c r="P991" s="1758"/>
      <c r="Q991" s="1758"/>
      <c r="R991" s="1758"/>
      <c r="S991" s="1758"/>
      <c r="T991" s="1762"/>
      <c r="U991" s="1763">
        <v>42000000</v>
      </c>
      <c r="V991" s="1762"/>
      <c r="W991" s="1762"/>
      <c r="X991" s="1750">
        <f t="shared" si="34"/>
        <v>42000000</v>
      </c>
      <c r="Y991" s="175">
        <f t="shared" si="35"/>
        <v>0</v>
      </c>
    </row>
    <row r="992" spans="1:25" ht="30" x14ac:dyDescent="0.25">
      <c r="A992" s="1344">
        <v>2</v>
      </c>
      <c r="B992" s="1344">
        <v>3</v>
      </c>
      <c r="C992" s="1346" t="s">
        <v>2703</v>
      </c>
      <c r="D992" s="1344"/>
      <c r="E992" s="1344"/>
      <c r="F992" s="1344"/>
      <c r="G992" s="1344"/>
      <c r="H992" s="1345" t="str">
        <f>'BID IV'!B266</f>
        <v>: Peningkatan Kapasitas BPD</v>
      </c>
      <c r="I992" s="1347">
        <f>SUM(I993:I1001)</f>
        <v>19120000</v>
      </c>
      <c r="J992" s="1345" t="s">
        <v>1690</v>
      </c>
      <c r="K992" s="1347" t="s">
        <v>2988</v>
      </c>
      <c r="L992" s="1344"/>
      <c r="M992" s="1344"/>
      <c r="N992" s="1344"/>
      <c r="O992" s="1344"/>
      <c r="P992" s="1344"/>
      <c r="Q992" s="1344"/>
      <c r="R992" s="1344"/>
      <c r="S992" s="1344"/>
      <c r="T992" s="1344"/>
      <c r="U992" s="1344"/>
      <c r="V992" s="1344"/>
      <c r="W992" s="1344"/>
      <c r="X992" s="1353">
        <f t="shared" si="34"/>
        <v>0</v>
      </c>
      <c r="Y992" s="175">
        <f t="shared" si="35"/>
        <v>-19120000</v>
      </c>
    </row>
    <row r="993" spans="1:25" x14ac:dyDescent="0.25">
      <c r="A993" s="32"/>
      <c r="B993" s="32"/>
      <c r="C993" s="32"/>
      <c r="D993" s="32">
        <v>5</v>
      </c>
      <c r="E993" s="32">
        <v>2</v>
      </c>
      <c r="F993" s="32"/>
      <c r="G993" s="32"/>
      <c r="H993" s="66" t="str">
        <f>'BID IV'!B271</f>
        <v>Belanja Barang dan Jasa</v>
      </c>
      <c r="I993" s="32"/>
      <c r="J993" s="66"/>
      <c r="K993" s="470" t="s">
        <v>2988</v>
      </c>
      <c r="L993" s="1753"/>
      <c r="M993" s="1753"/>
      <c r="N993" s="1753"/>
      <c r="O993" s="1753"/>
      <c r="P993" s="1758"/>
      <c r="Q993" s="1758"/>
      <c r="R993" s="1758"/>
      <c r="S993" s="1758"/>
      <c r="T993" s="1762"/>
      <c r="U993" s="1762"/>
      <c r="V993" s="1762"/>
      <c r="W993" s="1762"/>
      <c r="X993" s="1750">
        <f t="shared" si="34"/>
        <v>0</v>
      </c>
      <c r="Y993" s="175">
        <f t="shared" si="35"/>
        <v>0</v>
      </c>
    </row>
    <row r="994" spans="1:25" ht="30" x14ac:dyDescent="0.25">
      <c r="A994" s="32"/>
      <c r="B994" s="32"/>
      <c r="C994" s="32"/>
      <c r="D994" s="32"/>
      <c r="E994" s="32"/>
      <c r="F994" s="32">
        <v>1</v>
      </c>
      <c r="G994" s="32"/>
      <c r="H994" s="66" t="str">
        <f>'BID IV'!B272</f>
        <v>Belanja Barang Perlengkapan</v>
      </c>
      <c r="I994" s="32"/>
      <c r="J994" s="66"/>
      <c r="K994" s="470" t="s">
        <v>2988</v>
      </c>
      <c r="L994" s="1753"/>
      <c r="M994" s="1753"/>
      <c r="N994" s="1753"/>
      <c r="O994" s="1753"/>
      <c r="P994" s="1758"/>
      <c r="Q994" s="1758"/>
      <c r="R994" s="1758"/>
      <c r="S994" s="1758"/>
      <c r="T994" s="1762"/>
      <c r="U994" s="1762"/>
      <c r="V994" s="1762"/>
      <c r="W994" s="1762"/>
      <c r="X994" s="1750">
        <f t="shared" si="34"/>
        <v>0</v>
      </c>
      <c r="Y994" s="175">
        <f t="shared" si="35"/>
        <v>0</v>
      </c>
    </row>
    <row r="995" spans="1:25" ht="30" x14ac:dyDescent="0.25">
      <c r="A995" s="32"/>
      <c r="B995" s="32"/>
      <c r="C995" s="32"/>
      <c r="D995" s="32"/>
      <c r="E995" s="32"/>
      <c r="F995" s="32"/>
      <c r="G995" s="1340" t="s">
        <v>2705</v>
      </c>
      <c r="H995" s="66" t="str">
        <f>'BID IV'!B273</f>
        <v>Belanja Perlengkapan Barang Konsumsi</v>
      </c>
      <c r="I995" s="174">
        <f>'BID IV'!F274</f>
        <v>300000</v>
      </c>
      <c r="J995" s="66" t="s">
        <v>1690</v>
      </c>
      <c r="K995" s="470" t="s">
        <v>2988</v>
      </c>
      <c r="L995" s="1753"/>
      <c r="M995" s="1753"/>
      <c r="N995" s="1753"/>
      <c r="O995" s="1753"/>
      <c r="P995" s="1758"/>
      <c r="Q995" s="1758"/>
      <c r="R995" s="1758"/>
      <c r="S995" s="1758"/>
      <c r="T995" s="1762"/>
      <c r="U995" s="1763">
        <v>300000</v>
      </c>
      <c r="V995" s="1762"/>
      <c r="W995" s="1762"/>
      <c r="X995" s="1750">
        <f t="shared" si="34"/>
        <v>300000</v>
      </c>
      <c r="Y995" s="175">
        <f t="shared" si="35"/>
        <v>0</v>
      </c>
    </row>
    <row r="996" spans="1:25" ht="30" x14ac:dyDescent="0.25">
      <c r="A996" s="32"/>
      <c r="B996" s="32"/>
      <c r="C996" s="32"/>
      <c r="D996" s="32"/>
      <c r="E996" s="32"/>
      <c r="F996" s="32"/>
      <c r="G996" s="1340" t="s">
        <v>2707</v>
      </c>
      <c r="H996" s="66" t="str">
        <f>'BID IV'!B276</f>
        <v>Belanja Bendera/ Umbul-umbul/ Spanduk</v>
      </c>
      <c r="I996" s="174">
        <f>'BID IV'!F277</f>
        <v>90000</v>
      </c>
      <c r="J996" s="66" t="s">
        <v>1690</v>
      </c>
      <c r="K996" s="470" t="s">
        <v>2988</v>
      </c>
      <c r="L996" s="1753"/>
      <c r="M996" s="1753"/>
      <c r="N996" s="1753"/>
      <c r="O996" s="1753"/>
      <c r="P996" s="1758"/>
      <c r="Q996" s="1758"/>
      <c r="R996" s="1758"/>
      <c r="S996" s="1758"/>
      <c r="T996" s="1762"/>
      <c r="U996" s="1763">
        <v>90000</v>
      </c>
      <c r="V996" s="1762"/>
      <c r="W996" s="1762"/>
      <c r="X996" s="1750">
        <f t="shared" si="34"/>
        <v>90000</v>
      </c>
      <c r="Y996" s="175">
        <f t="shared" si="35"/>
        <v>0</v>
      </c>
    </row>
    <row r="997" spans="1:25" ht="30" x14ac:dyDescent="0.25">
      <c r="A997" s="32"/>
      <c r="B997" s="32"/>
      <c r="C997" s="32"/>
      <c r="D997" s="32"/>
      <c r="E997" s="32"/>
      <c r="F997" s="32"/>
      <c r="G997" s="32">
        <v>90</v>
      </c>
      <c r="H997" s="66" t="str">
        <f>'BID IV'!B279</f>
        <v>Belanja Upakara, Upacara dan Aci</v>
      </c>
      <c r="I997" s="174">
        <f>SUM('BID IV'!F280:F282)</f>
        <v>130000</v>
      </c>
      <c r="J997" s="66" t="s">
        <v>1690</v>
      </c>
      <c r="K997" s="470" t="s">
        <v>2988</v>
      </c>
      <c r="L997" s="1753"/>
      <c r="M997" s="1753"/>
      <c r="N997" s="1753"/>
      <c r="O997" s="1753"/>
      <c r="P997" s="1758"/>
      <c r="Q997" s="1758"/>
      <c r="R997" s="1758"/>
      <c r="S997" s="1758"/>
      <c r="T997" s="1762"/>
      <c r="U997" s="1763">
        <v>130000</v>
      </c>
      <c r="V997" s="1762"/>
      <c r="W997" s="1762"/>
      <c r="X997" s="1750">
        <f t="shared" si="34"/>
        <v>130000</v>
      </c>
      <c r="Y997" s="175">
        <f t="shared" si="35"/>
        <v>0</v>
      </c>
    </row>
    <row r="998" spans="1:25" x14ac:dyDescent="0.25">
      <c r="A998" s="32"/>
      <c r="B998" s="32"/>
      <c r="C998" s="32"/>
      <c r="D998" s="32">
        <v>5</v>
      </c>
      <c r="E998" s="32">
        <v>2</v>
      </c>
      <c r="F998" s="32">
        <v>2</v>
      </c>
      <c r="G998" s="32"/>
      <c r="H998" s="66" t="str">
        <f>'BID IV'!B284</f>
        <v>Belanja  Jasa Honorarium</v>
      </c>
      <c r="I998" s="32"/>
      <c r="J998" s="66"/>
      <c r="K998" s="470" t="s">
        <v>2988</v>
      </c>
      <c r="L998" s="1753"/>
      <c r="M998" s="1753"/>
      <c r="N998" s="1753"/>
      <c r="O998" s="1753"/>
      <c r="P998" s="1758"/>
      <c r="Q998" s="1758"/>
      <c r="R998" s="1758"/>
      <c r="S998" s="1758"/>
      <c r="T998" s="1762"/>
      <c r="U998" s="1763"/>
      <c r="V998" s="1762"/>
      <c r="W998" s="1762"/>
      <c r="X998" s="1750">
        <f t="shared" si="34"/>
        <v>0</v>
      </c>
      <c r="Y998" s="175">
        <f t="shared" si="35"/>
        <v>0</v>
      </c>
    </row>
    <row r="999" spans="1:25" ht="45" x14ac:dyDescent="0.25">
      <c r="A999" s="32"/>
      <c r="B999" s="32"/>
      <c r="C999" s="32"/>
      <c r="D999" s="32"/>
      <c r="E999" s="32"/>
      <c r="F999" s="32"/>
      <c r="G999" s="1340" t="s">
        <v>2704</v>
      </c>
      <c r="H999" s="66" t="str">
        <f>'BID IV'!B285</f>
        <v>Belanja Jasa Honorarium Ahli/Profesi/Konsultan/Narasumber</v>
      </c>
      <c r="I999" s="174">
        <f>'BID IV'!F286</f>
        <v>600000</v>
      </c>
      <c r="J999" s="66" t="s">
        <v>1690</v>
      </c>
      <c r="K999" s="470" t="s">
        <v>2988</v>
      </c>
      <c r="L999" s="1753"/>
      <c r="M999" s="1753"/>
      <c r="N999" s="1753"/>
      <c r="O999" s="1753"/>
      <c r="P999" s="1758"/>
      <c r="Q999" s="1758"/>
      <c r="R999" s="1758"/>
      <c r="S999" s="1758"/>
      <c r="T999" s="1762"/>
      <c r="U999" s="1763">
        <v>600000</v>
      </c>
      <c r="V999" s="1762"/>
      <c r="W999" s="1762"/>
      <c r="X999" s="1750">
        <f t="shared" si="34"/>
        <v>600000</v>
      </c>
      <c r="Y999" s="175">
        <f t="shared" si="35"/>
        <v>0</v>
      </c>
    </row>
    <row r="1000" spans="1:25" x14ac:dyDescent="0.25">
      <c r="A1000" s="32"/>
      <c r="B1000" s="32"/>
      <c r="C1000" s="32"/>
      <c r="D1000" s="32">
        <v>5</v>
      </c>
      <c r="E1000" s="32">
        <v>2</v>
      </c>
      <c r="F1000" s="32">
        <v>4</v>
      </c>
      <c r="G1000" s="32"/>
      <c r="H1000" s="66" t="str">
        <f>'BID IV'!B287</f>
        <v>Belanja Jasa Sewa</v>
      </c>
      <c r="I1000" s="32"/>
      <c r="J1000" s="66"/>
      <c r="K1000" s="470" t="s">
        <v>2988</v>
      </c>
      <c r="L1000" s="1753"/>
      <c r="M1000" s="1753"/>
      <c r="N1000" s="1753"/>
      <c r="O1000" s="1753"/>
      <c r="P1000" s="1758"/>
      <c r="Q1000" s="1758"/>
      <c r="R1000" s="1758"/>
      <c r="S1000" s="1758"/>
      <c r="T1000" s="1762"/>
      <c r="U1000" s="1763"/>
      <c r="V1000" s="1762"/>
      <c r="W1000" s="1762"/>
      <c r="X1000" s="1750">
        <f t="shared" si="34"/>
        <v>0</v>
      </c>
      <c r="Y1000" s="175">
        <f t="shared" si="35"/>
        <v>0</v>
      </c>
    </row>
    <row r="1001" spans="1:25" ht="30" x14ac:dyDescent="0.25">
      <c r="A1001" s="32"/>
      <c r="B1001" s="32"/>
      <c r="C1001" s="32"/>
      <c r="D1001" s="32"/>
      <c r="E1001" s="32"/>
      <c r="F1001" s="32"/>
      <c r="G1001" s="1340" t="s">
        <v>2703</v>
      </c>
      <c r="H1001" s="66" t="str">
        <f>'BID IV'!B288</f>
        <v>Belanja Jasa Sewa bangunan/gedung/ruang</v>
      </c>
      <c r="I1001" s="174">
        <f>SUM('BID IV'!F289)</f>
        <v>18000000</v>
      </c>
      <c r="J1001" s="66" t="s">
        <v>1690</v>
      </c>
      <c r="K1001" s="470" t="s">
        <v>2988</v>
      </c>
      <c r="L1001" s="1753"/>
      <c r="M1001" s="1753"/>
      <c r="N1001" s="1753"/>
      <c r="O1001" s="1753"/>
      <c r="P1001" s="1758"/>
      <c r="Q1001" s="1758"/>
      <c r="R1001" s="1758"/>
      <c r="S1001" s="1758"/>
      <c r="T1001" s="1762"/>
      <c r="U1001" s="1763">
        <v>18000000</v>
      </c>
      <c r="V1001" s="1762"/>
      <c r="W1001" s="1762"/>
      <c r="X1001" s="1750">
        <f t="shared" si="34"/>
        <v>18000000</v>
      </c>
      <c r="Y1001" s="175">
        <f t="shared" si="35"/>
        <v>0</v>
      </c>
    </row>
    <row r="1002" spans="1:25" ht="30" x14ac:dyDescent="0.25">
      <c r="A1002" s="1344">
        <v>4</v>
      </c>
      <c r="B1002" s="1344">
        <v>3</v>
      </c>
      <c r="C1002" s="1346" t="s">
        <v>2702</v>
      </c>
      <c r="D1002" s="1344"/>
      <c r="E1002" s="1344"/>
      <c r="F1002" s="1344"/>
      <c r="G1002" s="1344"/>
      <c r="H1002" s="1345" t="str">
        <f>'BID IV'!B306</f>
        <v>: Pelatihan PKPKD, PPKD dan TPK</v>
      </c>
      <c r="I1002" s="1347">
        <f>SUM(I1003:I1009)</f>
        <v>1655000</v>
      </c>
      <c r="J1002" s="1345" t="s">
        <v>2627</v>
      </c>
      <c r="K1002" s="1344" t="s">
        <v>2994</v>
      </c>
      <c r="L1002" s="1344"/>
      <c r="M1002" s="1344"/>
      <c r="N1002" s="1344"/>
      <c r="O1002" s="1344"/>
      <c r="P1002" s="1344"/>
      <c r="Q1002" s="1344"/>
      <c r="R1002" s="1344"/>
      <c r="S1002" s="1344"/>
      <c r="T1002" s="1344"/>
      <c r="U1002" s="1344"/>
      <c r="V1002" s="1344"/>
      <c r="W1002" s="1344"/>
      <c r="X1002" s="1353">
        <f t="shared" si="34"/>
        <v>0</v>
      </c>
      <c r="Y1002" s="175">
        <f t="shared" si="35"/>
        <v>-1655000</v>
      </c>
    </row>
    <row r="1003" spans="1:25" x14ac:dyDescent="0.25">
      <c r="A1003" s="32"/>
      <c r="B1003" s="32"/>
      <c r="C1003" s="32"/>
      <c r="D1003" s="32">
        <v>5</v>
      </c>
      <c r="E1003" s="32">
        <v>2</v>
      </c>
      <c r="F1003" s="32"/>
      <c r="G1003" s="32"/>
      <c r="H1003" s="66" t="str">
        <f>'BID IV'!B312</f>
        <v>Belanja Barang dan Jasa</v>
      </c>
      <c r="I1003" s="32"/>
      <c r="J1003" s="66"/>
      <c r="K1003" s="32" t="s">
        <v>2994</v>
      </c>
      <c r="L1003" s="1753"/>
      <c r="M1003" s="1753"/>
      <c r="N1003" s="1753"/>
      <c r="O1003" s="1753"/>
      <c r="P1003" s="1758"/>
      <c r="Q1003" s="1758"/>
      <c r="R1003" s="1758"/>
      <c r="S1003" s="1758"/>
      <c r="T1003" s="1762"/>
      <c r="U1003" s="1762"/>
      <c r="V1003" s="1762"/>
      <c r="W1003" s="1762"/>
      <c r="X1003" s="1750">
        <f t="shared" si="34"/>
        <v>0</v>
      </c>
      <c r="Y1003" s="175">
        <f t="shared" si="35"/>
        <v>0</v>
      </c>
    </row>
    <row r="1004" spans="1:25" ht="30" x14ac:dyDescent="0.25">
      <c r="A1004" s="32"/>
      <c r="B1004" s="32"/>
      <c r="C1004" s="32"/>
      <c r="D1004" s="32"/>
      <c r="E1004" s="32"/>
      <c r="F1004" s="32">
        <v>1</v>
      </c>
      <c r="G1004" s="32"/>
      <c r="H1004" s="66" t="str">
        <f>'BID IV'!B313</f>
        <v>Belanja Barang Perlengkapan</v>
      </c>
      <c r="I1004" s="32"/>
      <c r="J1004" s="66"/>
      <c r="K1004" s="32" t="s">
        <v>2994</v>
      </c>
      <c r="L1004" s="1753"/>
      <c r="M1004" s="1753"/>
      <c r="N1004" s="1753"/>
      <c r="O1004" s="1753"/>
      <c r="P1004" s="1758"/>
      <c r="Q1004" s="1758"/>
      <c r="R1004" s="1758"/>
      <c r="S1004" s="1758"/>
      <c r="T1004" s="1762"/>
      <c r="U1004" s="1762"/>
      <c r="V1004" s="1762"/>
      <c r="W1004" s="1762"/>
      <c r="X1004" s="1750">
        <f t="shared" si="34"/>
        <v>0</v>
      </c>
      <c r="Y1004" s="175">
        <f t="shared" si="35"/>
        <v>0</v>
      </c>
    </row>
    <row r="1005" spans="1:25" ht="30" x14ac:dyDescent="0.25">
      <c r="A1005" s="32"/>
      <c r="B1005" s="32"/>
      <c r="C1005" s="32"/>
      <c r="D1005" s="32"/>
      <c r="E1005" s="32"/>
      <c r="F1005" s="32"/>
      <c r="G1005" s="1340" t="s">
        <v>2705</v>
      </c>
      <c r="H1005" s="66" t="str">
        <f>'BID IV'!B314</f>
        <v>Belanja Perlengkapan Barang Konsumsi</v>
      </c>
      <c r="I1005" s="174">
        <f>SUM('BID IV'!F315)</f>
        <v>900000</v>
      </c>
      <c r="J1005" s="66" t="s">
        <v>2627</v>
      </c>
      <c r="K1005" s="32" t="s">
        <v>2994</v>
      </c>
      <c r="L1005" s="1753"/>
      <c r="M1005" s="1754">
        <v>900000</v>
      </c>
      <c r="N1005" s="1753"/>
      <c r="O1005" s="1753"/>
      <c r="P1005" s="1758"/>
      <c r="Q1005" s="1758"/>
      <c r="R1005" s="1758"/>
      <c r="S1005" s="1758"/>
      <c r="T1005" s="1762"/>
      <c r="U1005" s="1762"/>
      <c r="V1005" s="1762"/>
      <c r="W1005" s="1762"/>
      <c r="X1005" s="1750">
        <f t="shared" si="34"/>
        <v>900000</v>
      </c>
      <c r="Y1005" s="175">
        <f t="shared" si="35"/>
        <v>0</v>
      </c>
    </row>
    <row r="1006" spans="1:25" ht="30" x14ac:dyDescent="0.25">
      <c r="A1006" s="32"/>
      <c r="B1006" s="32"/>
      <c r="C1006" s="32"/>
      <c r="D1006" s="32"/>
      <c r="E1006" s="32"/>
      <c r="F1006" s="32"/>
      <c r="G1006" s="1340" t="s">
        <v>2707</v>
      </c>
      <c r="H1006" s="66" t="str">
        <f>'BID IV'!B317</f>
        <v>Belanja Bendera/ Umbul-umbul/ Spanduk</v>
      </c>
      <c r="I1006" s="174">
        <f>'BID IV'!F318</f>
        <v>90000</v>
      </c>
      <c r="J1006" s="66" t="s">
        <v>2627</v>
      </c>
      <c r="K1006" s="32" t="s">
        <v>2994</v>
      </c>
      <c r="L1006" s="1753"/>
      <c r="M1006" s="1754">
        <v>90000</v>
      </c>
      <c r="N1006" s="1753"/>
      <c r="O1006" s="1753"/>
      <c r="P1006" s="1758"/>
      <c r="Q1006" s="1758"/>
      <c r="R1006" s="1758"/>
      <c r="S1006" s="1758"/>
      <c r="T1006" s="1762"/>
      <c r="U1006" s="1762"/>
      <c r="V1006" s="1762"/>
      <c r="W1006" s="1762"/>
      <c r="X1006" s="1750">
        <f t="shared" si="34"/>
        <v>90000</v>
      </c>
      <c r="Y1006" s="175">
        <f t="shared" si="35"/>
        <v>0</v>
      </c>
    </row>
    <row r="1007" spans="1:25" ht="30" x14ac:dyDescent="0.25">
      <c r="A1007" s="32"/>
      <c r="B1007" s="32"/>
      <c r="C1007" s="32"/>
      <c r="D1007" s="32"/>
      <c r="E1007" s="32"/>
      <c r="F1007" s="32"/>
      <c r="G1007" s="32">
        <v>90</v>
      </c>
      <c r="H1007" s="66" t="str">
        <f>'BID IV'!B320</f>
        <v>Belanja Upakara, Upacara dan Aci</v>
      </c>
      <c r="I1007" s="174">
        <f>SUM('BID IV'!F321:F323)</f>
        <v>65000</v>
      </c>
      <c r="J1007" s="66" t="s">
        <v>2627</v>
      </c>
      <c r="K1007" s="32" t="s">
        <v>2994</v>
      </c>
      <c r="L1007" s="1753"/>
      <c r="M1007" s="1754">
        <v>65000</v>
      </c>
      <c r="N1007" s="1753"/>
      <c r="O1007" s="1753"/>
      <c r="P1007" s="1758"/>
      <c r="Q1007" s="1758"/>
      <c r="R1007" s="1758"/>
      <c r="S1007" s="1758"/>
      <c r="T1007" s="1762"/>
      <c r="U1007" s="1762"/>
      <c r="V1007" s="1762"/>
      <c r="W1007" s="1762"/>
      <c r="X1007" s="1750">
        <f t="shared" si="34"/>
        <v>65000</v>
      </c>
      <c r="Y1007" s="175">
        <f t="shared" si="35"/>
        <v>0</v>
      </c>
    </row>
    <row r="1008" spans="1:25" x14ac:dyDescent="0.25">
      <c r="A1008" s="32"/>
      <c r="B1008" s="32"/>
      <c r="C1008" s="32"/>
      <c r="D1008" s="32">
        <v>5</v>
      </c>
      <c r="E1008" s="32">
        <v>2</v>
      </c>
      <c r="F1008" s="32">
        <v>2</v>
      </c>
      <c r="G1008" s="32"/>
      <c r="H1008" s="66" t="str">
        <f>'BID IV'!B325</f>
        <v>Belanja  Jasa Honorarium</v>
      </c>
      <c r="I1008" s="32"/>
      <c r="J1008" s="66"/>
      <c r="K1008" s="32" t="s">
        <v>2994</v>
      </c>
      <c r="L1008" s="1753"/>
      <c r="M1008" s="1754"/>
      <c r="N1008" s="1753"/>
      <c r="O1008" s="1753"/>
      <c r="P1008" s="1758"/>
      <c r="Q1008" s="1758"/>
      <c r="R1008" s="1758"/>
      <c r="S1008" s="1758"/>
      <c r="T1008" s="1762"/>
      <c r="U1008" s="1762"/>
      <c r="V1008" s="1762"/>
      <c r="W1008" s="1762"/>
      <c r="X1008" s="1750">
        <f t="shared" si="34"/>
        <v>0</v>
      </c>
      <c r="Y1008" s="175">
        <f t="shared" si="35"/>
        <v>0</v>
      </c>
    </row>
    <row r="1009" spans="1:25" ht="45" x14ac:dyDescent="0.25">
      <c r="A1009" s="32"/>
      <c r="B1009" s="32"/>
      <c r="C1009" s="32"/>
      <c r="D1009" s="32"/>
      <c r="E1009" s="32"/>
      <c r="F1009" s="32"/>
      <c r="G1009" s="1340" t="s">
        <v>2704</v>
      </c>
      <c r="H1009" s="66" t="str">
        <f>'BID IV'!B326</f>
        <v>Belanja Jasa Honorarium Ahli/Profesi/Konsultan/Narasumber</v>
      </c>
      <c r="I1009" s="174">
        <f>'BID IV'!F327</f>
        <v>600000</v>
      </c>
      <c r="J1009" s="66" t="s">
        <v>2627</v>
      </c>
      <c r="K1009" s="32" t="s">
        <v>2994</v>
      </c>
      <c r="L1009" s="1753"/>
      <c r="M1009" s="1754">
        <v>600000</v>
      </c>
      <c r="N1009" s="1753"/>
      <c r="O1009" s="1753"/>
      <c r="P1009" s="1758"/>
      <c r="Q1009" s="1758"/>
      <c r="R1009" s="1758"/>
      <c r="S1009" s="1758"/>
      <c r="T1009" s="1762"/>
      <c r="U1009" s="1762"/>
      <c r="V1009" s="1762"/>
      <c r="W1009" s="1762"/>
      <c r="X1009" s="1750">
        <f t="shared" si="34"/>
        <v>600000</v>
      </c>
      <c r="Y1009" s="175">
        <f t="shared" si="35"/>
        <v>0</v>
      </c>
    </row>
    <row r="1010" spans="1:25" ht="60" x14ac:dyDescent="0.25">
      <c r="A1010" s="1344">
        <v>4</v>
      </c>
      <c r="B1010" s="1344">
        <v>4</v>
      </c>
      <c r="C1010" s="1346" t="s">
        <v>2688</v>
      </c>
      <c r="D1010" s="1344"/>
      <c r="E1010" s="1344"/>
      <c r="F1010" s="1344"/>
      <c r="G1010" s="1344"/>
      <c r="H1010" s="1345" t="str">
        <f>'BID IV'!B344</f>
        <v>:Pelatihan/Penyuluhan Pemberdayaan Perempuan (Pembinaan Kelompok P2WKSS)</v>
      </c>
      <c r="I1010" s="1347">
        <f>SUM(I1011:I1018)</f>
        <v>1227000</v>
      </c>
      <c r="J1010" s="1345" t="s">
        <v>2625</v>
      </c>
      <c r="K1010" s="1347" t="s">
        <v>3031</v>
      </c>
      <c r="L1010" s="1349"/>
      <c r="M1010" s="1344"/>
      <c r="N1010" s="1344"/>
      <c r="O1010" s="1344"/>
      <c r="P1010" s="1344"/>
      <c r="Q1010" s="1344"/>
      <c r="R1010" s="1344"/>
      <c r="S1010" s="1344"/>
      <c r="T1010" s="1344"/>
      <c r="U1010" s="1344"/>
      <c r="V1010" s="1344"/>
      <c r="W1010" s="1344"/>
      <c r="X1010" s="1353">
        <f t="shared" si="34"/>
        <v>0</v>
      </c>
      <c r="Y1010" s="175">
        <f t="shared" si="35"/>
        <v>-1227000</v>
      </c>
    </row>
    <row r="1011" spans="1:25" x14ac:dyDescent="0.25">
      <c r="A1011" s="32"/>
      <c r="B1011" s="32"/>
      <c r="C1011" s="32"/>
      <c r="D1011" s="32">
        <v>5</v>
      </c>
      <c r="E1011" s="32">
        <v>2</v>
      </c>
      <c r="F1011" s="32"/>
      <c r="G1011" s="32"/>
      <c r="H1011" s="66" t="str">
        <f>'BID IV'!B350</f>
        <v>Belanja Barang Jasa</v>
      </c>
      <c r="I1011" s="32"/>
      <c r="J1011" s="66"/>
      <c r="K1011" s="470" t="s">
        <v>3031</v>
      </c>
      <c r="L1011" s="1753"/>
      <c r="M1011" s="1753"/>
      <c r="N1011" s="1753"/>
      <c r="O1011" s="1753"/>
      <c r="P1011" s="1758"/>
      <c r="Q1011" s="1758"/>
      <c r="R1011" s="1758"/>
      <c r="S1011" s="1758"/>
      <c r="T1011" s="1762"/>
      <c r="U1011" s="1762"/>
      <c r="V1011" s="1762"/>
      <c r="W1011" s="1762"/>
      <c r="X1011" s="1750">
        <f t="shared" si="34"/>
        <v>0</v>
      </c>
      <c r="Y1011" s="175">
        <f t="shared" si="35"/>
        <v>0</v>
      </c>
    </row>
    <row r="1012" spans="1:25" ht="30" x14ac:dyDescent="0.25">
      <c r="A1012" s="32"/>
      <c r="B1012" s="32"/>
      <c r="C1012" s="32"/>
      <c r="D1012" s="32"/>
      <c r="E1012" s="32"/>
      <c r="F1012" s="32">
        <v>1</v>
      </c>
      <c r="G1012" s="32"/>
      <c r="H1012" s="66" t="str">
        <f>'BID IV'!B351</f>
        <v>Belanja Barang Perlengkapan</v>
      </c>
      <c r="I1012" s="32"/>
      <c r="J1012" s="66"/>
      <c r="K1012" s="470" t="s">
        <v>3031</v>
      </c>
      <c r="L1012" s="1753"/>
      <c r="M1012" s="1753"/>
      <c r="N1012" s="1753"/>
      <c r="O1012" s="1753"/>
      <c r="P1012" s="1758"/>
      <c r="Q1012" s="1758"/>
      <c r="R1012" s="1758"/>
      <c r="S1012" s="1758"/>
      <c r="T1012" s="1762"/>
      <c r="U1012" s="1762"/>
      <c r="V1012" s="1762"/>
      <c r="W1012" s="1762"/>
      <c r="X1012" s="1750">
        <f t="shared" si="34"/>
        <v>0</v>
      </c>
      <c r="Y1012" s="175">
        <f t="shared" si="35"/>
        <v>0</v>
      </c>
    </row>
    <row r="1013" spans="1:25" ht="30" x14ac:dyDescent="0.25">
      <c r="A1013" s="32"/>
      <c r="B1013" s="32"/>
      <c r="C1013" s="32"/>
      <c r="D1013" s="32"/>
      <c r="E1013" s="32"/>
      <c r="F1013" s="32"/>
      <c r="G1013" s="1340" t="s">
        <v>2688</v>
      </c>
      <c r="H1013" s="66" t="str">
        <f>'BID IV'!B352</f>
        <v>Belanja Alat Tulis Kantor dan Benda Pos</v>
      </c>
      <c r="I1013" s="174">
        <f>SUM('BID IV'!F353:F356)</f>
        <v>87000</v>
      </c>
      <c r="J1013" s="66" t="s">
        <v>2625</v>
      </c>
      <c r="K1013" s="470" t="s">
        <v>3031</v>
      </c>
      <c r="L1013" s="1753"/>
      <c r="M1013" s="1753"/>
      <c r="N1013" s="1753"/>
      <c r="O1013" s="1753"/>
      <c r="P1013" s="1758"/>
      <c r="Q1013" s="1758"/>
      <c r="R1013" s="1758"/>
      <c r="S1013" s="1758"/>
      <c r="T1013" s="1763">
        <v>87000</v>
      </c>
      <c r="U1013" s="1762"/>
      <c r="V1013" s="1762"/>
      <c r="W1013" s="1762"/>
      <c r="X1013" s="1750">
        <f t="shared" si="34"/>
        <v>87000</v>
      </c>
      <c r="Y1013" s="175">
        <f t="shared" si="35"/>
        <v>0</v>
      </c>
    </row>
    <row r="1014" spans="1:25" ht="30" x14ac:dyDescent="0.25">
      <c r="A1014" s="32"/>
      <c r="B1014" s="32"/>
      <c r="C1014" s="32"/>
      <c r="D1014" s="32"/>
      <c r="E1014" s="32"/>
      <c r="F1014" s="32"/>
      <c r="G1014" s="1340" t="s">
        <v>2705</v>
      </c>
      <c r="H1014" s="66" t="str">
        <f>'BID IV'!B357</f>
        <v>Belanja Perlengkapan Barang Konsumsi</v>
      </c>
      <c r="I1014" s="513">
        <f>SUM('BID IV'!F358)</f>
        <v>450000</v>
      </c>
      <c r="J1014" s="66" t="s">
        <v>2625</v>
      </c>
      <c r="K1014" s="470" t="s">
        <v>3031</v>
      </c>
      <c r="L1014" s="1753"/>
      <c r="M1014" s="1753"/>
      <c r="N1014" s="1753"/>
      <c r="O1014" s="1753"/>
      <c r="P1014" s="1758"/>
      <c r="Q1014" s="1758"/>
      <c r="R1014" s="1758"/>
      <c r="S1014" s="1758"/>
      <c r="T1014" s="1763">
        <v>450000</v>
      </c>
      <c r="U1014" s="1762"/>
      <c r="V1014" s="1762"/>
      <c r="W1014" s="1762"/>
      <c r="X1014" s="1750">
        <f t="shared" si="34"/>
        <v>450000</v>
      </c>
      <c r="Y1014" s="175">
        <f t="shared" si="35"/>
        <v>0</v>
      </c>
    </row>
    <row r="1015" spans="1:25" x14ac:dyDescent="0.25">
      <c r="A1015" s="32"/>
      <c r="B1015" s="32"/>
      <c r="C1015" s="32"/>
      <c r="D1015" s="32"/>
      <c r="E1015" s="32"/>
      <c r="F1015" s="32"/>
      <c r="G1015" s="1340" t="s">
        <v>2708</v>
      </c>
      <c r="H1015" s="66" t="str">
        <f>'BID IV'!B359</f>
        <v>Belanaja Bahan/Material</v>
      </c>
      <c r="I1015" s="32"/>
      <c r="J1015" s="66"/>
      <c r="K1015" s="470" t="s">
        <v>3031</v>
      </c>
      <c r="L1015" s="1753"/>
      <c r="M1015" s="1753"/>
      <c r="N1015" s="1753"/>
      <c r="O1015" s="1753"/>
      <c r="P1015" s="1758"/>
      <c r="Q1015" s="1758"/>
      <c r="R1015" s="1758"/>
      <c r="S1015" s="1758"/>
      <c r="T1015" s="1763"/>
      <c r="U1015" s="1762"/>
      <c r="V1015" s="1762"/>
      <c r="W1015" s="1762"/>
      <c r="X1015" s="1750">
        <f t="shared" si="34"/>
        <v>0</v>
      </c>
      <c r="Y1015" s="175">
        <f t="shared" si="35"/>
        <v>0</v>
      </c>
    </row>
    <row r="1016" spans="1:25" ht="30" x14ac:dyDescent="0.25">
      <c r="A1016" s="32"/>
      <c r="B1016" s="32"/>
      <c r="C1016" s="32"/>
      <c r="D1016" s="32"/>
      <c r="E1016" s="32"/>
      <c r="F1016" s="32"/>
      <c r="G1016" s="1340" t="s">
        <v>2707</v>
      </c>
      <c r="H1016" s="66" t="str">
        <f>'BID IV'!B360</f>
        <v>Belanja Bendera/ Umbul-umbul/ Spanduk</v>
      </c>
      <c r="I1016" s="513">
        <f>'BID IV'!F361</f>
        <v>90000</v>
      </c>
      <c r="J1016" s="66" t="s">
        <v>2625</v>
      </c>
      <c r="K1016" s="470" t="s">
        <v>3031</v>
      </c>
      <c r="L1016" s="1753"/>
      <c r="M1016" s="1753"/>
      <c r="N1016" s="1753"/>
      <c r="O1016" s="1753"/>
      <c r="P1016" s="1758"/>
      <c r="Q1016" s="1758"/>
      <c r="R1016" s="1758"/>
      <c r="S1016" s="1758"/>
      <c r="T1016" s="1763">
        <v>90000</v>
      </c>
      <c r="U1016" s="1762"/>
      <c r="V1016" s="1762"/>
      <c r="W1016" s="1762"/>
      <c r="X1016" s="1750">
        <f t="shared" si="34"/>
        <v>90000</v>
      </c>
      <c r="Y1016" s="175">
        <f t="shared" si="35"/>
        <v>0</v>
      </c>
    </row>
    <row r="1017" spans="1:25" x14ac:dyDescent="0.25">
      <c r="A1017" s="32"/>
      <c r="B1017" s="32"/>
      <c r="C1017" s="32"/>
      <c r="D1017" s="32">
        <v>5</v>
      </c>
      <c r="E1017" s="32">
        <v>2</v>
      </c>
      <c r="F1017" s="32">
        <v>2</v>
      </c>
      <c r="G1017" s="32"/>
      <c r="H1017" s="32" t="str">
        <f>'BID IV'!B362</f>
        <v>Belanja Jasa Honorarium</v>
      </c>
      <c r="I1017" s="32"/>
      <c r="J1017" s="66"/>
      <c r="K1017" s="470" t="s">
        <v>3031</v>
      </c>
      <c r="L1017" s="1753"/>
      <c r="M1017" s="1753"/>
      <c r="N1017" s="1753"/>
      <c r="O1017" s="1753"/>
      <c r="P1017" s="1758"/>
      <c r="Q1017" s="1758"/>
      <c r="R1017" s="1758"/>
      <c r="S1017" s="1758"/>
      <c r="T1017" s="1763"/>
      <c r="U1017" s="1762"/>
      <c r="V1017" s="1762"/>
      <c r="W1017" s="1762"/>
      <c r="X1017" s="1750">
        <f t="shared" si="34"/>
        <v>0</v>
      </c>
      <c r="Y1017" s="175">
        <f t="shared" si="35"/>
        <v>0</v>
      </c>
    </row>
    <row r="1018" spans="1:25" ht="60" x14ac:dyDescent="0.25">
      <c r="A1018" s="32"/>
      <c r="B1018" s="32"/>
      <c r="C1018" s="32"/>
      <c r="D1018" s="32"/>
      <c r="E1018" s="32"/>
      <c r="F1018" s="32"/>
      <c r="G1018" s="1340" t="s">
        <v>2704</v>
      </c>
      <c r="H1018" s="66" t="str">
        <f>'BID IV'!B363</f>
        <v>Belanja Jasa Honorarium Ahli/ Profesi/Konsultan/Narasumber</v>
      </c>
      <c r="I1018" s="513">
        <f>SUM('BID IV'!F364)</f>
        <v>600000</v>
      </c>
      <c r="J1018" s="66" t="s">
        <v>2625</v>
      </c>
      <c r="K1018" s="470" t="s">
        <v>3031</v>
      </c>
      <c r="L1018" s="1753"/>
      <c r="M1018" s="1753"/>
      <c r="N1018" s="1753"/>
      <c r="O1018" s="1753"/>
      <c r="P1018" s="1758"/>
      <c r="Q1018" s="1758"/>
      <c r="R1018" s="1758"/>
      <c r="S1018" s="1758"/>
      <c r="T1018" s="1763">
        <v>600000</v>
      </c>
      <c r="U1018" s="1762"/>
      <c r="V1018" s="1762"/>
      <c r="W1018" s="1762"/>
      <c r="X1018" s="1750">
        <f t="shared" si="34"/>
        <v>600000</v>
      </c>
      <c r="Y1018" s="175">
        <f t="shared" si="35"/>
        <v>0</v>
      </c>
    </row>
    <row r="1019" spans="1:25" ht="90" x14ac:dyDescent="0.25">
      <c r="A1019" s="1344">
        <v>4</v>
      </c>
      <c r="B1019" s="1344">
        <v>6</v>
      </c>
      <c r="C1019" s="1346" t="s">
        <v>2702</v>
      </c>
      <c r="D1019" s="1344"/>
      <c r="E1019" s="1344"/>
      <c r="F1019" s="1344"/>
      <c r="G1019" s="1344"/>
      <c r="H1019" s="1345" t="str">
        <f>'BID IV'!B381</f>
        <v>: Pengembangan sarana dan prasarana usaha mikro, kecil dan menengah serta koprasi  (Pelatihan Management BUMDes)</v>
      </c>
      <c r="I1019" s="1347">
        <f>SUM(I1020:I1026)</f>
        <v>1205000</v>
      </c>
      <c r="J1019" s="1345" t="s">
        <v>1682</v>
      </c>
      <c r="K1019" s="1796" t="s">
        <v>3030</v>
      </c>
      <c r="L1019" s="1344"/>
      <c r="M1019" s="1344"/>
      <c r="N1019" s="1344"/>
      <c r="O1019" s="1344"/>
      <c r="P1019" s="1344"/>
      <c r="Q1019" s="1344"/>
      <c r="R1019" s="1344"/>
      <c r="S1019" s="1344"/>
      <c r="T1019" s="1344"/>
      <c r="U1019" s="1344"/>
      <c r="V1019" s="1344"/>
      <c r="W1019" s="1344"/>
      <c r="X1019" s="1353">
        <f t="shared" si="34"/>
        <v>0</v>
      </c>
      <c r="Y1019" s="175">
        <f t="shared" si="35"/>
        <v>-1205000</v>
      </c>
    </row>
    <row r="1020" spans="1:25" ht="30" x14ac:dyDescent="0.25">
      <c r="A1020" s="32"/>
      <c r="B1020" s="32"/>
      <c r="C1020" s="32"/>
      <c r="D1020" s="32">
        <v>5</v>
      </c>
      <c r="E1020" s="32">
        <v>2</v>
      </c>
      <c r="F1020" s="32"/>
      <c r="G1020" s="32"/>
      <c r="H1020" s="66" t="str">
        <f>'BID IV'!B387</f>
        <v>Belanja Barang Dan Jasa</v>
      </c>
      <c r="I1020" s="32"/>
      <c r="J1020" s="66"/>
      <c r="K1020" s="851" t="s">
        <v>3030</v>
      </c>
      <c r="L1020" s="1753"/>
      <c r="M1020" s="1753"/>
      <c r="N1020" s="1753"/>
      <c r="O1020" s="1753"/>
      <c r="P1020" s="1758"/>
      <c r="Q1020" s="1758"/>
      <c r="R1020" s="1758"/>
      <c r="S1020" s="1758"/>
      <c r="T1020" s="1762"/>
      <c r="U1020" s="1762"/>
      <c r="V1020" s="1762"/>
      <c r="W1020" s="1762"/>
      <c r="X1020" s="1750">
        <f t="shared" si="34"/>
        <v>0</v>
      </c>
      <c r="Y1020" s="175">
        <f t="shared" si="35"/>
        <v>0</v>
      </c>
    </row>
    <row r="1021" spans="1:25" ht="30" x14ac:dyDescent="0.25">
      <c r="A1021" s="32"/>
      <c r="B1021" s="32"/>
      <c r="C1021" s="32"/>
      <c r="D1021" s="32"/>
      <c r="E1021" s="32"/>
      <c r="F1021" s="32">
        <v>1</v>
      </c>
      <c r="G1021" s="32"/>
      <c r="H1021" s="66" t="str">
        <f>'BID IV'!B388</f>
        <v>Belanja Barang Perlengkapan</v>
      </c>
      <c r="I1021" s="32"/>
      <c r="J1021" s="66"/>
      <c r="K1021" s="851" t="s">
        <v>3030</v>
      </c>
      <c r="L1021" s="1753"/>
      <c r="M1021" s="1753"/>
      <c r="N1021" s="1753"/>
      <c r="O1021" s="1753"/>
      <c r="P1021" s="1758"/>
      <c r="Q1021" s="1758"/>
      <c r="R1021" s="1758"/>
      <c r="S1021" s="1758"/>
      <c r="T1021" s="1762"/>
      <c r="U1021" s="1762"/>
      <c r="V1021" s="1762"/>
      <c r="W1021" s="1762"/>
      <c r="X1021" s="1750">
        <f t="shared" si="34"/>
        <v>0</v>
      </c>
      <c r="Y1021" s="175">
        <f t="shared" si="35"/>
        <v>0</v>
      </c>
    </row>
    <row r="1022" spans="1:25" ht="30" x14ac:dyDescent="0.25">
      <c r="A1022" s="32"/>
      <c r="B1022" s="32"/>
      <c r="C1022" s="32"/>
      <c r="D1022" s="32"/>
      <c r="E1022" s="32"/>
      <c r="F1022" s="32"/>
      <c r="G1022" s="1340" t="s">
        <v>2705</v>
      </c>
      <c r="H1022" s="66" t="str">
        <f>'BID IV'!B389</f>
        <v>Belanja Perlengkapan Barang Konsumsi</v>
      </c>
      <c r="I1022" s="174">
        <f>SUM('BID IV'!F390)</f>
        <v>450000</v>
      </c>
      <c r="J1022" s="66" t="s">
        <v>1682</v>
      </c>
      <c r="K1022" s="851" t="s">
        <v>3030</v>
      </c>
      <c r="L1022" s="1753"/>
      <c r="M1022" s="1753"/>
      <c r="N1022" s="1753"/>
      <c r="O1022" s="1753"/>
      <c r="P1022" s="1758"/>
      <c r="Q1022" s="1758"/>
      <c r="R1022" s="1758"/>
      <c r="S1022" s="1758"/>
      <c r="T1022" s="1762"/>
      <c r="U1022" s="1763">
        <v>450000</v>
      </c>
      <c r="V1022" s="1762"/>
      <c r="W1022" s="1762"/>
      <c r="X1022" s="1750">
        <f t="shared" si="34"/>
        <v>450000</v>
      </c>
      <c r="Y1022" s="175">
        <f t="shared" si="35"/>
        <v>0</v>
      </c>
    </row>
    <row r="1023" spans="1:25" ht="30" x14ac:dyDescent="0.25">
      <c r="A1023" s="32"/>
      <c r="B1023" s="32"/>
      <c r="C1023" s="32"/>
      <c r="D1023" s="32"/>
      <c r="E1023" s="32"/>
      <c r="F1023" s="32"/>
      <c r="G1023" s="1340" t="s">
        <v>2707</v>
      </c>
      <c r="H1023" s="66" t="str">
        <f>'BID IV'!B392</f>
        <v>Belanja Bendera/ Umbul-umbul/ Spanduk</v>
      </c>
      <c r="I1023" s="174">
        <f>'BID IV'!F393</f>
        <v>90000</v>
      </c>
      <c r="J1023" s="66" t="s">
        <v>1682</v>
      </c>
      <c r="K1023" s="851" t="s">
        <v>3030</v>
      </c>
      <c r="L1023" s="1753"/>
      <c r="M1023" s="1753"/>
      <c r="N1023" s="1753"/>
      <c r="O1023" s="1753"/>
      <c r="P1023" s="1758"/>
      <c r="Q1023" s="1758"/>
      <c r="R1023" s="1758"/>
      <c r="S1023" s="1758"/>
      <c r="T1023" s="1762"/>
      <c r="U1023" s="1763">
        <v>90000</v>
      </c>
      <c r="V1023" s="1762"/>
      <c r="W1023" s="1762"/>
      <c r="X1023" s="1750">
        <f t="shared" si="34"/>
        <v>90000</v>
      </c>
      <c r="Y1023" s="175">
        <f t="shared" si="35"/>
        <v>0</v>
      </c>
    </row>
    <row r="1024" spans="1:25" ht="30" x14ac:dyDescent="0.25">
      <c r="A1024" s="32"/>
      <c r="B1024" s="32"/>
      <c r="C1024" s="32"/>
      <c r="D1024" s="32"/>
      <c r="E1024" s="32"/>
      <c r="F1024" s="32"/>
      <c r="G1024" s="32">
        <v>90</v>
      </c>
      <c r="H1024" s="66" t="str">
        <f>'BID IV'!B395</f>
        <v>Belanja Upakara, Upacara dan Aci</v>
      </c>
      <c r="I1024" s="174">
        <f>SUM('BID IV'!F396:F397)</f>
        <v>65000</v>
      </c>
      <c r="J1024" s="66" t="s">
        <v>1682</v>
      </c>
      <c r="K1024" s="851" t="s">
        <v>3030</v>
      </c>
      <c r="L1024" s="1753"/>
      <c r="M1024" s="1753"/>
      <c r="N1024" s="1753"/>
      <c r="O1024" s="1753"/>
      <c r="P1024" s="1758"/>
      <c r="Q1024" s="1758"/>
      <c r="R1024" s="1758"/>
      <c r="S1024" s="1758"/>
      <c r="T1024" s="1762"/>
      <c r="U1024" s="1763">
        <v>65000</v>
      </c>
      <c r="V1024" s="1762"/>
      <c r="W1024" s="1762"/>
      <c r="X1024" s="1750">
        <f t="shared" si="34"/>
        <v>65000</v>
      </c>
      <c r="Y1024" s="175">
        <f t="shared" si="35"/>
        <v>0</v>
      </c>
    </row>
    <row r="1025" spans="1:25" ht="30" x14ac:dyDescent="0.25">
      <c r="A1025" s="32"/>
      <c r="B1025" s="32"/>
      <c r="C1025" s="32"/>
      <c r="D1025" s="32">
        <v>5</v>
      </c>
      <c r="E1025" s="32">
        <v>2</v>
      </c>
      <c r="F1025" s="32">
        <v>2</v>
      </c>
      <c r="G1025" s="32"/>
      <c r="H1025" s="66" t="str">
        <f>'BID IV'!B399</f>
        <v>Belanja Honorarium</v>
      </c>
      <c r="I1025" s="32"/>
      <c r="J1025" s="66"/>
      <c r="K1025" s="851" t="s">
        <v>3030</v>
      </c>
      <c r="L1025" s="1753"/>
      <c r="M1025" s="1753"/>
      <c r="N1025" s="1753"/>
      <c r="O1025" s="1753"/>
      <c r="P1025" s="1758"/>
      <c r="Q1025" s="1758"/>
      <c r="R1025" s="1758"/>
      <c r="S1025" s="1758"/>
      <c r="T1025" s="1762"/>
      <c r="U1025" s="1763"/>
      <c r="V1025" s="1762"/>
      <c r="W1025" s="1762"/>
      <c r="X1025" s="1750">
        <f t="shared" si="34"/>
        <v>0</v>
      </c>
      <c r="Y1025" s="175">
        <f t="shared" si="35"/>
        <v>0</v>
      </c>
    </row>
    <row r="1026" spans="1:25" ht="45" x14ac:dyDescent="0.25">
      <c r="A1026" s="32"/>
      <c r="B1026" s="32"/>
      <c r="C1026" s="32"/>
      <c r="D1026" s="32"/>
      <c r="E1026" s="32"/>
      <c r="F1026" s="32"/>
      <c r="G1026" s="1340" t="s">
        <v>2704</v>
      </c>
      <c r="H1026" s="66" t="str">
        <f>'BID IV'!B400</f>
        <v>Belanja Jasa Honorarium Ahli/Profesi/Konsultan/Narasumber</v>
      </c>
      <c r="I1026" s="174">
        <f>SUM('BID IV'!F401)</f>
        <v>600000</v>
      </c>
      <c r="J1026" s="66" t="s">
        <v>1682</v>
      </c>
      <c r="K1026" s="851" t="s">
        <v>3030</v>
      </c>
      <c r="L1026" s="1753"/>
      <c r="M1026" s="1753"/>
      <c r="N1026" s="1753"/>
      <c r="O1026" s="1753"/>
      <c r="P1026" s="1758"/>
      <c r="Q1026" s="1758"/>
      <c r="R1026" s="1758"/>
      <c r="S1026" s="1758"/>
      <c r="T1026" s="1762"/>
      <c r="U1026" s="1763">
        <v>600000</v>
      </c>
      <c r="V1026" s="1762"/>
      <c r="W1026" s="1762"/>
      <c r="X1026" s="1750">
        <f t="shared" si="34"/>
        <v>600000</v>
      </c>
      <c r="Y1026" s="175">
        <f t="shared" si="35"/>
        <v>0</v>
      </c>
    </row>
    <row r="1027" spans="1:25" ht="90" x14ac:dyDescent="0.25">
      <c r="A1027" s="1344">
        <v>4</v>
      </c>
      <c r="B1027" s="1344">
        <v>7</v>
      </c>
      <c r="C1027" s="1346" t="s">
        <v>2704</v>
      </c>
      <c r="D1027" s="1344"/>
      <c r="E1027" s="1344"/>
      <c r="F1027" s="1344"/>
      <c r="G1027" s="1344"/>
      <c r="H1027" s="1345" t="str">
        <f>'BID IV'!B417</f>
        <v>: Pelatihan Kelompok Usahan Ekonomi Produktif (Kelompok Pengerajin Lampion "Dewata Janur Desa Penatih Dangin Puri)</v>
      </c>
      <c r="I1027" s="1347">
        <f>SUM(I1028:I1036)</f>
        <v>46276296</v>
      </c>
      <c r="J1027" s="1345" t="s">
        <v>2620</v>
      </c>
      <c r="K1027" s="1796" t="s">
        <v>3030</v>
      </c>
      <c r="L1027" s="1344"/>
      <c r="M1027" s="1344"/>
      <c r="N1027" s="1344"/>
      <c r="O1027" s="1344"/>
      <c r="P1027" s="1344"/>
      <c r="Q1027" s="1344"/>
      <c r="R1027" s="1344"/>
      <c r="S1027" s="1344"/>
      <c r="T1027" s="1344"/>
      <c r="U1027" s="1344"/>
      <c r="V1027" s="1344"/>
      <c r="W1027" s="1344"/>
      <c r="X1027" s="1353">
        <f t="shared" si="34"/>
        <v>0</v>
      </c>
      <c r="Y1027" s="175">
        <f t="shared" si="35"/>
        <v>-46276296</v>
      </c>
    </row>
    <row r="1028" spans="1:25" ht="30" x14ac:dyDescent="0.25">
      <c r="A1028" s="32"/>
      <c r="B1028" s="32"/>
      <c r="C1028" s="32"/>
      <c r="D1028" s="32">
        <v>5</v>
      </c>
      <c r="E1028" s="32">
        <v>2</v>
      </c>
      <c r="F1028" s="32"/>
      <c r="G1028" s="32"/>
      <c r="H1028" s="66" t="str">
        <f>'BID IV'!B423</f>
        <v>Belanja Barang Dan Jasa</v>
      </c>
      <c r="I1028" s="32"/>
      <c r="J1028" s="66"/>
      <c r="K1028" s="851" t="s">
        <v>3030</v>
      </c>
      <c r="L1028" s="1753"/>
      <c r="M1028" s="1753"/>
      <c r="N1028" s="1753"/>
      <c r="O1028" s="1753"/>
      <c r="P1028" s="1758"/>
      <c r="Q1028" s="1758"/>
      <c r="R1028" s="1758"/>
      <c r="S1028" s="1758"/>
      <c r="T1028" s="1762"/>
      <c r="U1028" s="1762"/>
      <c r="V1028" s="1762"/>
      <c r="W1028" s="1762"/>
      <c r="X1028" s="1750">
        <f t="shared" si="34"/>
        <v>0</v>
      </c>
      <c r="Y1028" s="175">
        <f t="shared" si="35"/>
        <v>0</v>
      </c>
    </row>
    <row r="1029" spans="1:25" ht="30" x14ac:dyDescent="0.25">
      <c r="A1029" s="32"/>
      <c r="B1029" s="32"/>
      <c r="C1029" s="32"/>
      <c r="D1029" s="32"/>
      <c r="E1029" s="32"/>
      <c r="F1029" s="32">
        <v>1</v>
      </c>
      <c r="G1029" s="32"/>
      <c r="H1029" s="66" t="str">
        <f>'BID IV'!B424</f>
        <v>Belanja Barang Perlengkapan</v>
      </c>
      <c r="I1029" s="32"/>
      <c r="J1029" s="66"/>
      <c r="K1029" s="851" t="s">
        <v>3030</v>
      </c>
      <c r="L1029" s="1753"/>
      <c r="M1029" s="1753"/>
      <c r="N1029" s="1753"/>
      <c r="O1029" s="1753"/>
      <c r="P1029" s="1758"/>
      <c r="Q1029" s="1758"/>
      <c r="R1029" s="1758"/>
      <c r="S1029" s="1758"/>
      <c r="T1029" s="1762"/>
      <c r="U1029" s="1762"/>
      <c r="V1029" s="1762"/>
      <c r="W1029" s="1762"/>
      <c r="X1029" s="1750">
        <f t="shared" si="34"/>
        <v>0</v>
      </c>
      <c r="Y1029" s="175">
        <f t="shared" si="35"/>
        <v>0</v>
      </c>
    </row>
    <row r="1030" spans="1:25" ht="30" x14ac:dyDescent="0.25">
      <c r="A1030" s="32"/>
      <c r="B1030" s="32"/>
      <c r="C1030" s="32"/>
      <c r="D1030" s="32"/>
      <c r="E1030" s="32"/>
      <c r="F1030" s="32"/>
      <c r="G1030" s="1340" t="s">
        <v>2705</v>
      </c>
      <c r="H1030" s="66" t="str">
        <f>'BID IV'!B425</f>
        <v>Belanja Perlengkapan Barang Konsumsi</v>
      </c>
      <c r="I1030" s="174">
        <f>SUM('BID IV'!F426)</f>
        <v>300000</v>
      </c>
      <c r="J1030" s="66" t="s">
        <v>2620</v>
      </c>
      <c r="K1030" s="851" t="s">
        <v>3030</v>
      </c>
      <c r="L1030" s="1753"/>
      <c r="M1030" s="1753"/>
      <c r="N1030" s="1753"/>
      <c r="O1030" s="1753"/>
      <c r="P1030" s="1758"/>
      <c r="Q1030" s="1758"/>
      <c r="R1030" s="1759">
        <v>300000</v>
      </c>
      <c r="S1030" s="1758"/>
      <c r="T1030" s="1762"/>
      <c r="U1030" s="1762"/>
      <c r="V1030" s="1762"/>
      <c r="W1030" s="1762"/>
      <c r="X1030" s="1750">
        <f t="shared" si="34"/>
        <v>300000</v>
      </c>
      <c r="Y1030" s="175">
        <f t="shared" si="35"/>
        <v>0</v>
      </c>
    </row>
    <row r="1031" spans="1:25" ht="30" x14ac:dyDescent="0.25">
      <c r="A1031" s="32"/>
      <c r="B1031" s="32"/>
      <c r="C1031" s="32"/>
      <c r="D1031" s="32"/>
      <c r="E1031" s="32"/>
      <c r="F1031" s="32"/>
      <c r="G1031" s="1340" t="s">
        <v>2707</v>
      </c>
      <c r="H1031" s="66" t="str">
        <f>'BID IV'!B429</f>
        <v>Belanja Bendera/ Umbul-umbul/ Spanduk</v>
      </c>
      <c r="I1031" s="174">
        <f>'BID IV'!F430</f>
        <v>90000</v>
      </c>
      <c r="J1031" s="66" t="s">
        <v>2620</v>
      </c>
      <c r="K1031" s="851" t="s">
        <v>3030</v>
      </c>
      <c r="L1031" s="1753"/>
      <c r="M1031" s="1753"/>
      <c r="N1031" s="1753"/>
      <c r="O1031" s="1753"/>
      <c r="P1031" s="1758"/>
      <c r="Q1031" s="1758"/>
      <c r="R1031" s="1759">
        <v>90000</v>
      </c>
      <c r="S1031" s="1758"/>
      <c r="T1031" s="1762"/>
      <c r="U1031" s="1762"/>
      <c r="V1031" s="1762"/>
      <c r="W1031" s="1762"/>
      <c r="X1031" s="1750">
        <f t="shared" si="34"/>
        <v>90000</v>
      </c>
      <c r="Y1031" s="175">
        <f t="shared" si="35"/>
        <v>0</v>
      </c>
    </row>
    <row r="1032" spans="1:25" ht="30" x14ac:dyDescent="0.25">
      <c r="A1032" s="32"/>
      <c r="B1032" s="32"/>
      <c r="C1032" s="32"/>
      <c r="D1032" s="32">
        <v>5</v>
      </c>
      <c r="E1032" s="32">
        <v>2</v>
      </c>
      <c r="F1032" s="32">
        <v>2</v>
      </c>
      <c r="G1032" s="32"/>
      <c r="H1032" s="66" t="str">
        <f>'BID IV'!B432</f>
        <v>Belanja Jasa Honorarium</v>
      </c>
      <c r="I1032" s="32"/>
      <c r="J1032" s="66"/>
      <c r="K1032" s="851" t="s">
        <v>3030</v>
      </c>
      <c r="L1032" s="1753"/>
      <c r="M1032" s="1753"/>
      <c r="N1032" s="1753"/>
      <c r="O1032" s="1753"/>
      <c r="P1032" s="1758"/>
      <c r="Q1032" s="1758"/>
      <c r="R1032" s="1759"/>
      <c r="S1032" s="1758"/>
      <c r="T1032" s="1762"/>
      <c r="U1032" s="1762"/>
      <c r="V1032" s="1762"/>
      <c r="W1032" s="1762"/>
      <c r="X1032" s="1750">
        <f t="shared" si="34"/>
        <v>0</v>
      </c>
      <c r="Y1032" s="175">
        <f t="shared" si="35"/>
        <v>0</v>
      </c>
    </row>
    <row r="1033" spans="1:25" ht="45" x14ac:dyDescent="0.25">
      <c r="A1033" s="32"/>
      <c r="B1033" s="32"/>
      <c r="C1033" s="32"/>
      <c r="D1033" s="32"/>
      <c r="E1033" s="32"/>
      <c r="F1033" s="32"/>
      <c r="G1033" s="1340" t="s">
        <v>2688</v>
      </c>
      <c r="H1033" s="66" t="str">
        <f>'BID IV'!B433</f>
        <v>Belanja Jasa Honorarium Tim Yang Melaksanakan Kegiatan</v>
      </c>
      <c r="I1033" s="174">
        <f>SUM('BID IV'!F434:F436)</f>
        <v>1150000</v>
      </c>
      <c r="J1033" s="66" t="s">
        <v>2620</v>
      </c>
      <c r="K1033" s="851" t="s">
        <v>3030</v>
      </c>
      <c r="L1033" s="1753"/>
      <c r="M1033" s="1753"/>
      <c r="N1033" s="1753"/>
      <c r="O1033" s="1753"/>
      <c r="P1033" s="1758"/>
      <c r="Q1033" s="1758"/>
      <c r="R1033" s="1759">
        <v>1150000</v>
      </c>
      <c r="S1033" s="1758"/>
      <c r="T1033" s="1762"/>
      <c r="U1033" s="1762"/>
      <c r="V1033" s="1762"/>
      <c r="W1033" s="1762"/>
      <c r="X1033" s="1750">
        <f t="shared" si="34"/>
        <v>1150000</v>
      </c>
      <c r="Y1033" s="175">
        <f t="shared" si="35"/>
        <v>0</v>
      </c>
    </row>
    <row r="1034" spans="1:25" ht="30" x14ac:dyDescent="0.25">
      <c r="A1034" s="32"/>
      <c r="B1034" s="32"/>
      <c r="C1034" s="32"/>
      <c r="D1034" s="32"/>
      <c r="E1034" s="32"/>
      <c r="F1034" s="32"/>
      <c r="G1034" s="1340" t="s">
        <v>2704</v>
      </c>
      <c r="H1034" s="66" t="str">
        <f>'BID IV'!B438</f>
        <v>Honorium Narasumber / intruktur 2 or x 1kali</v>
      </c>
      <c r="I1034" s="174">
        <f>'BID IV'!F438</f>
        <v>600000</v>
      </c>
      <c r="J1034" s="66" t="s">
        <v>2620</v>
      </c>
      <c r="K1034" s="851" t="s">
        <v>3030</v>
      </c>
      <c r="L1034" s="1753"/>
      <c r="M1034" s="1753"/>
      <c r="N1034" s="1753"/>
      <c r="O1034" s="1753"/>
      <c r="P1034" s="1758"/>
      <c r="Q1034" s="1758"/>
      <c r="R1034" s="1759">
        <v>600000</v>
      </c>
      <c r="S1034" s="1758"/>
      <c r="T1034" s="1762"/>
      <c r="U1034" s="1762"/>
      <c r="V1034" s="1762"/>
      <c r="W1034" s="1762"/>
      <c r="X1034" s="1750">
        <f t="shared" si="34"/>
        <v>600000</v>
      </c>
      <c r="Y1034" s="175">
        <f t="shared" si="35"/>
        <v>0</v>
      </c>
    </row>
    <row r="1035" spans="1:25" ht="45" x14ac:dyDescent="0.25">
      <c r="A1035" s="32"/>
      <c r="B1035" s="32"/>
      <c r="C1035" s="32"/>
      <c r="D1035" s="32">
        <v>5</v>
      </c>
      <c r="E1035" s="32">
        <v>2</v>
      </c>
      <c r="F1035" s="32">
        <v>7</v>
      </c>
      <c r="G1035" s="32"/>
      <c r="H1035" s="66" t="str">
        <f>'BID IV'!B440</f>
        <v>Belanja Barang Dan jasa Yang Diserahkan Kepada Masyarakat</v>
      </c>
      <c r="I1035" s="32"/>
      <c r="J1035" s="66"/>
      <c r="K1035" s="851" t="s">
        <v>3030</v>
      </c>
      <c r="L1035" s="1753"/>
      <c r="M1035" s="1753"/>
      <c r="N1035" s="1753"/>
      <c r="O1035" s="1753"/>
      <c r="P1035" s="1758"/>
      <c r="Q1035" s="1758"/>
      <c r="R1035" s="1759"/>
      <c r="S1035" s="1758"/>
      <c r="T1035" s="1762"/>
      <c r="U1035" s="1762"/>
      <c r="V1035" s="1762"/>
      <c r="W1035" s="1762"/>
      <c r="X1035" s="1750">
        <f t="shared" si="34"/>
        <v>0</v>
      </c>
      <c r="Y1035" s="175">
        <f t="shared" si="35"/>
        <v>0</v>
      </c>
    </row>
    <row r="1036" spans="1:25" ht="60" x14ac:dyDescent="0.25">
      <c r="A1036" s="32"/>
      <c r="B1036" s="32"/>
      <c r="C1036" s="32"/>
      <c r="D1036" s="32"/>
      <c r="E1036" s="32"/>
      <c r="F1036" s="32"/>
      <c r="G1036" s="1340" t="s">
        <v>2688</v>
      </c>
      <c r="H1036" s="66" t="str">
        <f>'BID IV'!B441</f>
        <v>Belanja Bahan Perlengkapan Yang Diserahkan Ke Masyarakat</v>
      </c>
      <c r="I1036" s="174">
        <f>SUM('BID IV'!F442:F461)</f>
        <v>44136296</v>
      </c>
      <c r="J1036" s="66" t="s">
        <v>2620</v>
      </c>
      <c r="K1036" s="851" t="s">
        <v>3030</v>
      </c>
      <c r="L1036" s="1753"/>
      <c r="M1036" s="1753"/>
      <c r="N1036" s="1753"/>
      <c r="O1036" s="1753"/>
      <c r="P1036" s="1758"/>
      <c r="Q1036" s="1758"/>
      <c r="R1036" s="1759">
        <v>44136296</v>
      </c>
      <c r="S1036" s="1758"/>
      <c r="T1036" s="1762"/>
      <c r="U1036" s="1762"/>
      <c r="V1036" s="1762"/>
      <c r="W1036" s="1762"/>
      <c r="X1036" s="1750">
        <f t="shared" si="34"/>
        <v>44136296</v>
      </c>
      <c r="Y1036" s="175">
        <f t="shared" si="35"/>
        <v>0</v>
      </c>
    </row>
    <row r="1037" spans="1:25" x14ac:dyDescent="0.25">
      <c r="A1037" s="1342">
        <v>5</v>
      </c>
      <c r="B1037" s="1342"/>
      <c r="C1037" s="1342"/>
      <c r="D1037" s="1342"/>
      <c r="E1037" s="1342"/>
      <c r="F1037" s="1342"/>
      <c r="G1037" s="1342"/>
      <c r="H1037" s="1342" t="str">
        <f>'BID V'!B5</f>
        <v>: Tanggap Darurat Bencana</v>
      </c>
      <c r="I1037" s="1351">
        <f>I1039</f>
        <v>151200000</v>
      </c>
      <c r="J1037" s="1343"/>
      <c r="K1037" s="32"/>
      <c r="L1037" s="1753"/>
      <c r="M1037" s="1753"/>
      <c r="N1037" s="1753"/>
      <c r="O1037" s="1753"/>
      <c r="P1037" s="1758"/>
      <c r="Q1037" s="1758"/>
      <c r="R1037" s="1758"/>
      <c r="S1037" s="1758"/>
      <c r="T1037" s="1762"/>
      <c r="U1037" s="1762"/>
      <c r="V1037" s="1762"/>
      <c r="W1037" s="1762"/>
      <c r="X1037" s="1750">
        <f t="shared" si="34"/>
        <v>0</v>
      </c>
      <c r="Y1037" s="175">
        <f t="shared" si="35"/>
        <v>-151200000</v>
      </c>
    </row>
    <row r="1038" spans="1:25" x14ac:dyDescent="0.25">
      <c r="A1038" s="1344">
        <v>5</v>
      </c>
      <c r="B1038" s="1344">
        <v>3</v>
      </c>
      <c r="C1038" s="1344"/>
      <c r="D1038" s="1344"/>
      <c r="E1038" s="1344"/>
      <c r="F1038" s="1344"/>
      <c r="G1038" s="1344"/>
      <c r="H1038" s="1345" t="str">
        <f>'BID V'!B6</f>
        <v>: Keadaan Mendesak</v>
      </c>
      <c r="I1038" s="1344"/>
      <c r="J1038" s="1345"/>
      <c r="K1038" s="1344"/>
      <c r="L1038" s="1344"/>
      <c r="M1038" s="1344"/>
      <c r="N1038" s="1344"/>
      <c r="O1038" s="1344"/>
      <c r="P1038" s="1344"/>
      <c r="Q1038" s="1344"/>
      <c r="R1038" s="1344"/>
      <c r="S1038" s="1344"/>
      <c r="T1038" s="1344"/>
      <c r="U1038" s="1344"/>
      <c r="V1038" s="1344"/>
      <c r="W1038" s="1344"/>
      <c r="X1038" s="1353">
        <f t="shared" si="34"/>
        <v>0</v>
      </c>
      <c r="Y1038" s="175">
        <f t="shared" si="35"/>
        <v>0</v>
      </c>
    </row>
    <row r="1039" spans="1:25" ht="45" x14ac:dyDescent="0.25">
      <c r="A1039" s="1344">
        <v>5</v>
      </c>
      <c r="B1039" s="1344">
        <v>3</v>
      </c>
      <c r="C1039" s="1346" t="s">
        <v>2721</v>
      </c>
      <c r="D1039" s="1344"/>
      <c r="E1039" s="1344"/>
      <c r="F1039" s="1344"/>
      <c r="G1039" s="1344"/>
      <c r="H1039" s="1345" t="str">
        <f>'BID V'!B7</f>
        <v xml:space="preserve"> Penanggulangan Keadaan Mendesak Pemberian BLT</v>
      </c>
      <c r="I1039" s="1349">
        <f>I1042</f>
        <v>151200000</v>
      </c>
      <c r="J1039" s="1345" t="s">
        <v>2387</v>
      </c>
      <c r="K1039" s="1796" t="s">
        <v>3030</v>
      </c>
      <c r="L1039" s="1344"/>
      <c r="M1039" s="1344"/>
      <c r="N1039" s="1344"/>
      <c r="O1039" s="1344"/>
      <c r="P1039" s="1344"/>
      <c r="Q1039" s="1344"/>
      <c r="R1039" s="1344"/>
      <c r="S1039" s="1344"/>
      <c r="T1039" s="1344"/>
      <c r="U1039" s="1344"/>
      <c r="V1039" s="1344"/>
      <c r="W1039" s="1344"/>
      <c r="X1039" s="1353">
        <f t="shared" si="34"/>
        <v>0</v>
      </c>
      <c r="Y1039" s="175">
        <f t="shared" si="35"/>
        <v>-151200000</v>
      </c>
    </row>
    <row r="1040" spans="1:25" ht="30" x14ac:dyDescent="0.25">
      <c r="A1040" s="32"/>
      <c r="B1040" s="32"/>
      <c r="C1040" s="32"/>
      <c r="D1040" s="32">
        <v>5</v>
      </c>
      <c r="E1040" s="32">
        <v>4</v>
      </c>
      <c r="F1040" s="32"/>
      <c r="G1040" s="32"/>
      <c r="H1040" s="32" t="str">
        <f>'BID V'!B13</f>
        <v>Belanja Tak Terduga</v>
      </c>
      <c r="I1040" s="32"/>
      <c r="J1040" s="66"/>
      <c r="K1040" s="851" t="s">
        <v>3030</v>
      </c>
      <c r="L1040" s="1753"/>
      <c r="M1040" s="1753"/>
      <c r="N1040" s="1753"/>
      <c r="O1040" s="1753"/>
      <c r="P1040" s="1758"/>
      <c r="Q1040" s="1758"/>
      <c r="R1040" s="1758"/>
      <c r="S1040" s="1758"/>
      <c r="T1040" s="1762"/>
      <c r="U1040" s="1762"/>
      <c r="V1040" s="1762"/>
      <c r="W1040" s="1762"/>
      <c r="X1040" s="1750">
        <f t="shared" si="34"/>
        <v>0</v>
      </c>
      <c r="Y1040" s="175">
        <f t="shared" si="35"/>
        <v>0</v>
      </c>
    </row>
    <row r="1041" spans="1:25" ht="30" x14ac:dyDescent="0.25">
      <c r="A1041" s="32"/>
      <c r="B1041" s="32"/>
      <c r="C1041" s="32"/>
      <c r="D1041" s="32"/>
      <c r="E1041" s="32"/>
      <c r="F1041" s="32">
        <v>1</v>
      </c>
      <c r="G1041" s="32"/>
      <c r="H1041" s="32" t="str">
        <f>'BID V'!B14</f>
        <v>Belanja Tak Terduga</v>
      </c>
      <c r="I1041" s="32"/>
      <c r="J1041" s="66"/>
      <c r="K1041" s="851" t="s">
        <v>3030</v>
      </c>
      <c r="L1041" s="1753"/>
      <c r="M1041" s="1753"/>
      <c r="N1041" s="1753"/>
      <c r="O1041" s="1753"/>
      <c r="P1041" s="1758"/>
      <c r="Q1041" s="1758"/>
      <c r="R1041" s="1758"/>
      <c r="S1041" s="1758"/>
      <c r="T1041" s="1762"/>
      <c r="U1041" s="1762"/>
      <c r="V1041" s="1762"/>
      <c r="W1041" s="1762"/>
      <c r="X1041" s="1750">
        <f t="shared" si="34"/>
        <v>0</v>
      </c>
      <c r="Y1041" s="175">
        <f t="shared" si="35"/>
        <v>0</v>
      </c>
    </row>
    <row r="1042" spans="1:25" ht="30" x14ac:dyDescent="0.25">
      <c r="A1042" s="32"/>
      <c r="B1042" s="32"/>
      <c r="C1042" s="32"/>
      <c r="D1042" s="32"/>
      <c r="E1042" s="32"/>
      <c r="F1042" s="32"/>
      <c r="G1042" s="1340" t="s">
        <v>2688</v>
      </c>
      <c r="H1042" s="32" t="str">
        <f>'BID V'!B15</f>
        <v>Belanja Tak Terduga</v>
      </c>
      <c r="I1042" s="174">
        <f>'BID V'!F16</f>
        <v>151200000</v>
      </c>
      <c r="J1042" s="66" t="s">
        <v>2387</v>
      </c>
      <c r="K1042" s="851" t="s">
        <v>3030</v>
      </c>
      <c r="L1042" s="1754">
        <v>12600000</v>
      </c>
      <c r="M1042" s="1754">
        <v>12600000</v>
      </c>
      <c r="N1042" s="1754">
        <v>12600000</v>
      </c>
      <c r="O1042" s="1754">
        <v>12600000</v>
      </c>
      <c r="P1042" s="1754">
        <v>12600000</v>
      </c>
      <c r="Q1042" s="1754">
        <v>12600000</v>
      </c>
      <c r="R1042" s="1754">
        <v>12600000</v>
      </c>
      <c r="S1042" s="1754">
        <v>12600000</v>
      </c>
      <c r="T1042" s="1754">
        <v>12600000</v>
      </c>
      <c r="U1042" s="1754">
        <v>12600000</v>
      </c>
      <c r="V1042" s="1754">
        <v>12600000</v>
      </c>
      <c r="W1042" s="1754">
        <v>12600000</v>
      </c>
      <c r="X1042" s="1750">
        <f t="shared" si="34"/>
        <v>151200000</v>
      </c>
      <c r="Y1042" s="175">
        <f t="shared" si="35"/>
        <v>0</v>
      </c>
    </row>
    <row r="1043" spans="1:25" x14ac:dyDescent="0.25">
      <c r="A1043" s="32"/>
      <c r="B1043" s="32"/>
      <c r="C1043" s="32"/>
      <c r="D1043" s="32"/>
      <c r="E1043" s="32"/>
      <c r="F1043" s="32"/>
      <c r="G1043" s="32"/>
      <c r="H1043" s="32"/>
      <c r="I1043" s="32"/>
      <c r="J1043" s="66"/>
      <c r="K1043" s="32"/>
      <c r="L1043" s="1753"/>
      <c r="M1043" s="1753"/>
      <c r="N1043" s="1753"/>
      <c r="O1043" s="1753"/>
      <c r="P1043" s="1758"/>
      <c r="Q1043" s="1758"/>
      <c r="R1043" s="1758"/>
      <c r="S1043" s="1758"/>
      <c r="T1043" s="1762"/>
      <c r="U1043" s="1762"/>
      <c r="V1043" s="1762"/>
      <c r="W1043" s="1762"/>
      <c r="X1043" s="1750">
        <f t="shared" si="34"/>
        <v>0</v>
      </c>
      <c r="Y1043" s="175">
        <f t="shared" si="35"/>
        <v>0</v>
      </c>
    </row>
    <row r="1044" spans="1:25" x14ac:dyDescent="0.25">
      <c r="A1044" s="32"/>
      <c r="B1044" s="32"/>
      <c r="C1044" s="32"/>
      <c r="D1044" s="32"/>
      <c r="E1044" s="32"/>
      <c r="F1044" s="32"/>
      <c r="G1044" s="32"/>
      <c r="H1044" s="32"/>
      <c r="I1044" s="32"/>
      <c r="J1044" s="66"/>
      <c r="K1044" s="32"/>
      <c r="L1044" s="1753"/>
      <c r="M1044" s="1753"/>
      <c r="N1044" s="1753"/>
      <c r="O1044" s="1753"/>
      <c r="P1044" s="1758"/>
      <c r="Q1044" s="1758"/>
      <c r="R1044" s="1758"/>
      <c r="S1044" s="1758"/>
      <c r="T1044" s="1762"/>
      <c r="U1044" s="1762"/>
      <c r="V1044" s="1762"/>
      <c r="W1044" s="1762"/>
      <c r="X1044" s="1750">
        <f t="shared" si="34"/>
        <v>0</v>
      </c>
      <c r="Y1044" s="175">
        <f t="shared" si="35"/>
        <v>0</v>
      </c>
    </row>
    <row r="1045" spans="1:25" x14ac:dyDescent="0.25">
      <c r="A1045" s="32"/>
      <c r="B1045" s="32"/>
      <c r="C1045" s="32"/>
      <c r="D1045" s="32"/>
      <c r="E1045" s="32"/>
      <c r="F1045" s="32"/>
      <c r="G1045" s="32"/>
      <c r="H1045" s="32"/>
      <c r="I1045" s="32"/>
      <c r="J1045" s="66"/>
      <c r="K1045" s="32"/>
      <c r="L1045" s="1753"/>
      <c r="M1045" s="1753"/>
      <c r="N1045" s="1753"/>
      <c r="O1045" s="1753"/>
      <c r="P1045" s="1758"/>
      <c r="Q1045" s="1758"/>
      <c r="R1045" s="1758"/>
      <c r="S1045" s="1758"/>
      <c r="T1045" s="1762"/>
      <c r="U1045" s="1762"/>
      <c r="V1045" s="1762"/>
      <c r="W1045" s="1762"/>
      <c r="X1045" s="1750">
        <f t="shared" si="34"/>
        <v>0</v>
      </c>
      <c r="Y1045" s="175">
        <f t="shared" si="35"/>
        <v>0</v>
      </c>
    </row>
    <row r="1046" spans="1:25" x14ac:dyDescent="0.25">
      <c r="A1046" s="1342"/>
      <c r="B1046" s="1342"/>
      <c r="C1046" s="1342"/>
      <c r="D1046" s="1342"/>
      <c r="E1046" s="1342"/>
      <c r="F1046" s="1342"/>
      <c r="G1046" s="1641"/>
      <c r="H1046" s="1342" t="s">
        <v>2722</v>
      </c>
      <c r="I1046" s="1351">
        <f>I1037+I944+I731+I276+I30</f>
        <v>8952901364.9300003</v>
      </c>
      <c r="J1046" s="1343"/>
      <c r="K1046" s="470"/>
      <c r="L1046" s="1755"/>
      <c r="M1046" s="1753"/>
      <c r="N1046" s="1753"/>
      <c r="O1046" s="1753"/>
      <c r="P1046" s="1758"/>
      <c r="Q1046" s="1758"/>
      <c r="R1046" s="1758"/>
      <c r="S1046" s="1758"/>
      <c r="T1046" s="1762"/>
      <c r="U1046" s="1762"/>
      <c r="V1046" s="1762"/>
      <c r="W1046" s="1762"/>
      <c r="X1046" s="1750">
        <f t="shared" si="34"/>
        <v>0</v>
      </c>
      <c r="Y1046" s="175">
        <f t="shared" si="35"/>
        <v>-8952901364.9300003</v>
      </c>
    </row>
    <row r="1047" spans="1:25" x14ac:dyDescent="0.25">
      <c r="A1047" s="1342"/>
      <c r="B1047" s="1342"/>
      <c r="C1047" s="1342"/>
      <c r="D1047" s="1342"/>
      <c r="E1047" s="1342"/>
      <c r="F1047" s="1342"/>
      <c r="G1047" s="1641"/>
      <c r="H1047" s="1342" t="s">
        <v>2723</v>
      </c>
      <c r="I1047" s="1351">
        <f>I27-I1046</f>
        <v>-1519256532.9300003</v>
      </c>
      <c r="J1047" s="1343"/>
      <c r="K1047" s="32"/>
      <c r="L1047" s="1753"/>
      <c r="M1047" s="1753"/>
      <c r="N1047" s="1753"/>
      <c r="O1047" s="1753"/>
      <c r="P1047" s="1758"/>
      <c r="Q1047" s="1758"/>
      <c r="R1047" s="1758"/>
      <c r="S1047" s="1758"/>
      <c r="T1047" s="1762"/>
      <c r="U1047" s="1762"/>
      <c r="V1047" s="1762"/>
      <c r="W1047" s="1762"/>
      <c r="X1047" s="1750">
        <f t="shared" si="34"/>
        <v>0</v>
      </c>
      <c r="Y1047" s="175">
        <f t="shared" si="35"/>
        <v>1519256532.9300003</v>
      </c>
    </row>
    <row r="1048" spans="1:25" x14ac:dyDescent="0.25">
      <c r="A1048" s="32"/>
      <c r="B1048" s="32"/>
      <c r="C1048" s="32"/>
      <c r="D1048" s="32"/>
      <c r="E1048" s="32"/>
      <c r="F1048" s="32"/>
      <c r="G1048" s="32"/>
      <c r="H1048" s="850"/>
      <c r="I1048" s="32"/>
      <c r="J1048" s="66"/>
      <c r="K1048" s="32"/>
      <c r="L1048" s="1753"/>
      <c r="M1048" s="1753"/>
      <c r="N1048" s="1753"/>
      <c r="O1048" s="1753"/>
      <c r="P1048" s="1758"/>
      <c r="Q1048" s="1758"/>
      <c r="R1048" s="1758"/>
      <c r="S1048" s="1758"/>
      <c r="T1048" s="1762"/>
      <c r="U1048" s="1762"/>
      <c r="V1048" s="1762"/>
      <c r="W1048" s="1762"/>
      <c r="X1048" s="1750">
        <f t="shared" si="34"/>
        <v>0</v>
      </c>
      <c r="Y1048" s="175">
        <f t="shared" si="35"/>
        <v>0</v>
      </c>
    </row>
    <row r="1049" spans="1:25" x14ac:dyDescent="0.25">
      <c r="A1049" s="32"/>
      <c r="B1049" s="32"/>
      <c r="C1049" s="32"/>
      <c r="D1049" s="32"/>
      <c r="E1049" s="32"/>
      <c r="F1049" s="32"/>
      <c r="G1049" s="916"/>
      <c r="H1049" s="66"/>
      <c r="I1049" s="32"/>
      <c r="J1049" s="66"/>
      <c r="K1049" s="32"/>
      <c r="L1049" s="1753"/>
      <c r="M1049" s="1753"/>
      <c r="N1049" s="1753"/>
      <c r="O1049" s="1753"/>
      <c r="P1049" s="1758"/>
      <c r="Q1049" s="1758"/>
      <c r="R1049" s="1758"/>
      <c r="S1049" s="1758"/>
      <c r="T1049" s="1762"/>
      <c r="U1049" s="1762"/>
      <c r="V1049" s="1762"/>
      <c r="W1049" s="1762"/>
      <c r="X1049" s="1750">
        <f t="shared" si="34"/>
        <v>0</v>
      </c>
      <c r="Y1049" s="175">
        <f t="shared" si="35"/>
        <v>0</v>
      </c>
    </row>
    <row r="1050" spans="1:25" x14ac:dyDescent="0.25">
      <c r="A1050" s="32"/>
      <c r="B1050" s="32"/>
      <c r="C1050" s="32"/>
      <c r="D1050" s="32">
        <v>6</v>
      </c>
      <c r="E1050" s="32"/>
      <c r="F1050" s="32"/>
      <c r="G1050" s="916"/>
      <c r="H1050" s="66" t="s">
        <v>2724</v>
      </c>
      <c r="I1050" s="32"/>
      <c r="J1050" s="66"/>
      <c r="K1050" s="32"/>
      <c r="L1050" s="1753"/>
      <c r="M1050" s="1753"/>
      <c r="N1050" s="1753"/>
      <c r="O1050" s="1753"/>
      <c r="P1050" s="1758"/>
      <c r="Q1050" s="1758"/>
      <c r="R1050" s="1758"/>
      <c r="S1050" s="1758"/>
      <c r="T1050" s="1762"/>
      <c r="U1050" s="1762"/>
      <c r="V1050" s="1762"/>
      <c r="W1050" s="1762"/>
      <c r="X1050" s="1750">
        <f t="shared" ref="X1050:X1060" si="36">SUM(L1050:W1050)</f>
        <v>0</v>
      </c>
      <c r="Y1050" s="175">
        <f t="shared" ref="Y1050:Y1060" si="37">X1050-I1050</f>
        <v>0</v>
      </c>
    </row>
    <row r="1051" spans="1:25" x14ac:dyDescent="0.25">
      <c r="A1051" s="32"/>
      <c r="B1051" s="32"/>
      <c r="C1051" s="32"/>
      <c r="D1051" s="32">
        <v>6</v>
      </c>
      <c r="E1051" s="32">
        <v>1</v>
      </c>
      <c r="F1051" s="32"/>
      <c r="G1051" s="916"/>
      <c r="H1051" s="66" t="s">
        <v>2725</v>
      </c>
      <c r="I1051" s="32"/>
      <c r="J1051" s="66"/>
      <c r="K1051" s="32"/>
      <c r="L1051" s="1753"/>
      <c r="M1051" s="1753"/>
      <c r="N1051" s="1753"/>
      <c r="O1051" s="1753"/>
      <c r="P1051" s="1758"/>
      <c r="Q1051" s="1758"/>
      <c r="R1051" s="1758"/>
      <c r="S1051" s="1758"/>
      <c r="T1051" s="1762"/>
      <c r="U1051" s="1762"/>
      <c r="V1051" s="1762"/>
      <c r="W1051" s="1762"/>
      <c r="X1051" s="1750">
        <f t="shared" si="36"/>
        <v>0</v>
      </c>
      <c r="Y1051" s="175">
        <f t="shared" si="37"/>
        <v>0</v>
      </c>
    </row>
    <row r="1052" spans="1:25" x14ac:dyDescent="0.25">
      <c r="A1052" s="32"/>
      <c r="B1052" s="32"/>
      <c r="C1052" s="32"/>
      <c r="D1052" s="32">
        <v>6</v>
      </c>
      <c r="E1052" s="32">
        <v>1</v>
      </c>
      <c r="F1052" s="32">
        <v>1</v>
      </c>
      <c r="G1052" s="916"/>
      <c r="H1052" s="66" t="s">
        <v>2726</v>
      </c>
      <c r="I1052" s="32"/>
      <c r="J1052" s="66"/>
      <c r="K1052" s="32"/>
      <c r="L1052" s="1753"/>
      <c r="M1052" s="1753"/>
      <c r="N1052" s="1753"/>
      <c r="O1052" s="1753"/>
      <c r="P1052" s="1758"/>
      <c r="Q1052" s="1758"/>
      <c r="R1052" s="1758"/>
      <c r="S1052" s="1758"/>
      <c r="T1052" s="1762"/>
      <c r="U1052" s="1762"/>
      <c r="V1052" s="1762"/>
      <c r="W1052" s="1762"/>
      <c r="X1052" s="1750">
        <f t="shared" si="36"/>
        <v>0</v>
      </c>
      <c r="Y1052" s="175">
        <f t="shared" si="37"/>
        <v>0</v>
      </c>
    </row>
    <row r="1053" spans="1:25" x14ac:dyDescent="0.25">
      <c r="A1053" s="1342"/>
      <c r="B1053" s="1342"/>
      <c r="C1053" s="1342"/>
      <c r="D1053" s="1342">
        <v>6</v>
      </c>
      <c r="E1053" s="1342">
        <v>1</v>
      </c>
      <c r="F1053" s="1342">
        <v>1</v>
      </c>
      <c r="G1053" s="1641">
        <v>1</v>
      </c>
      <c r="H1053" s="1343" t="s">
        <v>2726</v>
      </c>
      <c r="I1053" s="1356">
        <f>Hitungan!N3+Hitungan!O3+Hitungan!P3+Hitungan!Q3+Hitungan!R3+Hitungan!S3+Hitungan!T3</f>
        <v>1519256532.9300001</v>
      </c>
      <c r="J1053" s="1343"/>
      <c r="K1053" s="470"/>
      <c r="L1053" s="1753"/>
      <c r="M1053" s="1753"/>
      <c r="N1053" s="1753"/>
      <c r="O1053" s="1753"/>
      <c r="P1053" s="1758"/>
      <c r="Q1053" s="1758"/>
      <c r="R1053" s="1758"/>
      <c r="S1053" s="1758"/>
      <c r="T1053" s="1762"/>
      <c r="U1053" s="1762"/>
      <c r="V1053" s="1762"/>
      <c r="W1053" s="1762"/>
      <c r="X1053" s="1750">
        <f t="shared" si="36"/>
        <v>0</v>
      </c>
      <c r="Y1053" s="175">
        <f t="shared" si="37"/>
        <v>-1519256532.9300001</v>
      </c>
    </row>
    <row r="1054" spans="1:25" x14ac:dyDescent="0.25">
      <c r="A1054" s="32"/>
      <c r="B1054" s="32"/>
      <c r="C1054" s="32"/>
      <c r="D1054" s="32"/>
      <c r="E1054" s="32"/>
      <c r="F1054" s="32"/>
      <c r="G1054" s="916"/>
      <c r="H1054" s="66"/>
      <c r="I1054" s="32"/>
      <c r="J1054" s="66"/>
      <c r="K1054" s="174"/>
      <c r="L1054" s="1753"/>
      <c r="M1054" s="1753"/>
      <c r="N1054" s="1753"/>
      <c r="O1054" s="1753"/>
      <c r="P1054" s="1758"/>
      <c r="Q1054" s="1758"/>
      <c r="R1054" s="1758"/>
      <c r="S1054" s="1758"/>
      <c r="T1054" s="1762"/>
      <c r="U1054" s="1762"/>
      <c r="V1054" s="1762"/>
      <c r="W1054" s="1762"/>
      <c r="X1054" s="1750">
        <f t="shared" si="36"/>
        <v>0</v>
      </c>
      <c r="Y1054" s="175">
        <f t="shared" si="37"/>
        <v>0</v>
      </c>
    </row>
    <row r="1055" spans="1:25" x14ac:dyDescent="0.25">
      <c r="A1055" s="32"/>
      <c r="B1055" s="32"/>
      <c r="C1055" s="32"/>
      <c r="D1055" s="32">
        <v>6</v>
      </c>
      <c r="E1055" s="32">
        <v>2</v>
      </c>
      <c r="F1055" s="32"/>
      <c r="G1055" s="916"/>
      <c r="H1055" s="66" t="s">
        <v>2727</v>
      </c>
      <c r="I1055" s="32"/>
      <c r="J1055" s="66"/>
      <c r="K1055" s="32"/>
      <c r="L1055" s="1753"/>
      <c r="M1055" s="1753"/>
      <c r="N1055" s="1753"/>
      <c r="O1055" s="1753"/>
      <c r="P1055" s="1758"/>
      <c r="Q1055" s="1758"/>
      <c r="R1055" s="1758"/>
      <c r="S1055" s="1758"/>
      <c r="T1055" s="1762"/>
      <c r="U1055" s="1762"/>
      <c r="V1055" s="1762"/>
      <c r="W1055" s="1762"/>
      <c r="X1055" s="1750">
        <f t="shared" si="36"/>
        <v>0</v>
      </c>
      <c r="Y1055" s="175">
        <f t="shared" si="37"/>
        <v>0</v>
      </c>
    </row>
    <row r="1056" spans="1:25" x14ac:dyDescent="0.25">
      <c r="A1056" s="32"/>
      <c r="B1056" s="32"/>
      <c r="C1056" s="32"/>
      <c r="D1056" s="32">
        <v>6</v>
      </c>
      <c r="E1056" s="32">
        <v>2</v>
      </c>
      <c r="F1056" s="32">
        <v>2</v>
      </c>
      <c r="G1056" s="916"/>
      <c r="H1056" s="66" t="s">
        <v>2728</v>
      </c>
      <c r="I1056" s="32"/>
      <c r="J1056" s="66"/>
      <c r="K1056" s="32"/>
      <c r="L1056" s="1753"/>
      <c r="M1056" s="1753"/>
      <c r="N1056" s="1753"/>
      <c r="O1056" s="1753"/>
      <c r="P1056" s="1758"/>
      <c r="Q1056" s="1758"/>
      <c r="R1056" s="1758"/>
      <c r="S1056" s="1758"/>
      <c r="T1056" s="1762"/>
      <c r="U1056" s="1762"/>
      <c r="V1056" s="1762"/>
      <c r="W1056" s="1762"/>
      <c r="X1056" s="1750">
        <f t="shared" si="36"/>
        <v>0</v>
      </c>
      <c r="Y1056" s="175">
        <f t="shared" si="37"/>
        <v>0</v>
      </c>
    </row>
    <row r="1057" spans="1:25" x14ac:dyDescent="0.25">
      <c r="A1057" s="32"/>
      <c r="B1057" s="32"/>
      <c r="C1057" s="32"/>
      <c r="D1057" s="32">
        <v>6</v>
      </c>
      <c r="E1057" s="32">
        <v>2</v>
      </c>
      <c r="F1057" s="32">
        <v>2</v>
      </c>
      <c r="G1057" s="916">
        <v>1</v>
      </c>
      <c r="H1057" s="66" t="s">
        <v>2728</v>
      </c>
      <c r="I1057" s="174">
        <f>'[1]BID IV'!F708</f>
        <v>0</v>
      </c>
      <c r="J1057" s="66"/>
      <c r="K1057" s="32"/>
      <c r="L1057" s="1753"/>
      <c r="M1057" s="1753"/>
      <c r="N1057" s="1753"/>
      <c r="O1057" s="1753"/>
      <c r="P1057" s="1758"/>
      <c r="Q1057" s="1758"/>
      <c r="R1057" s="1758"/>
      <c r="S1057" s="1758"/>
      <c r="T1057" s="1762"/>
      <c r="U1057" s="1762"/>
      <c r="V1057" s="1762"/>
      <c r="W1057" s="1762"/>
      <c r="X1057" s="1750">
        <f t="shared" si="36"/>
        <v>0</v>
      </c>
      <c r="Y1057" s="175">
        <f t="shared" si="37"/>
        <v>0</v>
      </c>
    </row>
    <row r="1058" spans="1:25" x14ac:dyDescent="0.25">
      <c r="A1058" s="32"/>
      <c r="B1058" s="32"/>
      <c r="C1058" s="32"/>
      <c r="D1058" s="32"/>
      <c r="E1058" s="32"/>
      <c r="F1058" s="32"/>
      <c r="G1058" s="916"/>
      <c r="H1058" s="66"/>
      <c r="I1058" s="32"/>
      <c r="J1058" s="66"/>
      <c r="K1058" s="32"/>
      <c r="L1058" s="1753"/>
      <c r="M1058" s="1753"/>
      <c r="N1058" s="1753"/>
      <c r="O1058" s="1753"/>
      <c r="P1058" s="1758"/>
      <c r="Q1058" s="1758"/>
      <c r="R1058" s="1758"/>
      <c r="S1058" s="1758"/>
      <c r="T1058" s="1762"/>
      <c r="U1058" s="1762"/>
      <c r="V1058" s="1762"/>
      <c r="W1058" s="1762"/>
      <c r="X1058" s="1750">
        <f t="shared" si="36"/>
        <v>0</v>
      </c>
      <c r="Y1058" s="175">
        <f t="shared" si="37"/>
        <v>0</v>
      </c>
    </row>
    <row r="1059" spans="1:25" ht="15.75" thickBot="1" x14ac:dyDescent="0.3">
      <c r="A1059" s="32"/>
      <c r="B1059" s="32"/>
      <c r="C1059" s="32" t="s">
        <v>2729</v>
      </c>
      <c r="D1059" s="32"/>
      <c r="E1059" s="32"/>
      <c r="F1059" s="32"/>
      <c r="G1059" s="916"/>
      <c r="H1059" s="848"/>
      <c r="I1059" s="32"/>
      <c r="J1059" s="66"/>
      <c r="K1059" s="32"/>
      <c r="L1059" s="1753"/>
      <c r="M1059" s="1753"/>
      <c r="N1059" s="1753"/>
      <c r="O1059" s="1753"/>
      <c r="P1059" s="1758"/>
      <c r="Q1059" s="1758"/>
      <c r="R1059" s="1758"/>
      <c r="S1059" s="1758"/>
      <c r="T1059" s="1762"/>
      <c r="U1059" s="1762"/>
      <c r="V1059" s="1762"/>
      <c r="W1059" s="1762"/>
      <c r="X1059" s="1750">
        <f t="shared" si="36"/>
        <v>0</v>
      </c>
      <c r="Y1059" s="175">
        <f t="shared" si="37"/>
        <v>0</v>
      </c>
    </row>
    <row r="1060" spans="1:25" ht="15.75" thickBot="1" x14ac:dyDescent="0.3">
      <c r="A1060" s="1342"/>
      <c r="B1060" s="1342"/>
      <c r="C1060" s="1342"/>
      <c r="D1060" s="1342"/>
      <c r="E1060" s="1342"/>
      <c r="F1060" s="1342"/>
      <c r="G1060" s="1641"/>
      <c r="H1060" s="1642" t="s">
        <v>2730</v>
      </c>
      <c r="I1060" s="1351">
        <f>I1053-I1057</f>
        <v>1519256532.9300001</v>
      </c>
      <c r="J1060" s="1343"/>
      <c r="K1060" s="32"/>
      <c r="L1060" s="1753"/>
      <c r="M1060" s="1753"/>
      <c r="N1060" s="1753"/>
      <c r="O1060" s="1753"/>
      <c r="P1060" s="1758"/>
      <c r="Q1060" s="1758"/>
      <c r="R1060" s="1758"/>
      <c r="S1060" s="1758"/>
      <c r="T1060" s="1762"/>
      <c r="U1060" s="1762"/>
      <c r="V1060" s="1762"/>
      <c r="W1060" s="1762"/>
      <c r="X1060" s="1750">
        <f t="shared" si="36"/>
        <v>0</v>
      </c>
      <c r="Y1060" s="175">
        <f t="shared" si="37"/>
        <v>-1519256532.9300001</v>
      </c>
    </row>
  </sheetData>
  <autoFilter ref="A6:X1060" xr:uid="{DF8F12F5-6AEB-4528-AF98-2D5E7E5507AB}"/>
  <mergeCells count="9">
    <mergeCell ref="X3:X4"/>
    <mergeCell ref="A5:C5"/>
    <mergeCell ref="D5:G5"/>
    <mergeCell ref="J5:W5"/>
    <mergeCell ref="A3:G4"/>
    <mergeCell ref="H3:H4"/>
    <mergeCell ref="I3:I4"/>
    <mergeCell ref="J3:J4"/>
    <mergeCell ref="L3:W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27</vt:i4>
      </vt:variant>
      <vt:variant>
        <vt:lpstr>Named Ranges</vt:lpstr>
      </vt:variant>
      <vt:variant>
        <vt:i4>25</vt:i4>
      </vt:variant>
    </vt:vector>
  </HeadingPairs>
  <TitlesOfParts>
    <vt:vector size="52" baseType="lpstr">
      <vt:lpstr>BID I</vt:lpstr>
      <vt:lpstr>BID II</vt:lpstr>
      <vt:lpstr>BID III</vt:lpstr>
      <vt:lpstr>BID IV</vt:lpstr>
      <vt:lpstr>BID V</vt:lpstr>
      <vt:lpstr>Hitungan</vt:lpstr>
      <vt:lpstr>Penjabaran APBDesa</vt:lpstr>
      <vt:lpstr>Rekap Perdes</vt:lpstr>
      <vt:lpstr> RKA Seluruh</vt:lpstr>
      <vt:lpstr>RAK SIp</vt:lpstr>
      <vt:lpstr>APBDesa</vt:lpstr>
      <vt:lpstr>RKP2024</vt:lpstr>
      <vt:lpstr>DU RKP</vt:lpstr>
      <vt:lpstr>Prioritas Penggunaan DD 2024</vt:lpstr>
      <vt:lpstr>Prioritas Kegiatan Bidang I</vt:lpstr>
      <vt:lpstr>Sheet1</vt:lpstr>
      <vt:lpstr>Sheet2</vt:lpstr>
      <vt:lpstr>Prioritas Kegiatan Bidang II</vt:lpstr>
      <vt:lpstr>Priortias BID III</vt:lpstr>
      <vt:lpstr>Prioritas BID IV</vt:lpstr>
      <vt:lpstr>Rencana Pembiayaan Desa</vt:lpstr>
      <vt:lpstr>Usulan dana desa bid kesehatan</vt:lpstr>
      <vt:lpstr>Daftar Prioritas</vt:lpstr>
      <vt:lpstr>Daftar Usulan SDGs VI B</vt:lpstr>
      <vt:lpstr>Kerja Sama Antar Desa VI.C</vt:lpstr>
      <vt:lpstr>LPPK</vt:lpstr>
      <vt:lpstr>Kerja Sama Pihak Ke 3 VI.D</vt:lpstr>
      <vt:lpstr>Sheet1!_Hlk492709840</vt:lpstr>
      <vt:lpstr>'BID I'!Print_Area</vt:lpstr>
      <vt:lpstr>'BID II'!Print_Area</vt:lpstr>
      <vt:lpstr>'BID III'!Print_Area</vt:lpstr>
      <vt:lpstr>'BID IV'!Print_Area</vt:lpstr>
      <vt:lpstr>'Daftar Prioritas'!Print_Area</vt:lpstr>
      <vt:lpstr>'DU RKP'!Print_Area</vt:lpstr>
      <vt:lpstr>'Penjabaran APBDesa'!Print_Area</vt:lpstr>
      <vt:lpstr>'Prioritas BID IV'!Print_Area</vt:lpstr>
      <vt:lpstr>'Prioritas Kegiatan Bidang I'!Print_Area</vt:lpstr>
      <vt:lpstr>'Prioritas Kegiatan Bidang II'!Print_Area</vt:lpstr>
      <vt:lpstr>'Priortias BID III'!Print_Area</vt:lpstr>
      <vt:lpstr>'RAK SIp'!Print_Area</vt:lpstr>
      <vt:lpstr>'Rekap Perdes'!Print_Area</vt:lpstr>
      <vt:lpstr>'Rencana Pembiayaan Desa'!Print_Area</vt:lpstr>
      <vt:lpstr>'RKP2024'!Print_Area</vt:lpstr>
      <vt:lpstr>'Usulan dana desa bid kesehatan'!Print_Area</vt:lpstr>
      <vt:lpstr>'Penjabaran APBDesa'!Print_Titles</vt:lpstr>
      <vt:lpstr>'Prioritas BID IV'!Print_Titles</vt:lpstr>
      <vt:lpstr>'Prioritas Kegiatan Bidang I'!Print_Titles</vt:lpstr>
      <vt:lpstr>'Prioritas Kegiatan Bidang II'!Print_Titles</vt:lpstr>
      <vt:lpstr>'Prioritas Penggunaan DD 2024'!Print_Titles</vt:lpstr>
      <vt:lpstr>'Priortias BID III'!Print_Titles</vt:lpstr>
      <vt:lpstr>'RAK SIp'!Print_Titles</vt:lpstr>
      <vt:lpstr>'Usulan dana desa bid kesehatan'!Print_Titles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agis</dc:creator>
  <cp:lastModifiedBy>Windows User</cp:lastModifiedBy>
  <cp:lastPrinted>2024-07-25T01:55:59Z</cp:lastPrinted>
  <dcterms:created xsi:type="dcterms:W3CDTF">2022-08-08T01:08:34Z</dcterms:created>
  <dcterms:modified xsi:type="dcterms:W3CDTF">2024-07-25T07:04:53Z</dcterms:modified>
</cp:coreProperties>
</file>